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codeName="ThisWorkbook" hidePivotFieldList="1"/>
  <mc:AlternateContent xmlns:mc="http://schemas.openxmlformats.org/markup-compatibility/2006">
    <mc:Choice Requires="x15">
      <x15ac:absPath xmlns:x15ac="http://schemas.microsoft.com/office/spreadsheetml/2010/11/ac" url="I:\DataExchange\DE2015-16\Summary Data\"/>
    </mc:Choice>
  </mc:AlternateContent>
  <bookViews>
    <workbookView xWindow="0" yWindow="0" windowWidth="20490" windowHeight="8535"/>
  </bookViews>
  <sheets>
    <sheet name="NEW-Tables 80-86" sheetId="14" r:id="rId1"/>
    <sheet name="OLD Tables" sheetId="21" r:id="rId2"/>
    <sheet name="FTE Pivot for regular counts" sheetId="9" r:id="rId3"/>
    <sheet name="Pivot-HS Student % of Undergrad" sheetId="16" r:id="rId4"/>
    <sheet name="SCH Data" sheetId="6" r:id="rId5"/>
    <sheet name="Format for FTE" sheetId="19" r:id="rId6"/>
    <sheet name="Format for HS%" sheetId="20" r:id="rId7"/>
  </sheets>
  <definedNames>
    <definedName name="APPHEAD" localSheetId="1">#REF!</definedName>
    <definedName name="CH11ug1" localSheetId="4">'SCH Data'!#REF!</definedName>
    <definedName name="CH11ug2_1" localSheetId="4">'SCH Data'!#REF!</definedName>
    <definedName name="CH11ug3_1" localSheetId="4">'SCH Data'!#REF!</definedName>
    <definedName name="CH11ug4_1" localSheetId="4">'SCH Data'!#REF!</definedName>
    <definedName name="CH13ug1_1" localSheetId="4">'SCH Data'!#REF!</definedName>
    <definedName name="CH13ug2_1" localSheetId="4">'SCH Data'!#REF!</definedName>
    <definedName name="CH13ug3" localSheetId="4">'SCH Data'!#REF!</definedName>
    <definedName name="CH13ug4" localSheetId="4">'SCH Data'!#REF!</definedName>
    <definedName name="CH14ug1_1" localSheetId="4">'SCH Data'!#REF!</definedName>
    <definedName name="CH14ug2" localSheetId="4">'SCH Data'!#REF!</definedName>
    <definedName name="CH14ug3" localSheetId="4">'SCH Data'!#REF!</definedName>
    <definedName name="CH14ug4" localSheetId="4">'SCH Data'!#REF!</definedName>
    <definedName name="CHHEAD" localSheetId="1">#REF!</definedName>
    <definedName name="Dual07" localSheetId="4">'SCH Data'!#REF!</definedName>
    <definedName name="Dual07_1" localSheetId="4">'SCH Data'!$T$310:$T$325</definedName>
    <definedName name="Dual07_2" localSheetId="4">'SCH Data'!#REF!</definedName>
    <definedName name="Dual07_3" localSheetId="4">'SCH Data'!$T$310:$T$325</definedName>
    <definedName name="Dual07_4" localSheetId="4">'SCH Data'!#REF!</definedName>
    <definedName name="Dual07_5" localSheetId="4">'SCH Data'!#REF!</definedName>
    <definedName name="Dual07_6" localSheetId="4">'SCH Data'!#REF!</definedName>
    <definedName name="Dual07_7" localSheetId="4">'SCH Data'!#REF!</definedName>
    <definedName name="Dual08" localSheetId="4">'SCH Data'!#REF!</definedName>
    <definedName name="Dual08_1" localSheetId="4">'SCH Data'!#REF!</definedName>
    <definedName name="Dual08_2" localSheetId="4">'SCH Data'!#REF!</definedName>
    <definedName name="Dual11_1" localSheetId="4">'SCH Data'!#REF!</definedName>
    <definedName name="Dual13" localSheetId="4">'SCH Data'!#REF!</definedName>
    <definedName name="Dual14" localSheetId="4">'SCH Data'!#REF!</definedName>
    <definedName name="JrCH08ug1" localSheetId="4">'SCH Data'!#REF!</definedName>
    <definedName name="JrCH08ug1_1" localSheetId="4">'SCH Data'!#REF!</definedName>
    <definedName name="JrCH08ug1_2" localSheetId="4">'SCH Data'!#REF!</definedName>
    <definedName name="JrCH08ug2" localSheetId="4">'SCH Data'!#REF!</definedName>
    <definedName name="JrCH08ug2_1" localSheetId="4">'SCH Data'!#REF!</definedName>
    <definedName name="JrCH08ug2_2" localSheetId="4">'SCH Data'!#REF!</definedName>
    <definedName name="JrCH08ug3" localSheetId="4">'SCH Data'!#REF!</definedName>
    <definedName name="JrCH08ug3_1" localSheetId="4">'SCH Data'!#REF!</definedName>
    <definedName name="JrCH08ug3_2" localSheetId="4">'SCH Data'!#REF!</definedName>
    <definedName name="JrCH08ug4" localSheetId="4">'SCH Data'!#REF!</definedName>
    <definedName name="JrCH08ug4_1" localSheetId="4">'SCH Data'!#REF!</definedName>
    <definedName name="JrCH08ug4_2" localSheetId="4">'SCH Data'!#REF!</definedName>
    <definedName name="JrSCH08ug1" localSheetId="4">'SCH Data'!#REF!</definedName>
    <definedName name="JrSCH08ug1_1" localSheetId="4">'SCH Data'!#REF!</definedName>
    <definedName name="JrSCH08ug2" localSheetId="4">'SCH Data'!#REF!</definedName>
    <definedName name="JrSCH08ug2_1" localSheetId="4">'SCH Data'!#REF!</definedName>
    <definedName name="JrSCH08ug2_2" localSheetId="4">'SCH Data'!#REF!</definedName>
    <definedName name="JrSCH08ug3" localSheetId="4">'SCH Data'!#REF!</definedName>
    <definedName name="JrSCH08ug3_1" localSheetId="4">'SCH Data'!#REF!</definedName>
    <definedName name="JrSCH08ug3_2" localSheetId="4">'SCH Data'!#REF!</definedName>
    <definedName name="JrSCH08ug4" localSheetId="4">'SCH Data'!#REF!</definedName>
    <definedName name="JrSCH08ug4_1" localSheetId="4">'SCH Data'!#REF!</definedName>
    <definedName name="JrSCH08ug4_2" localSheetId="4">'SCH Data'!#REF!</definedName>
    <definedName name="PAGE_17" localSheetId="1">#REF!</definedName>
    <definedName name="PAGE1" localSheetId="1">#REF!</definedName>
    <definedName name="PAGE10" localSheetId="1">#REF!</definedName>
    <definedName name="PAGE11" localSheetId="1">#REF!</definedName>
    <definedName name="PAGE12" localSheetId="1">#REF!</definedName>
    <definedName name="PAGE13" localSheetId="1">#REF!</definedName>
    <definedName name="PAGE14" localSheetId="1">#REF!</definedName>
    <definedName name="PAGE15" localSheetId="1">#REF!</definedName>
    <definedName name="PAGE16" localSheetId="1">#REF!</definedName>
    <definedName name="PAGE17" localSheetId="1">#REF!</definedName>
    <definedName name="PAGE18" localSheetId="1">#REF!</definedName>
    <definedName name="PAGE19" localSheetId="1">#REF!</definedName>
    <definedName name="PAGE2" localSheetId="1">#REF!</definedName>
    <definedName name="PAGE20" localSheetId="1">#REF!</definedName>
    <definedName name="PAGE3" localSheetId="1">#REF!</definedName>
    <definedName name="PAGE4" localSheetId="1">#REF!</definedName>
    <definedName name="PAGE5" localSheetId="1">#REF!</definedName>
    <definedName name="PAGE6" localSheetId="1">#REF!</definedName>
    <definedName name="PAGE7" localSheetId="1">#REF!</definedName>
    <definedName name="PAGE8" localSheetId="1">#REF!</definedName>
    <definedName name="PAGE9" localSheetId="1">#REF!</definedName>
    <definedName name="PART1" localSheetId="1">#REF!</definedName>
    <definedName name="PART2" localSheetId="1">#REF!</definedName>
    <definedName name="PART3" localSheetId="1">#REF!</definedName>
    <definedName name="PART4A" localSheetId="1">#REF!</definedName>
    <definedName name="PART4B" localSheetId="1">#REF!</definedName>
    <definedName name="PART5" localSheetId="1">#REF!</definedName>
    <definedName name="PART6A" localSheetId="1">#REF!</definedName>
    <definedName name="PART6B" localSheetId="1">#REF!</definedName>
    <definedName name="PART6C" localSheetId="1">#REF!</definedName>
    <definedName name="PART7B" localSheetId="1">#REF!</definedName>
    <definedName name="PART7C" localSheetId="1">#REF!</definedName>
    <definedName name="PART8" localSheetId="1">#REF!</definedName>
    <definedName name="_xlnm.Print_Area" localSheetId="2">'FTE Pivot for regular counts'!$C$5:$R$196</definedName>
    <definedName name="_xlnm.Print_Area" localSheetId="0">'NEW-Tables 80-86'!$A$1:$O$214</definedName>
    <definedName name="_xlnm.Print_Area" localSheetId="1">'OLD Tables'!$A$1:$O$212</definedName>
    <definedName name="_xlnm.Print_Area" localSheetId="3">'Pivot-HS Student % of Undergrad'!$C$6:$T$101</definedName>
    <definedName name="_xlnm.Print_Area" localSheetId="4">'SCH Data'!$A$3</definedName>
    <definedName name="_xlnm.Print_Area">#REF!</definedName>
    <definedName name="_xlnm.Print_Titles" localSheetId="2">'FTE Pivot for regular counts'!$A:$B,'FTE Pivot for regular counts'!$2:$4</definedName>
    <definedName name="_xlnm.Print_Titles" localSheetId="3">'Pivot-HS Student % of Undergrad'!$A:$B,'Pivot-HS Student % of Undergrad'!$4:$5</definedName>
    <definedName name="_xlnm.Print_Titles" localSheetId="4">'SCH Data'!$B:$B</definedName>
    <definedName name="RATIONALE" localSheetId="1">#REF!</definedName>
    <definedName name="RATIONALE2" localSheetId="1">#REF!</definedName>
    <definedName name="SALHEAD" localSheetId="1">#REF!</definedName>
    <definedName name="SCH13ug2" localSheetId="4">'SCH Data'!#REF!</definedName>
    <definedName name="SCH13ug3" localSheetId="4">'SCH Data'!#REF!</definedName>
    <definedName name="SCH13ug4" localSheetId="4">'SCH Data'!#REF!</definedName>
    <definedName name="SCH15ug1" localSheetId="4">'SCH Data'!$I$505:$I$619</definedName>
    <definedName name="SrSCH08gr2" localSheetId="4">'SCH Data'!#REF!</definedName>
    <definedName name="SrSCH08gr2_1" localSheetId="4">'SCH Data'!#REF!</definedName>
    <definedName name="SrSCH08gr3" localSheetId="4">'SCH Data'!#REF!</definedName>
    <definedName name="SrSCH08gr3_1" localSheetId="4">'SCH Data'!#REF!</definedName>
    <definedName name="SrSCH08gr4" localSheetId="4">'SCH Data'!#REF!</definedName>
    <definedName name="SrSCH08gr4_1" localSheetId="4">'SCH Data'!#REF!</definedName>
    <definedName name="SrSCH08ug2" localSheetId="4">'SCH Data'!#REF!</definedName>
    <definedName name="SrSCH08ug2_1" localSheetId="4">'SCH Data'!#REF!</definedName>
    <definedName name="SrSCH08ug3" localSheetId="4">'SCH Data'!#REF!</definedName>
    <definedName name="SrSCH08ug3_1" localSheetId="4">'SCH Data'!#REF!</definedName>
    <definedName name="SrSCH08ug4" localSheetId="4">'SCH Data'!#REF!</definedName>
    <definedName name="SrSCH08ug4_1" localSheetId="4">'SCH Data'!#REF!</definedName>
  </definedNames>
  <calcPr calcId="171027"/>
  <pivotCaches>
    <pivotCache cacheId="0" r:id="rId8"/>
    <pivotCache cacheId="1" r:id="rId9"/>
  </pivotCaches>
</workbook>
</file>

<file path=xl/calcChain.xml><?xml version="1.0" encoding="utf-8"?>
<calcChain xmlns="http://schemas.openxmlformats.org/spreadsheetml/2006/main">
  <c r="F164" i="21" l="1"/>
  <c r="C82" i="14"/>
  <c r="C83" i="14"/>
  <c r="M11" i="14" l="1"/>
  <c r="K11" i="14"/>
  <c r="AV8" i="6" l="1"/>
  <c r="AW8" i="6" s="1"/>
  <c r="AX8" i="6"/>
  <c r="AY8" i="6"/>
  <c r="BA8" i="6" s="1"/>
  <c r="AZ8" i="6"/>
  <c r="AV9" i="6"/>
  <c r="AW9" i="6"/>
  <c r="AZ9" i="6" s="1"/>
  <c r="AX9" i="6"/>
  <c r="AY9" i="6" s="1"/>
  <c r="BA9" i="6"/>
  <c r="AV10" i="6"/>
  <c r="AW10" i="6" s="1"/>
  <c r="AZ10" i="6" s="1"/>
  <c r="AX10" i="6"/>
  <c r="AY10" i="6"/>
  <c r="BA10" i="6" s="1"/>
  <c r="AV11" i="6"/>
  <c r="AW11" i="6"/>
  <c r="AX11" i="6"/>
  <c r="AY11" i="6" s="1"/>
  <c r="AZ11" i="6"/>
  <c r="BA11" i="6"/>
  <c r="AV12" i="6"/>
  <c r="AW12" i="6" s="1"/>
  <c r="AX12" i="6"/>
  <c r="AY12" i="6"/>
  <c r="BA12" i="6" s="1"/>
  <c r="AZ12" i="6"/>
  <c r="AV13" i="6"/>
  <c r="AW13" i="6"/>
  <c r="AZ13" i="6" s="1"/>
  <c r="AX13" i="6"/>
  <c r="AY13" i="6" s="1"/>
  <c r="BA13" i="6"/>
  <c r="AV14" i="6"/>
  <c r="AW14" i="6" s="1"/>
  <c r="AZ14" i="6" s="1"/>
  <c r="AX14" i="6"/>
  <c r="AY14" i="6"/>
  <c r="BA14" i="6" s="1"/>
  <c r="AV15" i="6"/>
  <c r="AW15" i="6"/>
  <c r="AX15" i="6"/>
  <c r="AY15" i="6" s="1"/>
  <c r="AZ15" i="6"/>
  <c r="BA15" i="6"/>
  <c r="AV16" i="6"/>
  <c r="AW16" i="6" s="1"/>
  <c r="AX16" i="6"/>
  <c r="AY16" i="6"/>
  <c r="BA16" i="6" s="1"/>
  <c r="AZ16" i="6"/>
  <c r="AV17" i="6"/>
  <c r="AW17" i="6"/>
  <c r="AZ17" i="6" s="1"/>
  <c r="AX17" i="6"/>
  <c r="AY17" i="6" s="1"/>
  <c r="BA17" i="6"/>
  <c r="AV18" i="6"/>
  <c r="AW18" i="6" s="1"/>
  <c r="AZ18" i="6" s="1"/>
  <c r="AX18" i="6"/>
  <c r="AY18" i="6"/>
  <c r="BA18" i="6" s="1"/>
  <c r="AV19" i="6"/>
  <c r="AW19" i="6"/>
  <c r="AX19" i="6"/>
  <c r="AY19" i="6" s="1"/>
  <c r="AZ19" i="6"/>
  <c r="BA19" i="6"/>
  <c r="AV20" i="6"/>
  <c r="AW20" i="6" s="1"/>
  <c r="AX20" i="6"/>
  <c r="AY20" i="6"/>
  <c r="BA20" i="6" s="1"/>
  <c r="AZ20" i="6"/>
  <c r="AV21" i="6"/>
  <c r="AW21" i="6"/>
  <c r="AZ21" i="6" s="1"/>
  <c r="AX21" i="6"/>
  <c r="AY21" i="6" s="1"/>
  <c r="BA21" i="6"/>
  <c r="AV22" i="6"/>
  <c r="AW22" i="6" s="1"/>
  <c r="AZ22" i="6" s="1"/>
  <c r="AX22" i="6"/>
  <c r="AY22" i="6"/>
  <c r="BA22" i="6" s="1"/>
  <c r="AV23" i="6"/>
  <c r="AW23" i="6"/>
  <c r="AX23" i="6"/>
  <c r="AY23" i="6" s="1"/>
  <c r="AZ23" i="6"/>
  <c r="BA23" i="6"/>
  <c r="AV24" i="6"/>
  <c r="AW24" i="6" s="1"/>
  <c r="AX24" i="6"/>
  <c r="AY24" i="6"/>
  <c r="BA24" i="6" s="1"/>
  <c r="AZ24" i="6"/>
  <c r="AV25" i="6"/>
  <c r="AW25" i="6"/>
  <c r="AZ25" i="6" s="1"/>
  <c r="AX25" i="6"/>
  <c r="AY25" i="6" s="1"/>
  <c r="BA25" i="6"/>
  <c r="AV26" i="6"/>
  <c r="AW26" i="6" s="1"/>
  <c r="AZ26" i="6" s="1"/>
  <c r="AX26" i="6"/>
  <c r="AY26" i="6"/>
  <c r="BA26" i="6" s="1"/>
  <c r="AV27" i="6"/>
  <c r="AW27" i="6"/>
  <c r="AX27" i="6"/>
  <c r="AY27" i="6" s="1"/>
  <c r="AZ27" i="6"/>
  <c r="BA27" i="6"/>
  <c r="AV28" i="6"/>
  <c r="AW28" i="6" s="1"/>
  <c r="AX28" i="6"/>
  <c r="AY28" i="6"/>
  <c r="BA28" i="6" s="1"/>
  <c r="AZ28" i="6"/>
  <c r="AV29" i="6"/>
  <c r="AW29" i="6"/>
  <c r="AZ29" i="6" s="1"/>
  <c r="AX29" i="6"/>
  <c r="AY29" i="6" s="1"/>
  <c r="BA29" i="6"/>
  <c r="AV30" i="6"/>
  <c r="AW30" i="6" s="1"/>
  <c r="AZ30" i="6" s="1"/>
  <c r="AX30" i="6"/>
  <c r="AY30" i="6"/>
  <c r="BA30" i="6" s="1"/>
  <c r="AV31" i="6"/>
  <c r="AW31" i="6"/>
  <c r="AX31" i="6"/>
  <c r="AY31" i="6" s="1"/>
  <c r="AZ31" i="6"/>
  <c r="BA31" i="6"/>
  <c r="AV32" i="6"/>
  <c r="AW32" i="6" s="1"/>
  <c r="AX32" i="6"/>
  <c r="AY32" i="6"/>
  <c r="BA32" i="6" s="1"/>
  <c r="AZ32" i="6"/>
  <c r="AV33" i="6"/>
  <c r="AW33" i="6"/>
  <c r="AZ33" i="6" s="1"/>
  <c r="AX33" i="6"/>
  <c r="AY33" i="6" s="1"/>
  <c r="BA33" i="6"/>
  <c r="AV34" i="6"/>
  <c r="AW34" i="6" s="1"/>
  <c r="AZ34" i="6" s="1"/>
  <c r="AX34" i="6"/>
  <c r="AY34" i="6"/>
  <c r="BA34" i="6" s="1"/>
  <c r="AV35" i="6"/>
  <c r="AW35" i="6"/>
  <c r="AX35" i="6"/>
  <c r="AY35" i="6" s="1"/>
  <c r="AZ35" i="6"/>
  <c r="BA35" i="6"/>
  <c r="AV36" i="6"/>
  <c r="AW36" i="6" s="1"/>
  <c r="AX36" i="6"/>
  <c r="AY36" i="6"/>
  <c r="BA36" i="6" s="1"/>
  <c r="AZ36" i="6"/>
  <c r="AV37" i="6"/>
  <c r="AW37" i="6"/>
  <c r="AZ37" i="6" s="1"/>
  <c r="AX37" i="6"/>
  <c r="AY37" i="6" s="1"/>
  <c r="BA37" i="6"/>
  <c r="AV38" i="6"/>
  <c r="AW38" i="6" s="1"/>
  <c r="AZ38" i="6" s="1"/>
  <c r="AX38" i="6"/>
  <c r="AY38" i="6"/>
  <c r="BA38" i="6" s="1"/>
  <c r="AV39" i="6"/>
  <c r="AW39" i="6"/>
  <c r="AX39" i="6"/>
  <c r="AY39" i="6" s="1"/>
  <c r="AZ39" i="6"/>
  <c r="BA39" i="6"/>
  <c r="AV40" i="6"/>
  <c r="AW40" i="6" s="1"/>
  <c r="AX40" i="6"/>
  <c r="AY40" i="6"/>
  <c r="BA40" i="6" s="1"/>
  <c r="AZ40" i="6"/>
  <c r="AV41" i="6"/>
  <c r="AW41" i="6"/>
  <c r="AZ41" i="6" s="1"/>
  <c r="AX41" i="6"/>
  <c r="AY41" i="6" s="1"/>
  <c r="BA41" i="6"/>
  <c r="AV42" i="6"/>
  <c r="AW42" i="6" s="1"/>
  <c r="AZ42" i="6" s="1"/>
  <c r="AX42" i="6"/>
  <c r="AY42" i="6"/>
  <c r="BA42" i="6" s="1"/>
  <c r="AV43" i="6"/>
  <c r="AW43" i="6"/>
  <c r="AX43" i="6"/>
  <c r="AY43" i="6" s="1"/>
  <c r="AZ43" i="6"/>
  <c r="BA43" i="6"/>
  <c r="AV44" i="6"/>
  <c r="AW44" i="6" s="1"/>
  <c r="AX44" i="6"/>
  <c r="AY44" i="6"/>
  <c r="BA44" i="6" s="1"/>
  <c r="AZ44" i="6"/>
  <c r="AV45" i="6"/>
  <c r="AW45" i="6"/>
  <c r="AZ45" i="6" s="1"/>
  <c r="AX45" i="6"/>
  <c r="AY45" i="6" s="1"/>
  <c r="BA45" i="6"/>
  <c r="AV46" i="6"/>
  <c r="AW46" i="6" s="1"/>
  <c r="AZ46" i="6" s="1"/>
  <c r="AX46" i="6"/>
  <c r="AY46" i="6"/>
  <c r="BA46" i="6" s="1"/>
  <c r="AV47" i="6"/>
  <c r="AW47" i="6"/>
  <c r="AX47" i="6"/>
  <c r="AY47" i="6" s="1"/>
  <c r="AZ47" i="6"/>
  <c r="BA47" i="6"/>
  <c r="AV48" i="6"/>
  <c r="AW48" i="6" s="1"/>
  <c r="AX48" i="6"/>
  <c r="AY48" i="6"/>
  <c r="BA48" i="6" s="1"/>
  <c r="AZ48" i="6"/>
  <c r="AV49" i="6"/>
  <c r="AW49" i="6"/>
  <c r="AZ49" i="6" s="1"/>
  <c r="AX49" i="6"/>
  <c r="AY49" i="6" s="1"/>
  <c r="BA49" i="6"/>
  <c r="AV50" i="6"/>
  <c r="AW50" i="6" s="1"/>
  <c r="AZ50" i="6" s="1"/>
  <c r="AX50" i="6"/>
  <c r="AY50" i="6"/>
  <c r="BA50" i="6" s="1"/>
  <c r="AV51" i="6"/>
  <c r="AW51" i="6"/>
  <c r="AX51" i="6"/>
  <c r="AY51" i="6" s="1"/>
  <c r="AZ51" i="6"/>
  <c r="BA51" i="6"/>
  <c r="AV52" i="6"/>
  <c r="AW52" i="6" s="1"/>
  <c r="AX52" i="6"/>
  <c r="AY52" i="6"/>
  <c r="BA52" i="6" s="1"/>
  <c r="AZ52" i="6"/>
  <c r="AV53" i="6"/>
  <c r="AW53" i="6"/>
  <c r="AZ53" i="6" s="1"/>
  <c r="AX53" i="6"/>
  <c r="AY53" i="6" s="1"/>
  <c r="BA53" i="6"/>
  <c r="AV54" i="6"/>
  <c r="AW54" i="6" s="1"/>
  <c r="AZ54" i="6" s="1"/>
  <c r="AX54" i="6"/>
  <c r="AY54" i="6"/>
  <c r="BA54" i="6" s="1"/>
  <c r="AV55" i="6"/>
  <c r="AW55" i="6"/>
  <c r="AX55" i="6"/>
  <c r="AY55" i="6" s="1"/>
  <c r="AZ55" i="6"/>
  <c r="BA55" i="6"/>
  <c r="AV56" i="6"/>
  <c r="AW56" i="6" s="1"/>
  <c r="AX56" i="6"/>
  <c r="AY56" i="6"/>
  <c r="BA56" i="6" s="1"/>
  <c r="AZ56" i="6"/>
  <c r="AV57" i="6"/>
  <c r="AW57" i="6"/>
  <c r="AZ57" i="6" s="1"/>
  <c r="AX57" i="6"/>
  <c r="AY57" i="6" s="1"/>
  <c r="BA57" i="6"/>
  <c r="AV58" i="6"/>
  <c r="AW58" i="6" s="1"/>
  <c r="AZ58" i="6" s="1"/>
  <c r="AX58" i="6"/>
  <c r="AY58" i="6"/>
  <c r="BA58" i="6" s="1"/>
  <c r="AV59" i="6"/>
  <c r="AW59" i="6"/>
  <c r="AX59" i="6"/>
  <c r="AY59" i="6" s="1"/>
  <c r="AZ59" i="6"/>
  <c r="BA59" i="6"/>
  <c r="AV60" i="6"/>
  <c r="AW60" i="6" s="1"/>
  <c r="AX60" i="6"/>
  <c r="AY60" i="6"/>
  <c r="BA60" i="6" s="1"/>
  <c r="AZ60" i="6"/>
  <c r="AV61" i="6"/>
  <c r="AW61" i="6"/>
  <c r="AZ61" i="6" s="1"/>
  <c r="AX61" i="6"/>
  <c r="AY61" i="6" s="1"/>
  <c r="BA61" i="6"/>
  <c r="AV62" i="6"/>
  <c r="AW62" i="6" s="1"/>
  <c r="AZ62" i="6" s="1"/>
  <c r="AX62" i="6"/>
  <c r="AY62" i="6"/>
  <c r="BA62" i="6" s="1"/>
  <c r="AV63" i="6"/>
  <c r="AW63" i="6"/>
  <c r="AX63" i="6"/>
  <c r="AY63" i="6" s="1"/>
  <c r="AZ63" i="6"/>
  <c r="BA63" i="6"/>
  <c r="AV64" i="6"/>
  <c r="AW64" i="6" s="1"/>
  <c r="AX64" i="6"/>
  <c r="AY64" i="6"/>
  <c r="BA64" i="6" s="1"/>
  <c r="AZ64" i="6"/>
  <c r="AV65" i="6"/>
  <c r="AW65" i="6"/>
  <c r="AZ65" i="6" s="1"/>
  <c r="AX65" i="6"/>
  <c r="AY65" i="6" s="1"/>
  <c r="BA65" i="6"/>
  <c r="AV66" i="6"/>
  <c r="AW66" i="6" s="1"/>
  <c r="AZ66" i="6" s="1"/>
  <c r="AX66" i="6"/>
  <c r="AY66" i="6"/>
  <c r="BA66" i="6" s="1"/>
  <c r="AV67" i="6"/>
  <c r="AW67" i="6"/>
  <c r="AX67" i="6"/>
  <c r="AY67" i="6" s="1"/>
  <c r="AZ67" i="6"/>
  <c r="BA67" i="6"/>
  <c r="AV68" i="6"/>
  <c r="AW68" i="6" s="1"/>
  <c r="AX68" i="6"/>
  <c r="AY68" i="6"/>
  <c r="BA68" i="6" s="1"/>
  <c r="AZ68" i="6"/>
  <c r="AV69" i="6"/>
  <c r="AW69" i="6"/>
  <c r="AZ69" i="6" s="1"/>
  <c r="AX69" i="6"/>
  <c r="AY69" i="6" s="1"/>
  <c r="BA69" i="6"/>
  <c r="AV70" i="6"/>
  <c r="AW70" i="6" s="1"/>
  <c r="AZ70" i="6" s="1"/>
  <c r="AX70" i="6"/>
  <c r="AY70" i="6"/>
  <c r="BA70" i="6" s="1"/>
  <c r="AV71" i="6"/>
  <c r="AW71" i="6"/>
  <c r="AX71" i="6"/>
  <c r="AY71" i="6" s="1"/>
  <c r="AZ71" i="6"/>
  <c r="BA71" i="6"/>
  <c r="AV72" i="6"/>
  <c r="AW72" i="6" s="1"/>
  <c r="AX72" i="6"/>
  <c r="AY72" i="6"/>
  <c r="BA72" i="6" s="1"/>
  <c r="AZ72" i="6"/>
  <c r="AV73" i="6"/>
  <c r="AW73" i="6"/>
  <c r="AZ73" i="6" s="1"/>
  <c r="AX73" i="6"/>
  <c r="AY73" i="6"/>
  <c r="BA73" i="6"/>
  <c r="AV74" i="6"/>
  <c r="AW74" i="6" s="1"/>
  <c r="AZ74" i="6" s="1"/>
  <c r="AX74" i="6"/>
  <c r="AY74" i="6"/>
  <c r="BA74" i="6" s="1"/>
  <c r="AV75" i="6"/>
  <c r="AW75" i="6"/>
  <c r="AX75" i="6"/>
  <c r="AY75" i="6" s="1"/>
  <c r="BA75" i="6" s="1"/>
  <c r="AZ75" i="6"/>
  <c r="AV76" i="6"/>
  <c r="AW76" i="6"/>
  <c r="AX76" i="6"/>
  <c r="AY76" i="6"/>
  <c r="BA76" i="6" s="1"/>
  <c r="AZ76" i="6"/>
  <c r="AV77" i="6"/>
  <c r="AW77" i="6"/>
  <c r="AZ77" i="6" s="1"/>
  <c r="AX77" i="6"/>
  <c r="AY77" i="6"/>
  <c r="BA77" i="6"/>
  <c r="AV78" i="6"/>
  <c r="AW78" i="6" s="1"/>
  <c r="AZ78" i="6" s="1"/>
  <c r="AX78" i="6"/>
  <c r="AY78" i="6"/>
  <c r="BA78" i="6" s="1"/>
  <c r="AV79" i="6"/>
  <c r="AW79" i="6"/>
  <c r="AZ79" i="6" s="1"/>
  <c r="AX79" i="6"/>
  <c r="AY79" i="6" s="1"/>
  <c r="BA79" i="6"/>
  <c r="AV80" i="6"/>
  <c r="AW80" i="6"/>
  <c r="AX80" i="6"/>
  <c r="AY80" i="6"/>
  <c r="BA80" i="6" s="1"/>
  <c r="AZ80" i="6"/>
  <c r="AV81" i="6"/>
  <c r="AW81" i="6" s="1"/>
  <c r="AZ81" i="6" s="1"/>
  <c r="AX81" i="6"/>
  <c r="AY81" i="6" s="1"/>
  <c r="BA81" i="6"/>
  <c r="AV82" i="6"/>
  <c r="AW82" i="6" s="1"/>
  <c r="AZ82" i="6" s="1"/>
  <c r="AX82" i="6"/>
  <c r="AY82" i="6"/>
  <c r="BA82" i="6" s="1"/>
  <c r="AV83" i="6"/>
  <c r="AW83" i="6"/>
  <c r="AX83" i="6"/>
  <c r="AY83" i="6" s="1"/>
  <c r="AZ83" i="6"/>
  <c r="BA83" i="6"/>
  <c r="AV84" i="6"/>
  <c r="AW84" i="6"/>
  <c r="AX84" i="6"/>
  <c r="AY84" i="6"/>
  <c r="BA84" i="6" s="1"/>
  <c r="AZ84" i="6"/>
  <c r="AV85" i="6"/>
  <c r="AW85" i="6"/>
  <c r="AZ85" i="6" s="1"/>
  <c r="AX85" i="6"/>
  <c r="AY85" i="6" s="1"/>
  <c r="BA85" i="6" s="1"/>
  <c r="AV86" i="6"/>
  <c r="AW86" i="6" s="1"/>
  <c r="AZ86" i="6" s="1"/>
  <c r="AX86" i="6"/>
  <c r="AY86" i="6"/>
  <c r="BA86" i="6" s="1"/>
  <c r="AV87" i="6"/>
  <c r="AW87" i="6"/>
  <c r="AX87" i="6"/>
  <c r="AY87" i="6" s="1"/>
  <c r="BA87" i="6" s="1"/>
  <c r="AZ87" i="6"/>
  <c r="AV88" i="6"/>
  <c r="AW88" i="6" s="1"/>
  <c r="AZ88" i="6" s="1"/>
  <c r="AX88" i="6"/>
  <c r="AY88" i="6"/>
  <c r="BA88" i="6" s="1"/>
  <c r="AV89" i="6"/>
  <c r="AW89" i="6"/>
  <c r="AZ89" i="6" s="1"/>
  <c r="AX89" i="6"/>
  <c r="AY89" i="6" s="1"/>
  <c r="BA89" i="6" s="1"/>
  <c r="AV90" i="6"/>
  <c r="AW90" i="6" s="1"/>
  <c r="AZ90" i="6" s="1"/>
  <c r="AX90" i="6"/>
  <c r="AY90" i="6" s="1"/>
  <c r="BA90" i="6" s="1"/>
  <c r="AV91" i="6"/>
  <c r="AW91" i="6"/>
  <c r="AX91" i="6"/>
  <c r="AY91" i="6" s="1"/>
  <c r="BA91" i="6" s="1"/>
  <c r="AZ91" i="6"/>
  <c r="AV92" i="6"/>
  <c r="AW92" i="6" s="1"/>
  <c r="AZ92" i="6" s="1"/>
  <c r="AX92" i="6"/>
  <c r="AY92" i="6"/>
  <c r="BA92" i="6" s="1"/>
  <c r="AV93" i="6"/>
  <c r="AW93" i="6"/>
  <c r="AZ93" i="6" s="1"/>
  <c r="AX93" i="6"/>
  <c r="AY93" i="6" s="1"/>
  <c r="BA93" i="6" s="1"/>
  <c r="AV94" i="6"/>
  <c r="AW94" i="6" s="1"/>
  <c r="AZ94" i="6" s="1"/>
  <c r="AX94" i="6"/>
  <c r="AY94" i="6"/>
  <c r="BA94" i="6" s="1"/>
  <c r="AV95" i="6"/>
  <c r="AW95" i="6"/>
  <c r="AX95" i="6"/>
  <c r="AY95" i="6" s="1"/>
  <c r="BA95" i="6" s="1"/>
  <c r="AZ95" i="6"/>
  <c r="AV96" i="6"/>
  <c r="AW96" i="6" s="1"/>
  <c r="AZ96" i="6" s="1"/>
  <c r="AX96" i="6"/>
  <c r="AY96" i="6"/>
  <c r="BA96" i="6" s="1"/>
  <c r="AV97" i="6"/>
  <c r="AW97" i="6"/>
  <c r="AZ97" i="6" s="1"/>
  <c r="AX97" i="6"/>
  <c r="AY97" i="6" s="1"/>
  <c r="BA97" i="6" s="1"/>
  <c r="AV98" i="6"/>
  <c r="AW98" i="6" s="1"/>
  <c r="AZ98" i="6" s="1"/>
  <c r="AX98" i="6"/>
  <c r="AY98" i="6"/>
  <c r="BA98" i="6" s="1"/>
  <c r="AV99" i="6"/>
  <c r="AW99" i="6"/>
  <c r="AX99" i="6"/>
  <c r="AY99" i="6" s="1"/>
  <c r="BA99" i="6" s="1"/>
  <c r="AZ99" i="6"/>
  <c r="AV100" i="6"/>
  <c r="AW100" i="6" s="1"/>
  <c r="AZ100" i="6" s="1"/>
  <c r="AX100" i="6"/>
  <c r="AY100" i="6"/>
  <c r="BA100" i="6" s="1"/>
  <c r="AV101" i="6"/>
  <c r="AW101" i="6"/>
  <c r="AZ101" i="6" s="1"/>
  <c r="AX101" i="6"/>
  <c r="AY101" i="6" s="1"/>
  <c r="BA101" i="6" s="1"/>
  <c r="AV102" i="6"/>
  <c r="AW102" i="6" s="1"/>
  <c r="AZ102" i="6" s="1"/>
  <c r="AX102" i="6"/>
  <c r="AY102" i="6"/>
  <c r="BA102" i="6" s="1"/>
  <c r="AV103" i="6"/>
  <c r="AW103" i="6"/>
  <c r="AX103" i="6"/>
  <c r="AY103" i="6" s="1"/>
  <c r="BA103" i="6" s="1"/>
  <c r="AZ103" i="6"/>
  <c r="AV104" i="6"/>
  <c r="AW104" i="6" s="1"/>
  <c r="AZ104" i="6" s="1"/>
  <c r="AX104" i="6"/>
  <c r="AY104" i="6"/>
  <c r="BA104" i="6" s="1"/>
  <c r="AV105" i="6"/>
  <c r="AW105" i="6"/>
  <c r="AZ105" i="6" s="1"/>
  <c r="AX105" i="6"/>
  <c r="AY105" i="6" s="1"/>
  <c r="BA105" i="6" s="1"/>
  <c r="AV106" i="6"/>
  <c r="AW106" i="6" s="1"/>
  <c r="AZ106" i="6" s="1"/>
  <c r="AX106" i="6"/>
  <c r="AY106" i="6" s="1"/>
  <c r="BA106" i="6" s="1"/>
  <c r="AV107" i="6"/>
  <c r="AW107" i="6"/>
  <c r="AX107" i="6"/>
  <c r="AY107" i="6" s="1"/>
  <c r="BA107" i="6" s="1"/>
  <c r="AZ107" i="6"/>
  <c r="AV108" i="6"/>
  <c r="AW108" i="6" s="1"/>
  <c r="AZ108" i="6" s="1"/>
  <c r="AX108" i="6"/>
  <c r="AY108" i="6"/>
  <c r="BA108" i="6" s="1"/>
  <c r="AV109" i="6"/>
  <c r="AW109" i="6"/>
  <c r="AZ109" i="6" s="1"/>
  <c r="AX109" i="6"/>
  <c r="AY109" i="6" s="1"/>
  <c r="BA109" i="6" s="1"/>
  <c r="AV110" i="6"/>
  <c r="AW110" i="6" s="1"/>
  <c r="AZ110" i="6" s="1"/>
  <c r="AX110" i="6"/>
  <c r="AY110" i="6" s="1"/>
  <c r="BA110" i="6" s="1"/>
  <c r="AV111" i="6"/>
  <c r="AW111" i="6"/>
  <c r="AX111" i="6"/>
  <c r="AY111" i="6" s="1"/>
  <c r="BA111" i="6" s="1"/>
  <c r="AZ111" i="6"/>
  <c r="AV112" i="6"/>
  <c r="AW112" i="6" s="1"/>
  <c r="AZ112" i="6" s="1"/>
  <c r="AX112" i="6"/>
  <c r="AY112" i="6"/>
  <c r="BA112" i="6" s="1"/>
  <c r="AV113" i="6"/>
  <c r="AW113" i="6"/>
  <c r="AZ113" i="6" s="1"/>
  <c r="AX113" i="6"/>
  <c r="AY113" i="6" s="1"/>
  <c r="BA113" i="6" s="1"/>
  <c r="AV114" i="6"/>
  <c r="AW114" i="6" s="1"/>
  <c r="AZ114" i="6" s="1"/>
  <c r="AX114" i="6"/>
  <c r="AY114" i="6"/>
  <c r="BA114" i="6" s="1"/>
  <c r="AV115" i="6"/>
  <c r="AW115" i="6"/>
  <c r="AX115" i="6"/>
  <c r="AY115" i="6" s="1"/>
  <c r="BA115" i="6" s="1"/>
  <c r="AZ115" i="6"/>
  <c r="AV116" i="6"/>
  <c r="AW116" i="6" s="1"/>
  <c r="AZ116" i="6" s="1"/>
  <c r="AX116" i="6"/>
  <c r="AY116" i="6"/>
  <c r="BA116" i="6" s="1"/>
  <c r="AV117" i="6"/>
  <c r="AW117" i="6"/>
  <c r="AZ117" i="6" s="1"/>
  <c r="AX117" i="6"/>
  <c r="AY117" i="6" s="1"/>
  <c r="BA117" i="6" s="1"/>
  <c r="AV118" i="6"/>
  <c r="AW118" i="6" s="1"/>
  <c r="AZ118" i="6" s="1"/>
  <c r="AX118" i="6"/>
  <c r="AY118" i="6"/>
  <c r="BA118" i="6" s="1"/>
  <c r="AV119" i="6"/>
  <c r="AW119" i="6"/>
  <c r="AX119" i="6"/>
  <c r="AY119" i="6" s="1"/>
  <c r="BA119" i="6" s="1"/>
  <c r="AZ119" i="6"/>
  <c r="AV120" i="6"/>
  <c r="AW120" i="6" s="1"/>
  <c r="AZ120" i="6" s="1"/>
  <c r="AX120" i="6"/>
  <c r="AY120" i="6"/>
  <c r="BA120" i="6" s="1"/>
  <c r="AV121" i="6"/>
  <c r="AW121" i="6"/>
  <c r="AZ121" i="6" s="1"/>
  <c r="AX121" i="6"/>
  <c r="AY121" i="6" s="1"/>
  <c r="BA121" i="6" s="1"/>
  <c r="AV122" i="6"/>
  <c r="AW122" i="6" s="1"/>
  <c r="AZ122" i="6" s="1"/>
  <c r="AX122" i="6"/>
  <c r="AY122" i="6" s="1"/>
  <c r="BA122" i="6" s="1"/>
  <c r="AV123" i="6"/>
  <c r="AW123" i="6"/>
  <c r="AX123" i="6"/>
  <c r="AY123" i="6" s="1"/>
  <c r="BA123" i="6" s="1"/>
  <c r="AZ123" i="6"/>
  <c r="AV124" i="6"/>
  <c r="AW124" i="6" s="1"/>
  <c r="AZ124" i="6" s="1"/>
  <c r="AX124" i="6"/>
  <c r="AY124" i="6"/>
  <c r="BA124" i="6" s="1"/>
  <c r="AV125" i="6"/>
  <c r="AW125" i="6"/>
  <c r="AZ125" i="6" s="1"/>
  <c r="AX125" i="6"/>
  <c r="AY125" i="6" s="1"/>
  <c r="BA125" i="6" s="1"/>
  <c r="AV126" i="6"/>
  <c r="AW126" i="6" s="1"/>
  <c r="AZ126" i="6" s="1"/>
  <c r="AX126" i="6"/>
  <c r="AY126" i="6"/>
  <c r="BA126" i="6" s="1"/>
  <c r="AV127" i="6"/>
  <c r="AW127" i="6"/>
  <c r="AX127" i="6"/>
  <c r="AY127" i="6" s="1"/>
  <c r="BA127" i="6" s="1"/>
  <c r="AZ127" i="6"/>
  <c r="AV128" i="6"/>
  <c r="AW128" i="6" s="1"/>
  <c r="AZ128" i="6" s="1"/>
  <c r="AX128" i="6"/>
  <c r="AY128" i="6"/>
  <c r="BA128" i="6" s="1"/>
  <c r="AV129" i="6"/>
  <c r="AW129" i="6"/>
  <c r="AZ129" i="6" s="1"/>
  <c r="AX129" i="6"/>
  <c r="AY129" i="6" s="1"/>
  <c r="BA129" i="6" s="1"/>
  <c r="AV130" i="6"/>
  <c r="AW130" i="6" s="1"/>
  <c r="AZ130" i="6" s="1"/>
  <c r="AX130" i="6"/>
  <c r="AY130" i="6" s="1"/>
  <c r="BA130" i="6" s="1"/>
  <c r="AV131" i="6"/>
  <c r="AW131" i="6"/>
  <c r="AX131" i="6"/>
  <c r="AY131" i="6" s="1"/>
  <c r="AZ131" i="6"/>
  <c r="BA131" i="6"/>
  <c r="AV132" i="6"/>
  <c r="AW132" i="6" s="1"/>
  <c r="AZ132" i="6" s="1"/>
  <c r="AX132" i="6"/>
  <c r="AY132" i="6"/>
  <c r="BA132" i="6" s="1"/>
  <c r="AV133" i="6"/>
  <c r="AW133" i="6"/>
  <c r="AZ133" i="6" s="1"/>
  <c r="AX133" i="6"/>
  <c r="AY133" i="6" s="1"/>
  <c r="BA133" i="6" s="1"/>
  <c r="AV134" i="6"/>
  <c r="AW134" i="6" s="1"/>
  <c r="AZ134" i="6" s="1"/>
  <c r="AX134" i="6"/>
  <c r="AY134" i="6"/>
  <c r="BA134" i="6" s="1"/>
  <c r="AV135" i="6"/>
  <c r="AW135" i="6"/>
  <c r="AX135" i="6"/>
  <c r="AY135" i="6" s="1"/>
  <c r="BA135" i="6" s="1"/>
  <c r="AZ135" i="6"/>
  <c r="AV136" i="6"/>
  <c r="AW136" i="6" s="1"/>
  <c r="AZ136" i="6" s="1"/>
  <c r="AX136" i="6"/>
  <c r="AY136" i="6"/>
  <c r="BA136" i="6" s="1"/>
  <c r="AV137" i="6"/>
  <c r="AW137" i="6"/>
  <c r="AZ137" i="6" s="1"/>
  <c r="AX137" i="6"/>
  <c r="AY137" i="6" s="1"/>
  <c r="BA137" i="6" s="1"/>
  <c r="AV138" i="6"/>
  <c r="AW138" i="6" s="1"/>
  <c r="AZ138" i="6" s="1"/>
  <c r="AX138" i="6"/>
  <c r="AY138" i="6"/>
  <c r="BA138" i="6" s="1"/>
  <c r="AV139" i="6"/>
  <c r="AW139" i="6"/>
  <c r="AX139" i="6"/>
  <c r="AY139" i="6" s="1"/>
  <c r="BA139" i="6" s="1"/>
  <c r="AZ139" i="6"/>
  <c r="AV140" i="6"/>
  <c r="AW140" i="6" s="1"/>
  <c r="AZ140" i="6" s="1"/>
  <c r="AX140" i="6"/>
  <c r="AY140" i="6"/>
  <c r="BA140" i="6" s="1"/>
  <c r="AV141" i="6"/>
  <c r="AW141" i="6"/>
  <c r="AZ141" i="6" s="1"/>
  <c r="AX141" i="6"/>
  <c r="AY141" i="6" s="1"/>
  <c r="BA141" i="6" s="1"/>
  <c r="AV142" i="6"/>
  <c r="AW142" i="6" s="1"/>
  <c r="AZ142" i="6" s="1"/>
  <c r="AX142" i="6"/>
  <c r="AY142" i="6"/>
  <c r="BA142" i="6" s="1"/>
  <c r="AV143" i="6"/>
  <c r="AW143" i="6"/>
  <c r="AX143" i="6"/>
  <c r="AY143" i="6" s="1"/>
  <c r="BA143" i="6" s="1"/>
  <c r="AZ143" i="6"/>
  <c r="AV144" i="6"/>
  <c r="AW144" i="6" s="1"/>
  <c r="AZ144" i="6" s="1"/>
  <c r="AX144" i="6"/>
  <c r="AY144" i="6"/>
  <c r="BA144" i="6" s="1"/>
  <c r="AV145" i="6"/>
  <c r="AW145" i="6"/>
  <c r="AZ145" i="6" s="1"/>
  <c r="AX145" i="6"/>
  <c r="AY145" i="6" s="1"/>
  <c r="BA145" i="6" s="1"/>
  <c r="AV146" i="6"/>
  <c r="AW146" i="6" s="1"/>
  <c r="AZ146" i="6" s="1"/>
  <c r="AX146" i="6"/>
  <c r="AY146" i="6" s="1"/>
  <c r="BA146" i="6" s="1"/>
  <c r="AV147" i="6"/>
  <c r="AW147" i="6"/>
  <c r="AX147" i="6"/>
  <c r="AY147" i="6" s="1"/>
  <c r="AZ147" i="6"/>
  <c r="BA147" i="6"/>
  <c r="AV148" i="6"/>
  <c r="AW148" i="6" s="1"/>
  <c r="AZ148" i="6" s="1"/>
  <c r="AX148" i="6"/>
  <c r="AY148" i="6"/>
  <c r="BA148" i="6" s="1"/>
  <c r="AV149" i="6"/>
  <c r="AW149" i="6"/>
  <c r="AZ149" i="6" s="1"/>
  <c r="AX149" i="6"/>
  <c r="AY149" i="6" s="1"/>
  <c r="BA149" i="6" s="1"/>
  <c r="AV150" i="6"/>
  <c r="AW150" i="6" s="1"/>
  <c r="AZ150" i="6" s="1"/>
  <c r="AX150" i="6"/>
  <c r="AY150" i="6"/>
  <c r="BA150" i="6" s="1"/>
  <c r="AV151" i="6"/>
  <c r="AW151" i="6"/>
  <c r="AX151" i="6"/>
  <c r="AY151" i="6" s="1"/>
  <c r="AZ151" i="6"/>
  <c r="BA151" i="6"/>
  <c r="AV152" i="6"/>
  <c r="AW152" i="6" s="1"/>
  <c r="AZ152" i="6" s="1"/>
  <c r="AX152" i="6"/>
  <c r="AY152" i="6"/>
  <c r="BA152" i="6" s="1"/>
  <c r="AV153" i="6"/>
  <c r="AW153" i="6"/>
  <c r="AZ153" i="6" s="1"/>
  <c r="AX153" i="6"/>
  <c r="AY153" i="6" s="1"/>
  <c r="BA153" i="6" s="1"/>
  <c r="AV154" i="6"/>
  <c r="AW154" i="6" s="1"/>
  <c r="AZ154" i="6" s="1"/>
  <c r="AX154" i="6"/>
  <c r="AY154" i="6"/>
  <c r="BA154" i="6" s="1"/>
  <c r="AV155" i="6"/>
  <c r="AW155" i="6"/>
  <c r="AX155" i="6"/>
  <c r="AY155" i="6" s="1"/>
  <c r="BA155" i="6" s="1"/>
  <c r="AZ155" i="6"/>
  <c r="AV156" i="6"/>
  <c r="AW156" i="6" s="1"/>
  <c r="AZ156" i="6" s="1"/>
  <c r="AX156" i="6"/>
  <c r="AY156" i="6"/>
  <c r="BA156" i="6" s="1"/>
  <c r="AV157" i="6"/>
  <c r="AW157" i="6"/>
  <c r="AZ157" i="6" s="1"/>
  <c r="AX157" i="6"/>
  <c r="AY157" i="6" s="1"/>
  <c r="BA157" i="6" s="1"/>
  <c r="AV158" i="6"/>
  <c r="AW158" i="6" s="1"/>
  <c r="AZ158" i="6" s="1"/>
  <c r="AX158" i="6"/>
  <c r="AY158" i="6"/>
  <c r="BA158" i="6" s="1"/>
  <c r="AV159" i="6"/>
  <c r="AW159" i="6" s="1"/>
  <c r="AX159" i="6"/>
  <c r="AY159" i="6" s="1"/>
  <c r="AZ159" i="6"/>
  <c r="BA159" i="6"/>
  <c r="AV160" i="6"/>
  <c r="AW160" i="6" s="1"/>
  <c r="AZ160" i="6" s="1"/>
  <c r="AX160" i="6"/>
  <c r="AY160" i="6" s="1"/>
  <c r="BA160" i="6" s="1"/>
  <c r="AV161" i="6"/>
  <c r="AW161" i="6" s="1"/>
  <c r="AZ161" i="6" s="1"/>
  <c r="AX161" i="6"/>
  <c r="AY161" i="6" s="1"/>
  <c r="BA161" i="6" s="1"/>
  <c r="AV162" i="6"/>
  <c r="AW162" i="6" s="1"/>
  <c r="AZ162" i="6" s="1"/>
  <c r="AX162" i="6"/>
  <c r="AY162" i="6"/>
  <c r="BA162" i="6" s="1"/>
  <c r="AV163" i="6"/>
  <c r="AW163" i="6" s="1"/>
  <c r="AZ163" i="6" s="1"/>
  <c r="AX163" i="6"/>
  <c r="AY163" i="6" s="1"/>
  <c r="BA163" i="6" s="1"/>
  <c r="AV164" i="6"/>
  <c r="AW164" i="6" s="1"/>
  <c r="AX164" i="6"/>
  <c r="AY164" i="6" s="1"/>
  <c r="BA164" i="6" s="1"/>
  <c r="AZ164" i="6"/>
  <c r="AV165" i="6"/>
  <c r="AW165" i="6" s="1"/>
  <c r="AZ165" i="6" s="1"/>
  <c r="AX165" i="6"/>
  <c r="AY165" i="6" s="1"/>
  <c r="BA165" i="6" s="1"/>
  <c r="AV166" i="6"/>
  <c r="AW166" i="6" s="1"/>
  <c r="AX166" i="6"/>
  <c r="AY166" i="6"/>
  <c r="BA166" i="6" s="1"/>
  <c r="AZ166" i="6"/>
  <c r="AV167" i="6"/>
  <c r="AW167" i="6" s="1"/>
  <c r="AZ167" i="6" s="1"/>
  <c r="AX167" i="6"/>
  <c r="AY167" i="6" s="1"/>
  <c r="BA167" i="6" s="1"/>
  <c r="AV168" i="6"/>
  <c r="AW168" i="6" s="1"/>
  <c r="AX168" i="6"/>
  <c r="AY168" i="6" s="1"/>
  <c r="BA168" i="6" s="1"/>
  <c r="AZ168" i="6"/>
  <c r="AV169" i="6"/>
  <c r="AW169" i="6"/>
  <c r="AZ169" i="6" s="1"/>
  <c r="AX169" i="6"/>
  <c r="AY169" i="6" s="1"/>
  <c r="BA169" i="6" s="1"/>
  <c r="AV170" i="6"/>
  <c r="AW170" i="6" s="1"/>
  <c r="AZ170" i="6" s="1"/>
  <c r="AX170" i="6"/>
  <c r="AY170" i="6" s="1"/>
  <c r="BA170" i="6" s="1"/>
  <c r="AV171" i="6"/>
  <c r="AW171" i="6" s="1"/>
  <c r="AZ171" i="6" s="1"/>
  <c r="AX171" i="6"/>
  <c r="AY171" i="6" s="1"/>
  <c r="BA171" i="6"/>
  <c r="AV172" i="6"/>
  <c r="AW172" i="6" s="1"/>
  <c r="AZ172" i="6" s="1"/>
  <c r="AX172" i="6"/>
  <c r="AY172" i="6" s="1"/>
  <c r="BA172" i="6" s="1"/>
  <c r="AV173" i="6"/>
  <c r="AW173" i="6"/>
  <c r="AZ173" i="6" s="1"/>
  <c r="AX173" i="6"/>
  <c r="AY173" i="6" s="1"/>
  <c r="BA173" i="6" s="1"/>
  <c r="AV174" i="6"/>
  <c r="AW174" i="6" s="1"/>
  <c r="AZ174" i="6" s="1"/>
  <c r="AX174" i="6"/>
  <c r="AY174" i="6"/>
  <c r="BA174" i="6" s="1"/>
  <c r="AV175" i="6"/>
  <c r="AW175" i="6" s="1"/>
  <c r="AX175" i="6"/>
  <c r="AY175" i="6" s="1"/>
  <c r="AZ175" i="6"/>
  <c r="BA175" i="6"/>
  <c r="AV176" i="6"/>
  <c r="AW176" i="6" s="1"/>
  <c r="AZ176" i="6" s="1"/>
  <c r="AX176" i="6"/>
  <c r="AY176" i="6" s="1"/>
  <c r="BA176" i="6" s="1"/>
  <c r="AV177" i="6"/>
  <c r="AW177" i="6" s="1"/>
  <c r="AZ177" i="6" s="1"/>
  <c r="AX177" i="6"/>
  <c r="AY177" i="6" s="1"/>
  <c r="BA177" i="6" s="1"/>
  <c r="AV178" i="6"/>
  <c r="AW178" i="6" s="1"/>
  <c r="AZ178" i="6" s="1"/>
  <c r="AX178" i="6"/>
  <c r="AY178" i="6"/>
  <c r="BA178" i="6" s="1"/>
  <c r="AV179" i="6"/>
  <c r="AW179" i="6" s="1"/>
  <c r="AZ179" i="6" s="1"/>
  <c r="AX179" i="6"/>
  <c r="AY179" i="6" s="1"/>
  <c r="BA179" i="6" s="1"/>
  <c r="AV180" i="6"/>
  <c r="AW180" i="6" s="1"/>
  <c r="AX180" i="6"/>
  <c r="AY180" i="6" s="1"/>
  <c r="BA180" i="6" s="1"/>
  <c r="AZ180" i="6"/>
  <c r="AV181" i="6"/>
  <c r="AW181" i="6"/>
  <c r="AZ181" i="6" s="1"/>
  <c r="AX181" i="6"/>
  <c r="AY181" i="6" s="1"/>
  <c r="BA181" i="6" s="1"/>
  <c r="AV182" i="6"/>
  <c r="AW182" i="6" s="1"/>
  <c r="AX182" i="6"/>
  <c r="AY182" i="6"/>
  <c r="BA182" i="6" s="1"/>
  <c r="AZ182" i="6"/>
  <c r="AV183" i="6"/>
  <c r="AW183" i="6" s="1"/>
  <c r="AZ183" i="6" s="1"/>
  <c r="AX183" i="6"/>
  <c r="AY183" i="6" s="1"/>
  <c r="BA183" i="6" s="1"/>
  <c r="AV184" i="6"/>
  <c r="AW184" i="6" s="1"/>
  <c r="AX184" i="6"/>
  <c r="AY184" i="6" s="1"/>
  <c r="BA184" i="6" s="1"/>
  <c r="AZ184" i="6"/>
  <c r="AV185" i="6"/>
  <c r="AW185" i="6"/>
  <c r="AZ185" i="6" s="1"/>
  <c r="AX185" i="6"/>
  <c r="AY185" i="6" s="1"/>
  <c r="BA185" i="6" s="1"/>
  <c r="AV186" i="6"/>
  <c r="AW186" i="6" s="1"/>
  <c r="AZ186" i="6" s="1"/>
  <c r="AX186" i="6"/>
  <c r="AY186" i="6" s="1"/>
  <c r="BA186" i="6" s="1"/>
  <c r="AV187" i="6"/>
  <c r="AW187" i="6" s="1"/>
  <c r="AZ187" i="6" s="1"/>
  <c r="AX187" i="6"/>
  <c r="AY187" i="6" s="1"/>
  <c r="BA187" i="6"/>
  <c r="AV188" i="6"/>
  <c r="AW188" i="6" s="1"/>
  <c r="AZ188" i="6" s="1"/>
  <c r="AX188" i="6"/>
  <c r="AY188" i="6" s="1"/>
  <c r="BA188" i="6" s="1"/>
  <c r="AV189" i="6"/>
  <c r="AW189" i="6"/>
  <c r="AZ189" i="6" s="1"/>
  <c r="AX189" i="6"/>
  <c r="AY189" i="6" s="1"/>
  <c r="BA189" i="6" s="1"/>
  <c r="AV190" i="6"/>
  <c r="AW190" i="6" s="1"/>
  <c r="AZ190" i="6" s="1"/>
  <c r="AX190" i="6"/>
  <c r="AY190" i="6"/>
  <c r="BA190" i="6" s="1"/>
  <c r="AV191" i="6"/>
  <c r="AW191" i="6" s="1"/>
  <c r="AX191" i="6"/>
  <c r="AY191" i="6" s="1"/>
  <c r="AZ191" i="6"/>
  <c r="BA191" i="6"/>
  <c r="AV192" i="6"/>
  <c r="AW192" i="6" s="1"/>
  <c r="AZ192" i="6" s="1"/>
  <c r="AX192" i="6"/>
  <c r="AY192" i="6" s="1"/>
  <c r="BA192" i="6" s="1"/>
  <c r="AV193" i="6"/>
  <c r="AW193" i="6" s="1"/>
  <c r="AZ193" i="6" s="1"/>
  <c r="AX193" i="6"/>
  <c r="AY193" i="6" s="1"/>
  <c r="BA193" i="6" s="1"/>
  <c r="AV194" i="6"/>
  <c r="AW194" i="6" s="1"/>
  <c r="AZ194" i="6" s="1"/>
  <c r="AX194" i="6"/>
  <c r="AY194" i="6"/>
  <c r="BA194" i="6" s="1"/>
  <c r="AV195" i="6"/>
  <c r="AW195" i="6" s="1"/>
  <c r="AZ195" i="6" s="1"/>
  <c r="AX195" i="6"/>
  <c r="AY195" i="6" s="1"/>
  <c r="BA195" i="6" s="1"/>
  <c r="AV196" i="6"/>
  <c r="AW196" i="6" s="1"/>
  <c r="AZ196" i="6" s="1"/>
  <c r="AX196" i="6"/>
  <c r="AY196" i="6" s="1"/>
  <c r="BA196" i="6" s="1"/>
  <c r="AV197" i="6"/>
  <c r="AW197" i="6" s="1"/>
  <c r="AZ197" i="6" s="1"/>
  <c r="AX197" i="6"/>
  <c r="AY197" i="6" s="1"/>
  <c r="BA197" i="6" s="1"/>
  <c r="AV198" i="6"/>
  <c r="AW198" i="6" s="1"/>
  <c r="AX198" i="6"/>
  <c r="AY198" i="6"/>
  <c r="BA198" i="6" s="1"/>
  <c r="AZ198" i="6"/>
  <c r="AV199" i="6"/>
  <c r="AW199" i="6" s="1"/>
  <c r="AX199" i="6"/>
  <c r="AY199" i="6" s="1"/>
  <c r="BA199" i="6" s="1"/>
  <c r="AZ199" i="6"/>
  <c r="AV200" i="6"/>
  <c r="AW200" i="6" s="1"/>
  <c r="AX200" i="6"/>
  <c r="AY200" i="6" s="1"/>
  <c r="BA200" i="6" s="1"/>
  <c r="AZ200" i="6"/>
  <c r="AV201" i="6"/>
  <c r="AW201" i="6"/>
  <c r="AZ201" i="6" s="1"/>
  <c r="AX201" i="6"/>
  <c r="AY201" i="6" s="1"/>
  <c r="BA201" i="6" s="1"/>
  <c r="AV202" i="6"/>
  <c r="AW202" i="6" s="1"/>
  <c r="AZ202" i="6" s="1"/>
  <c r="AX202" i="6"/>
  <c r="AY202" i="6" s="1"/>
  <c r="BA202" i="6" s="1"/>
  <c r="AV203" i="6"/>
  <c r="AW203" i="6" s="1"/>
  <c r="AZ203" i="6" s="1"/>
  <c r="AX203" i="6"/>
  <c r="AY203" i="6" s="1"/>
  <c r="BA203" i="6"/>
  <c r="AV204" i="6"/>
  <c r="AW204" i="6" s="1"/>
  <c r="AZ204" i="6" s="1"/>
  <c r="AX204" i="6"/>
  <c r="AY204" i="6" s="1"/>
  <c r="BA204" i="6" s="1"/>
  <c r="AV205" i="6"/>
  <c r="AW205" i="6"/>
  <c r="AZ205" i="6" s="1"/>
  <c r="AX205" i="6"/>
  <c r="AY205" i="6" s="1"/>
  <c r="BA205" i="6" s="1"/>
  <c r="AV206" i="6"/>
  <c r="AW206" i="6" s="1"/>
  <c r="AZ206" i="6" s="1"/>
  <c r="AX206" i="6"/>
  <c r="AY206" i="6"/>
  <c r="BA206" i="6" s="1"/>
  <c r="AV207" i="6"/>
  <c r="AW207" i="6" s="1"/>
  <c r="AX207" i="6"/>
  <c r="AY207" i="6" s="1"/>
  <c r="AZ207" i="6"/>
  <c r="BA207" i="6"/>
  <c r="AV208" i="6"/>
  <c r="AW208" i="6" s="1"/>
  <c r="AZ208" i="6" s="1"/>
  <c r="AX208" i="6"/>
  <c r="AY208" i="6" s="1"/>
  <c r="BA208" i="6" s="1"/>
  <c r="AV209" i="6"/>
  <c r="AW209" i="6" s="1"/>
  <c r="AX209" i="6"/>
  <c r="AY209" i="6" s="1"/>
  <c r="BA209" i="6" s="1"/>
  <c r="AZ209" i="6"/>
  <c r="AV210" i="6"/>
  <c r="AW210" i="6" s="1"/>
  <c r="AX210" i="6"/>
  <c r="AY210" i="6" s="1"/>
  <c r="BA210" i="6" s="1"/>
  <c r="AZ210" i="6"/>
  <c r="AV211" i="6"/>
  <c r="AW211" i="6" s="1"/>
  <c r="AX211" i="6"/>
  <c r="AY211" i="6"/>
  <c r="AZ211" i="6"/>
  <c r="BA211" i="6"/>
  <c r="AV212" i="6"/>
  <c r="AW212" i="6" s="1"/>
  <c r="AZ212" i="6" s="1"/>
  <c r="AX212" i="6"/>
  <c r="AY212" i="6" s="1"/>
  <c r="BA212" i="6" s="1"/>
  <c r="AV213" i="6"/>
  <c r="AW213" i="6" s="1"/>
  <c r="AX213" i="6"/>
  <c r="AY213" i="6" s="1"/>
  <c r="BA213" i="6" s="1"/>
  <c r="AZ213" i="6"/>
  <c r="AV214" i="6"/>
  <c r="AW214" i="6"/>
  <c r="AX214" i="6"/>
  <c r="AY214" i="6" s="1"/>
  <c r="BA214" i="6" s="1"/>
  <c r="AZ214" i="6"/>
  <c r="AV215" i="6"/>
  <c r="AW215" i="6" s="1"/>
  <c r="AX215" i="6"/>
  <c r="AY215" i="6" s="1"/>
  <c r="BA215" i="6" s="1"/>
  <c r="AZ215" i="6"/>
  <c r="AV216" i="6"/>
  <c r="AW216" i="6" s="1"/>
  <c r="AZ216" i="6" s="1"/>
  <c r="AX216" i="6"/>
  <c r="AY216" i="6" s="1"/>
  <c r="BA216" i="6" s="1"/>
  <c r="AV217" i="6"/>
  <c r="AW217" i="6" s="1"/>
  <c r="AZ217" i="6" s="1"/>
  <c r="AX217" i="6"/>
  <c r="AY217" i="6"/>
  <c r="BA217" i="6" s="1"/>
  <c r="AV218" i="6"/>
  <c r="AW218" i="6" s="1"/>
  <c r="AX218" i="6"/>
  <c r="AY218" i="6" s="1"/>
  <c r="BA218" i="6" s="1"/>
  <c r="AZ218" i="6"/>
  <c r="AV219" i="6"/>
  <c r="AW219" i="6" s="1"/>
  <c r="AX219" i="6"/>
  <c r="AY219" i="6" s="1"/>
  <c r="BA219" i="6" s="1"/>
  <c r="AZ219" i="6"/>
  <c r="AV220" i="6"/>
  <c r="AW220" i="6"/>
  <c r="AZ220" i="6" s="1"/>
  <c r="AX220" i="6"/>
  <c r="AY220" i="6" s="1"/>
  <c r="BA220" i="6" s="1"/>
  <c r="AV221" i="6"/>
  <c r="AW221" i="6" s="1"/>
  <c r="AZ221" i="6" s="1"/>
  <c r="AX221" i="6"/>
  <c r="AY221" i="6" s="1"/>
  <c r="BA221" i="6" s="1"/>
  <c r="AV222" i="6"/>
  <c r="AW222" i="6" s="1"/>
  <c r="AX222" i="6"/>
  <c r="AY222" i="6" s="1"/>
  <c r="AZ222" i="6"/>
  <c r="BA222" i="6"/>
  <c r="AV223" i="6"/>
  <c r="AW223" i="6" s="1"/>
  <c r="AZ223" i="6" s="1"/>
  <c r="AX223" i="6"/>
  <c r="AY223" i="6" s="1"/>
  <c r="BA223" i="6" s="1"/>
  <c r="AV224" i="6"/>
  <c r="AW224" i="6"/>
  <c r="AZ224" i="6" s="1"/>
  <c r="AX224" i="6"/>
  <c r="AY224" i="6" s="1"/>
  <c r="BA224" i="6" s="1"/>
  <c r="AV225" i="6"/>
  <c r="AW225" i="6" s="1"/>
  <c r="AZ225" i="6" s="1"/>
  <c r="AX225" i="6"/>
  <c r="AY225" i="6"/>
  <c r="BA225" i="6" s="1"/>
  <c r="AV226" i="6"/>
  <c r="AW226" i="6" s="1"/>
  <c r="AX226" i="6"/>
  <c r="AY226" i="6" s="1"/>
  <c r="BA226" i="6" s="1"/>
  <c r="AZ226" i="6"/>
  <c r="AV227" i="6"/>
  <c r="AW227" i="6" s="1"/>
  <c r="AZ227" i="6" s="1"/>
  <c r="AX227" i="6"/>
  <c r="AY227" i="6" s="1"/>
  <c r="BA227" i="6" s="1"/>
  <c r="AV228" i="6"/>
  <c r="AW228" i="6" s="1"/>
  <c r="AZ228" i="6" s="1"/>
  <c r="AX228" i="6"/>
  <c r="AY228" i="6" s="1"/>
  <c r="BA228" i="6" s="1"/>
  <c r="AV229" i="6"/>
  <c r="AW229" i="6" s="1"/>
  <c r="AX229" i="6"/>
  <c r="AY229" i="6"/>
  <c r="BA229" i="6" s="1"/>
  <c r="AZ229" i="6"/>
  <c r="AV230" i="6"/>
  <c r="AW230" i="6" s="1"/>
  <c r="AZ230" i="6" s="1"/>
  <c r="AX230" i="6"/>
  <c r="AY230" i="6" s="1"/>
  <c r="BA230" i="6" s="1"/>
  <c r="AV231" i="6"/>
  <c r="AW231" i="6" s="1"/>
  <c r="AZ231" i="6" s="1"/>
  <c r="AX231" i="6"/>
  <c r="AY231" i="6" s="1"/>
  <c r="BA231" i="6" s="1"/>
  <c r="AV232" i="6"/>
  <c r="AW232" i="6"/>
  <c r="AZ232" i="6" s="1"/>
  <c r="AX232" i="6"/>
  <c r="AY232" i="6" s="1"/>
  <c r="BA232" i="6" s="1"/>
  <c r="AV233" i="6"/>
  <c r="AW233" i="6" s="1"/>
  <c r="AZ233" i="6" s="1"/>
  <c r="AX233" i="6"/>
  <c r="AY233" i="6"/>
  <c r="BA233" i="6" s="1"/>
  <c r="AV234" i="6"/>
  <c r="AW234" i="6" s="1"/>
  <c r="AX234" i="6"/>
  <c r="AY234" i="6" s="1"/>
  <c r="BA234" i="6" s="1"/>
  <c r="AZ234" i="6"/>
  <c r="AV235" i="6"/>
  <c r="AW235" i="6" s="1"/>
  <c r="AX235" i="6"/>
  <c r="AY235" i="6" s="1"/>
  <c r="BA235" i="6" s="1"/>
  <c r="AZ235" i="6"/>
  <c r="AV236" i="6"/>
  <c r="AW236" i="6"/>
  <c r="AZ236" i="6" s="1"/>
  <c r="AX236" i="6"/>
  <c r="AY236" i="6" s="1"/>
  <c r="BA236" i="6" s="1"/>
  <c r="AV237" i="6"/>
  <c r="AW237" i="6" s="1"/>
  <c r="AZ237" i="6" s="1"/>
  <c r="AX237" i="6"/>
  <c r="AY237" i="6" s="1"/>
  <c r="BA237" i="6" s="1"/>
  <c r="AV238" i="6"/>
  <c r="AW238" i="6" s="1"/>
  <c r="AZ238" i="6" s="1"/>
  <c r="AX238" i="6"/>
  <c r="AY238" i="6" s="1"/>
  <c r="BA238" i="6"/>
  <c r="AV239" i="6"/>
  <c r="AW239" i="6" s="1"/>
  <c r="AZ239" i="6" s="1"/>
  <c r="AX239" i="6"/>
  <c r="AY239" i="6" s="1"/>
  <c r="BA239" i="6" s="1"/>
  <c r="AV240" i="6"/>
  <c r="AW240" i="6"/>
  <c r="AZ240" i="6" s="1"/>
  <c r="AX240" i="6"/>
  <c r="AY240" i="6" s="1"/>
  <c r="BA240" i="6" s="1"/>
  <c r="AV241" i="6"/>
  <c r="AW241" i="6" s="1"/>
  <c r="AZ241" i="6" s="1"/>
  <c r="AX241" i="6"/>
  <c r="AY241" i="6"/>
  <c r="BA241" i="6" s="1"/>
  <c r="AV242" i="6"/>
  <c r="AW242" i="6" s="1"/>
  <c r="AX242" i="6"/>
  <c r="AY242" i="6" s="1"/>
  <c r="BA242" i="6" s="1"/>
  <c r="AZ242" i="6"/>
  <c r="AV243" i="6"/>
  <c r="AW243" i="6" s="1"/>
  <c r="AX243" i="6"/>
  <c r="AY243" i="6" s="1"/>
  <c r="BA243" i="6" s="1"/>
  <c r="AZ243" i="6"/>
  <c r="AV244" i="6"/>
  <c r="AW244" i="6" s="1"/>
  <c r="AZ244" i="6" s="1"/>
  <c r="AX244" i="6"/>
  <c r="AY244" i="6" s="1"/>
  <c r="BA244" i="6" s="1"/>
  <c r="AV245" i="6"/>
  <c r="AW245" i="6" s="1"/>
  <c r="AX245" i="6"/>
  <c r="AY245" i="6"/>
  <c r="BA245" i="6" s="1"/>
  <c r="AZ245" i="6"/>
  <c r="AV246" i="6"/>
  <c r="AW246" i="6" s="1"/>
  <c r="AZ246" i="6" s="1"/>
  <c r="AX246" i="6"/>
  <c r="AY246" i="6" s="1"/>
  <c r="BA246" i="6" s="1"/>
  <c r="AV247" i="6"/>
  <c r="AW247" i="6" s="1"/>
  <c r="AX247" i="6"/>
  <c r="AY247" i="6" s="1"/>
  <c r="BA247" i="6" s="1"/>
  <c r="AZ247" i="6"/>
  <c r="AV248" i="6"/>
  <c r="AW248" i="6" s="1"/>
  <c r="AZ248" i="6" s="1"/>
  <c r="AX248" i="6"/>
  <c r="AY248" i="6" s="1"/>
  <c r="BA248" i="6" s="1"/>
  <c r="AV249" i="6"/>
  <c r="AW249" i="6" s="1"/>
  <c r="AZ249" i="6" s="1"/>
  <c r="AX249" i="6"/>
  <c r="AY249" i="6"/>
  <c r="BA249" i="6" s="1"/>
  <c r="AV250" i="6"/>
  <c r="AW250" i="6" s="1"/>
  <c r="AX250" i="6"/>
  <c r="AY250" i="6" s="1"/>
  <c r="BA250" i="6" s="1"/>
  <c r="AZ250" i="6"/>
  <c r="AV251" i="6"/>
  <c r="AW251" i="6" s="1"/>
  <c r="AX251" i="6"/>
  <c r="AY251" i="6" s="1"/>
  <c r="BA251" i="6" s="1"/>
  <c r="AZ251" i="6"/>
  <c r="AV252" i="6"/>
  <c r="AW252" i="6"/>
  <c r="AZ252" i="6" s="1"/>
  <c r="AX252" i="6"/>
  <c r="AY252" i="6" s="1"/>
  <c r="BA252" i="6" s="1"/>
  <c r="AV253" i="6"/>
  <c r="AW253" i="6" s="1"/>
  <c r="AZ253" i="6" s="1"/>
  <c r="AX253" i="6"/>
  <c r="AY253" i="6" s="1"/>
  <c r="BA253" i="6" s="1"/>
  <c r="AV254" i="6"/>
  <c r="AW254" i="6" s="1"/>
  <c r="AX254" i="6"/>
  <c r="AY254" i="6" s="1"/>
  <c r="AZ254" i="6"/>
  <c r="BA254" i="6"/>
  <c r="AV255" i="6"/>
  <c r="AW255" i="6" s="1"/>
  <c r="AZ255" i="6" s="1"/>
  <c r="AX255" i="6"/>
  <c r="AY255" i="6" s="1"/>
  <c r="BA255" i="6" s="1"/>
  <c r="AV256" i="6"/>
  <c r="AW256" i="6"/>
  <c r="AZ256" i="6" s="1"/>
  <c r="AX256" i="6"/>
  <c r="AY256" i="6" s="1"/>
  <c r="BA256" i="6" s="1"/>
  <c r="AV257" i="6"/>
  <c r="AW257" i="6" s="1"/>
  <c r="AZ257" i="6" s="1"/>
  <c r="AX257" i="6"/>
  <c r="AY257" i="6"/>
  <c r="BA257" i="6" s="1"/>
  <c r="AV258" i="6"/>
  <c r="AW258" i="6" s="1"/>
  <c r="AX258" i="6"/>
  <c r="AY258" i="6" s="1"/>
  <c r="BA258" i="6" s="1"/>
  <c r="AZ258" i="6"/>
  <c r="AV259" i="6"/>
  <c r="AW259" i="6" s="1"/>
  <c r="AZ259" i="6" s="1"/>
  <c r="AX259" i="6"/>
  <c r="AY259" i="6" s="1"/>
  <c r="BA259" i="6" s="1"/>
  <c r="AV260" i="6"/>
  <c r="AW260" i="6" s="1"/>
  <c r="AZ260" i="6" s="1"/>
  <c r="AX260" i="6"/>
  <c r="AY260" i="6" s="1"/>
  <c r="BA260" i="6" s="1"/>
  <c r="AV261" i="6"/>
  <c r="AW261" i="6" s="1"/>
  <c r="AX261" i="6"/>
  <c r="AY261" i="6"/>
  <c r="BA261" i="6" s="1"/>
  <c r="AZ261" i="6"/>
  <c r="AV262" i="6"/>
  <c r="AW262" i="6" s="1"/>
  <c r="AZ262" i="6" s="1"/>
  <c r="AX262" i="6"/>
  <c r="AY262" i="6" s="1"/>
  <c r="BA262" i="6" s="1"/>
  <c r="AV263" i="6"/>
  <c r="AW263" i="6" s="1"/>
  <c r="AZ263" i="6" s="1"/>
  <c r="AX263" i="6"/>
  <c r="AY263" i="6" s="1"/>
  <c r="BA263" i="6" s="1"/>
  <c r="AV264" i="6"/>
  <c r="AW264" i="6"/>
  <c r="AZ264" i="6" s="1"/>
  <c r="AX264" i="6"/>
  <c r="AY264" i="6" s="1"/>
  <c r="BA264" i="6" s="1"/>
  <c r="AV265" i="6"/>
  <c r="AW265" i="6" s="1"/>
  <c r="AZ265" i="6" s="1"/>
  <c r="AX265" i="6"/>
  <c r="AY265" i="6"/>
  <c r="BA265" i="6" s="1"/>
  <c r="AV266" i="6"/>
  <c r="AW266" i="6" s="1"/>
  <c r="AZ266" i="6" s="1"/>
  <c r="AX266" i="6"/>
  <c r="AY266" i="6" s="1"/>
  <c r="BA266" i="6" s="1"/>
  <c r="AV267" i="6"/>
  <c r="AW267" i="6" s="1"/>
  <c r="AX267" i="6"/>
  <c r="AY267" i="6" s="1"/>
  <c r="BA267" i="6" s="1"/>
  <c r="AZ267" i="6"/>
  <c r="AV268" i="6"/>
  <c r="AW268" i="6"/>
  <c r="AZ268" i="6" s="1"/>
  <c r="AX268" i="6"/>
  <c r="AY268" i="6" s="1"/>
  <c r="BA268" i="6" s="1"/>
  <c r="AV269" i="6"/>
  <c r="AW269" i="6" s="1"/>
  <c r="AZ269" i="6" s="1"/>
  <c r="AX269" i="6"/>
  <c r="AY269" i="6" s="1"/>
  <c r="BA269" i="6" s="1"/>
  <c r="AV270" i="6"/>
  <c r="AW270" i="6" s="1"/>
  <c r="AZ270" i="6" s="1"/>
  <c r="AX270" i="6"/>
  <c r="AY270" i="6" s="1"/>
  <c r="BA270" i="6"/>
  <c r="AV271" i="6"/>
  <c r="AW271" i="6" s="1"/>
  <c r="AZ271" i="6" s="1"/>
  <c r="AX271" i="6"/>
  <c r="AY271" i="6" s="1"/>
  <c r="BA271" i="6" s="1"/>
  <c r="AV272" i="6"/>
  <c r="AW272" i="6"/>
  <c r="AZ272" i="6" s="1"/>
  <c r="AX272" i="6"/>
  <c r="AY272" i="6" s="1"/>
  <c r="BA272" i="6" s="1"/>
  <c r="AV273" i="6"/>
  <c r="AW273" i="6" s="1"/>
  <c r="AZ273" i="6" s="1"/>
  <c r="AX273" i="6"/>
  <c r="AY273" i="6"/>
  <c r="BA273" i="6" s="1"/>
  <c r="AV274" i="6"/>
  <c r="AW274" i="6" s="1"/>
  <c r="AX274" i="6"/>
  <c r="AY274" i="6" s="1"/>
  <c r="BA274" i="6" s="1"/>
  <c r="AZ274" i="6"/>
  <c r="AV275" i="6"/>
  <c r="AW275" i="6" s="1"/>
  <c r="AX275" i="6"/>
  <c r="AY275" i="6" s="1"/>
  <c r="BA275" i="6" s="1"/>
  <c r="AZ275" i="6"/>
  <c r="AV276" i="6"/>
  <c r="AW276" i="6" s="1"/>
  <c r="AZ276" i="6" s="1"/>
  <c r="AX276" i="6"/>
  <c r="AY276" i="6" s="1"/>
  <c r="BA276" i="6" s="1"/>
  <c r="AV277" i="6"/>
  <c r="AW277" i="6" s="1"/>
  <c r="AZ277" i="6" s="1"/>
  <c r="AX277" i="6"/>
  <c r="AY277" i="6"/>
  <c r="BA277" i="6" s="1"/>
  <c r="AV278" i="6"/>
  <c r="AW278" i="6" s="1"/>
  <c r="AZ278" i="6" s="1"/>
  <c r="AX278" i="6"/>
  <c r="AY278" i="6" s="1"/>
  <c r="BA278" i="6" s="1"/>
  <c r="AV279" i="6"/>
  <c r="AW279" i="6" s="1"/>
  <c r="AX279" i="6"/>
  <c r="AY279" i="6" s="1"/>
  <c r="BA279" i="6" s="1"/>
  <c r="AZ279" i="6"/>
  <c r="AV280" i="6"/>
  <c r="AW280" i="6" s="1"/>
  <c r="AZ280" i="6" s="1"/>
  <c r="AX280" i="6"/>
  <c r="AY280" i="6" s="1"/>
  <c r="BA280" i="6" s="1"/>
  <c r="AV281" i="6"/>
  <c r="AW281" i="6" s="1"/>
  <c r="AX281" i="6"/>
  <c r="AY281" i="6"/>
  <c r="BA281" i="6" s="1"/>
  <c r="AZ281" i="6"/>
  <c r="AV282" i="6"/>
  <c r="AW282" i="6" s="1"/>
  <c r="AZ282" i="6" s="1"/>
  <c r="AX282" i="6"/>
  <c r="AY282" i="6" s="1"/>
  <c r="BA282" i="6" s="1"/>
  <c r="AV283" i="6"/>
  <c r="AW283" i="6" s="1"/>
  <c r="AX283" i="6"/>
  <c r="AY283" i="6" s="1"/>
  <c r="BA283" i="6" s="1"/>
  <c r="AZ283" i="6"/>
  <c r="AV284" i="6"/>
  <c r="AW284" i="6"/>
  <c r="AZ284" i="6" s="1"/>
  <c r="AX284" i="6"/>
  <c r="AY284" i="6" s="1"/>
  <c r="BA284" i="6" s="1"/>
  <c r="AV285" i="6"/>
  <c r="AW285" i="6" s="1"/>
  <c r="AZ285" i="6" s="1"/>
  <c r="AX285" i="6"/>
  <c r="AY285" i="6" s="1"/>
  <c r="BA285" i="6" s="1"/>
  <c r="AV286" i="6"/>
  <c r="AW286" i="6" s="1"/>
  <c r="AX286" i="6"/>
  <c r="AY286" i="6" s="1"/>
  <c r="AZ286" i="6"/>
  <c r="BA286" i="6"/>
  <c r="AV287" i="6"/>
  <c r="AW287" i="6" s="1"/>
  <c r="AZ287" i="6" s="1"/>
  <c r="AX287" i="6"/>
  <c r="AY287" i="6" s="1"/>
  <c r="BA287" i="6" s="1"/>
  <c r="AV288" i="6"/>
  <c r="AW288" i="6"/>
  <c r="AZ288" i="6" s="1"/>
  <c r="AX288" i="6"/>
  <c r="AY288" i="6" s="1"/>
  <c r="BA288" i="6" s="1"/>
  <c r="AV289" i="6"/>
  <c r="AW289" i="6" s="1"/>
  <c r="AZ289" i="6" s="1"/>
  <c r="AX289" i="6"/>
  <c r="AY289" i="6" s="1"/>
  <c r="BA289" i="6" s="1"/>
  <c r="AV290" i="6"/>
  <c r="AW290" i="6" s="1"/>
  <c r="AX290" i="6"/>
  <c r="AY290" i="6" s="1"/>
  <c r="AZ290" i="6"/>
  <c r="BA290" i="6"/>
  <c r="AV291" i="6"/>
  <c r="AW291" i="6" s="1"/>
  <c r="AZ291" i="6" s="1"/>
  <c r="AX291" i="6"/>
  <c r="AY291" i="6"/>
  <c r="BA291" i="6"/>
  <c r="AV292" i="6"/>
  <c r="AW292" i="6"/>
  <c r="AZ292" i="6" s="1"/>
  <c r="AX292" i="6"/>
  <c r="AY292" i="6" s="1"/>
  <c r="BA292" i="6" s="1"/>
  <c r="AV293" i="6"/>
  <c r="AW293" i="6" s="1"/>
  <c r="AZ293" i="6" s="1"/>
  <c r="AX293" i="6"/>
  <c r="AY293" i="6"/>
  <c r="BA293" i="6" s="1"/>
  <c r="AV294" i="6"/>
  <c r="AW294" i="6" s="1"/>
  <c r="AX294" i="6"/>
  <c r="AY294" i="6" s="1"/>
  <c r="AZ294" i="6"/>
  <c r="BA294" i="6"/>
  <c r="AV295" i="6"/>
  <c r="AW295" i="6" s="1"/>
  <c r="AZ295" i="6" s="1"/>
  <c r="AX295" i="6"/>
  <c r="AY295" i="6" s="1"/>
  <c r="BA295" i="6" s="1"/>
  <c r="AV296" i="6"/>
  <c r="AW296" i="6" s="1"/>
  <c r="AZ296" i="6" s="1"/>
  <c r="AX296" i="6"/>
  <c r="AY296" i="6" s="1"/>
  <c r="BA296" i="6" s="1"/>
  <c r="AV297" i="6"/>
  <c r="AW297" i="6" s="1"/>
  <c r="AX297" i="6"/>
  <c r="AY297" i="6"/>
  <c r="BA297" i="6" s="1"/>
  <c r="AZ297" i="6"/>
  <c r="AV298" i="6"/>
  <c r="AW298" i="6" s="1"/>
  <c r="AZ298" i="6" s="1"/>
  <c r="AX298" i="6"/>
  <c r="AY298" i="6" s="1"/>
  <c r="BA298" i="6" s="1"/>
  <c r="AV299" i="6"/>
  <c r="AW299" i="6" s="1"/>
  <c r="AZ299" i="6" s="1"/>
  <c r="AX299" i="6"/>
  <c r="AY299" i="6" s="1"/>
  <c r="BA299" i="6" s="1"/>
  <c r="AV300" i="6"/>
  <c r="AW300" i="6" s="1"/>
  <c r="AZ300" i="6" s="1"/>
  <c r="AX300" i="6"/>
  <c r="AY300" i="6" s="1"/>
  <c r="BA300" i="6" s="1"/>
  <c r="AV301" i="6"/>
  <c r="AW301" i="6" s="1"/>
  <c r="AX301" i="6"/>
  <c r="AY301" i="6"/>
  <c r="BA301" i="6" s="1"/>
  <c r="AZ301" i="6"/>
  <c r="AV302" i="6"/>
  <c r="AW302" i="6" s="1"/>
  <c r="AX302" i="6"/>
  <c r="AY302" i="6" s="1"/>
  <c r="BA302" i="6" s="1"/>
  <c r="AZ302" i="6"/>
  <c r="AV303" i="6"/>
  <c r="AW303" i="6" s="1"/>
  <c r="AX303" i="6"/>
  <c r="AY303" i="6" s="1"/>
  <c r="BA303" i="6" s="1"/>
  <c r="AZ303" i="6"/>
  <c r="AV304" i="6"/>
  <c r="AW304" i="6"/>
  <c r="AZ304" i="6" s="1"/>
  <c r="AX304" i="6"/>
  <c r="AY304" i="6"/>
  <c r="BA304" i="6" s="1"/>
  <c r="AV305" i="6"/>
  <c r="AW305" i="6" s="1"/>
  <c r="AX305" i="6"/>
  <c r="AY305" i="6" s="1"/>
  <c r="BA305" i="6" s="1"/>
  <c r="AZ305" i="6"/>
  <c r="AV306" i="6"/>
  <c r="AW306" i="6" s="1"/>
  <c r="AX306" i="6"/>
  <c r="AY306" i="6" s="1"/>
  <c r="BA306" i="6" s="1"/>
  <c r="AZ306" i="6"/>
  <c r="AV307" i="6"/>
  <c r="AW307" i="6" s="1"/>
  <c r="AZ307" i="6" s="1"/>
  <c r="AX307" i="6"/>
  <c r="AY307" i="6" s="1"/>
  <c r="BA307" i="6" s="1"/>
  <c r="AV308" i="6"/>
  <c r="AW308" i="6"/>
  <c r="AZ308" i="6" s="1"/>
  <c r="AX308" i="6"/>
  <c r="AY308" i="6" s="1"/>
  <c r="BA308" i="6" s="1"/>
  <c r="AV309" i="6"/>
  <c r="AW309" i="6" s="1"/>
  <c r="AZ309" i="6" s="1"/>
  <c r="AX309" i="6"/>
  <c r="AY309" i="6"/>
  <c r="BA309" i="6" s="1"/>
  <c r="AV310" i="6"/>
  <c r="AW310" i="6" s="1"/>
  <c r="AZ310" i="6" s="1"/>
  <c r="AX310" i="6"/>
  <c r="AY310" i="6" s="1"/>
  <c r="BA310" i="6" s="1"/>
  <c r="AV311" i="6"/>
  <c r="AW311" i="6" s="1"/>
  <c r="AX311" i="6"/>
  <c r="AY311" i="6" s="1"/>
  <c r="BA311" i="6" s="1"/>
  <c r="AZ311" i="6"/>
  <c r="AV312" i="6"/>
  <c r="AW312" i="6"/>
  <c r="AZ312" i="6" s="1"/>
  <c r="AX312" i="6"/>
  <c r="AY312" i="6" s="1"/>
  <c r="BA312" i="6" s="1"/>
  <c r="AV313" i="6"/>
  <c r="AW313" i="6" s="1"/>
  <c r="AZ313" i="6" s="1"/>
  <c r="AX313" i="6"/>
  <c r="AY313" i="6" s="1"/>
  <c r="BA313" i="6" s="1"/>
  <c r="AV314" i="6"/>
  <c r="AW314" i="6" s="1"/>
  <c r="AX314" i="6"/>
  <c r="AY314" i="6" s="1"/>
  <c r="AZ314" i="6"/>
  <c r="BA314" i="6"/>
  <c r="AV315" i="6"/>
  <c r="AW315" i="6" s="1"/>
  <c r="AZ315" i="6" s="1"/>
  <c r="AX315" i="6"/>
  <c r="AY315" i="6" s="1"/>
  <c r="BA315" i="6" s="1"/>
  <c r="AV316" i="6"/>
  <c r="AW316" i="6"/>
  <c r="AZ316" i="6" s="1"/>
  <c r="AX316" i="6"/>
  <c r="AY316" i="6" s="1"/>
  <c r="BA316" i="6" s="1"/>
  <c r="AV317" i="6"/>
  <c r="AW317" i="6" s="1"/>
  <c r="AZ317" i="6" s="1"/>
  <c r="AX317" i="6"/>
  <c r="AY317" i="6" s="1"/>
  <c r="BA317" i="6" s="1"/>
  <c r="AV318" i="6"/>
  <c r="AW318" i="6" s="1"/>
  <c r="AX318" i="6"/>
  <c r="AY318" i="6" s="1"/>
  <c r="BA318" i="6" s="1"/>
  <c r="AZ318" i="6"/>
  <c r="AV319" i="6"/>
  <c r="AW319" i="6" s="1"/>
  <c r="AX319" i="6"/>
  <c r="AY319" i="6" s="1"/>
  <c r="BA319" i="6" s="1"/>
  <c r="AZ319" i="6"/>
  <c r="AV320" i="6"/>
  <c r="AW320" i="6" s="1"/>
  <c r="AZ320" i="6" s="1"/>
  <c r="AX320" i="6"/>
  <c r="AY320" i="6" s="1"/>
  <c r="BA320" i="6" s="1"/>
  <c r="AV321" i="6"/>
  <c r="AW321" i="6" s="1"/>
  <c r="AZ321" i="6" s="1"/>
  <c r="AX321" i="6"/>
  <c r="AY321" i="6"/>
  <c r="BA321" i="6" s="1"/>
  <c r="AV322" i="6"/>
  <c r="AW322" i="6" s="1"/>
  <c r="AZ322" i="6" s="1"/>
  <c r="AX322" i="6"/>
  <c r="AY322" i="6" s="1"/>
  <c r="BA322" i="6"/>
  <c r="AV323" i="6"/>
  <c r="AW323" i="6" s="1"/>
  <c r="AX323" i="6"/>
  <c r="AY323" i="6" s="1"/>
  <c r="BA323" i="6" s="1"/>
  <c r="AZ323" i="6"/>
  <c r="AV324" i="6"/>
  <c r="AW324" i="6" s="1"/>
  <c r="AZ324" i="6" s="1"/>
  <c r="AX324" i="6"/>
  <c r="AY324" i="6" s="1"/>
  <c r="BA324" i="6" s="1"/>
  <c r="AV325" i="6"/>
  <c r="AW325" i="6" s="1"/>
  <c r="AX325" i="6"/>
  <c r="AY325" i="6"/>
  <c r="BA325" i="6" s="1"/>
  <c r="AZ325" i="6"/>
  <c r="AV326" i="6"/>
  <c r="AW326" i="6" s="1"/>
  <c r="AZ326" i="6" s="1"/>
  <c r="AX326" i="6"/>
  <c r="AY326" i="6" s="1"/>
  <c r="BA326" i="6" s="1"/>
  <c r="AV327" i="6"/>
  <c r="AW327" i="6" s="1"/>
  <c r="AX327" i="6"/>
  <c r="AY327" i="6" s="1"/>
  <c r="BA327" i="6" s="1"/>
  <c r="AZ327" i="6"/>
  <c r="AV328" i="6"/>
  <c r="AW328" i="6"/>
  <c r="AZ328" i="6" s="1"/>
  <c r="AX328" i="6"/>
  <c r="AY328" i="6" s="1"/>
  <c r="BA328" i="6" s="1"/>
  <c r="AV329" i="6"/>
  <c r="AW329" i="6" s="1"/>
  <c r="AZ329" i="6" s="1"/>
  <c r="AX329" i="6"/>
  <c r="AY329" i="6" s="1"/>
  <c r="BA329" i="6" s="1"/>
  <c r="AV330" i="6"/>
  <c r="AW330" i="6" s="1"/>
  <c r="AX330" i="6"/>
  <c r="AY330" i="6" s="1"/>
  <c r="AZ330" i="6"/>
  <c r="BA330" i="6"/>
  <c r="AV331" i="6"/>
  <c r="AW331" i="6" s="1"/>
  <c r="AZ331" i="6" s="1"/>
  <c r="AX331" i="6"/>
  <c r="AY331" i="6" s="1"/>
  <c r="BA331" i="6" s="1"/>
  <c r="AV332" i="6"/>
  <c r="AW332" i="6"/>
  <c r="AZ332" i="6" s="1"/>
  <c r="AX332" i="6"/>
  <c r="AY332" i="6" s="1"/>
  <c r="BA332" i="6" s="1"/>
  <c r="AV333" i="6"/>
  <c r="AW333" i="6" s="1"/>
  <c r="AZ333" i="6" s="1"/>
  <c r="AX333" i="6"/>
  <c r="AY333" i="6" s="1"/>
  <c r="BA333" i="6" s="1"/>
  <c r="AV334" i="6"/>
  <c r="AW334" i="6" s="1"/>
  <c r="AX334" i="6"/>
  <c r="AY334" i="6" s="1"/>
  <c r="BA334" i="6" s="1"/>
  <c r="AZ334" i="6"/>
  <c r="AV335" i="6"/>
  <c r="AW335" i="6" s="1"/>
  <c r="AX335" i="6"/>
  <c r="AY335" i="6" s="1"/>
  <c r="BA335" i="6" s="1"/>
  <c r="AZ335" i="6"/>
  <c r="AV336" i="6"/>
  <c r="AW336" i="6" s="1"/>
  <c r="AZ336" i="6" s="1"/>
  <c r="AX336" i="6"/>
  <c r="AY336" i="6" s="1"/>
  <c r="BA336" i="6" s="1"/>
  <c r="AV337" i="6"/>
  <c r="AW337" i="6" s="1"/>
  <c r="AZ337" i="6" s="1"/>
  <c r="AX337" i="6"/>
  <c r="AY337" i="6"/>
  <c r="BA337" i="6" s="1"/>
  <c r="AV338" i="6"/>
  <c r="AW338" i="6" s="1"/>
  <c r="AZ338" i="6" s="1"/>
  <c r="AX338" i="6"/>
  <c r="AY338" i="6" s="1"/>
  <c r="BA338" i="6"/>
  <c r="AV339" i="6"/>
  <c r="AW339" i="6" s="1"/>
  <c r="AX339" i="6"/>
  <c r="AY339" i="6" s="1"/>
  <c r="BA339" i="6" s="1"/>
  <c r="AZ339" i="6"/>
  <c r="AV340" i="6"/>
  <c r="AW340" i="6" s="1"/>
  <c r="AZ340" i="6" s="1"/>
  <c r="AX340" i="6"/>
  <c r="AY340" i="6" s="1"/>
  <c r="BA340" i="6" s="1"/>
  <c r="AV341" i="6"/>
  <c r="AW341" i="6" s="1"/>
  <c r="AX341" i="6"/>
  <c r="AY341" i="6"/>
  <c r="BA341" i="6" s="1"/>
  <c r="AZ341" i="6"/>
  <c r="AV342" i="6"/>
  <c r="AW342" i="6" s="1"/>
  <c r="AZ342" i="6" s="1"/>
  <c r="AX342" i="6"/>
  <c r="AY342" i="6" s="1"/>
  <c r="BA342" i="6" s="1"/>
  <c r="AV343" i="6"/>
  <c r="AW343" i="6" s="1"/>
  <c r="AX343" i="6"/>
  <c r="AY343" i="6" s="1"/>
  <c r="BA343" i="6" s="1"/>
  <c r="AZ343" i="6"/>
  <c r="AV344" i="6"/>
  <c r="AW344" i="6"/>
  <c r="AZ344" i="6" s="1"/>
  <c r="AX344" i="6"/>
  <c r="AY344" i="6" s="1"/>
  <c r="BA344" i="6" s="1"/>
  <c r="AV345" i="6"/>
  <c r="AW345" i="6" s="1"/>
  <c r="AZ345" i="6" s="1"/>
  <c r="AX345" i="6"/>
  <c r="AY345" i="6" s="1"/>
  <c r="BA345" i="6" s="1"/>
  <c r="AV346" i="6"/>
  <c r="AW346" i="6" s="1"/>
  <c r="AX346" i="6"/>
  <c r="AY346" i="6" s="1"/>
  <c r="AZ346" i="6"/>
  <c r="BA346" i="6"/>
  <c r="AV347" i="6"/>
  <c r="AW347" i="6" s="1"/>
  <c r="AZ347" i="6" s="1"/>
  <c r="AX347" i="6"/>
  <c r="AY347" i="6" s="1"/>
  <c r="BA347" i="6" s="1"/>
  <c r="AV348" i="6"/>
  <c r="AW348" i="6"/>
  <c r="AZ348" i="6" s="1"/>
  <c r="AX348" i="6"/>
  <c r="AY348" i="6" s="1"/>
  <c r="BA348" i="6" s="1"/>
  <c r="AV349" i="6"/>
  <c r="AW349" i="6" s="1"/>
  <c r="AZ349" i="6" s="1"/>
  <c r="AX349" i="6"/>
  <c r="AY349" i="6" s="1"/>
  <c r="BA349" i="6" s="1"/>
  <c r="AV350" i="6"/>
  <c r="AW350" i="6" s="1"/>
  <c r="AX350" i="6"/>
  <c r="AY350" i="6" s="1"/>
  <c r="BA350" i="6" s="1"/>
  <c r="AZ350" i="6"/>
  <c r="AV351" i="6"/>
  <c r="AW351" i="6" s="1"/>
  <c r="AX351" i="6"/>
  <c r="AY351" i="6" s="1"/>
  <c r="BA351" i="6" s="1"/>
  <c r="AZ351" i="6"/>
  <c r="AV352" i="6"/>
  <c r="AW352" i="6" s="1"/>
  <c r="AZ352" i="6" s="1"/>
  <c r="AX352" i="6"/>
  <c r="AY352" i="6" s="1"/>
  <c r="BA352" i="6" s="1"/>
  <c r="AV353" i="6"/>
  <c r="AW353" i="6" s="1"/>
  <c r="AZ353" i="6" s="1"/>
  <c r="AX353" i="6"/>
  <c r="AY353" i="6"/>
  <c r="BA353" i="6" s="1"/>
  <c r="AV354" i="6"/>
  <c r="AW354" i="6" s="1"/>
  <c r="AZ354" i="6" s="1"/>
  <c r="AX354" i="6"/>
  <c r="AY354" i="6" s="1"/>
  <c r="BA354" i="6"/>
  <c r="AV355" i="6"/>
  <c r="AW355" i="6" s="1"/>
  <c r="AX355" i="6"/>
  <c r="AY355" i="6" s="1"/>
  <c r="BA355" i="6" s="1"/>
  <c r="AZ355" i="6"/>
  <c r="AV356" i="6"/>
  <c r="AW356" i="6" s="1"/>
  <c r="AZ356" i="6" s="1"/>
  <c r="AX356" i="6"/>
  <c r="AY356" i="6" s="1"/>
  <c r="BA356" i="6" s="1"/>
  <c r="AV357" i="6"/>
  <c r="AW357" i="6" s="1"/>
  <c r="AX357" i="6"/>
  <c r="AY357" i="6"/>
  <c r="BA357" i="6" s="1"/>
  <c r="AZ357" i="6"/>
  <c r="AV358" i="6"/>
  <c r="AW358" i="6" s="1"/>
  <c r="AX358" i="6"/>
  <c r="AY358" i="6" s="1"/>
  <c r="BA358" i="6" s="1"/>
  <c r="AZ358" i="6"/>
  <c r="AV359" i="6"/>
  <c r="AW359" i="6" s="1"/>
  <c r="AX359" i="6"/>
  <c r="AY359" i="6" s="1"/>
  <c r="BA359" i="6" s="1"/>
  <c r="AZ359" i="6"/>
  <c r="AV360" i="6"/>
  <c r="AW360" i="6"/>
  <c r="AZ360" i="6" s="1"/>
  <c r="AX360" i="6"/>
  <c r="AY360" i="6" s="1"/>
  <c r="BA360" i="6" s="1"/>
  <c r="AV361" i="6"/>
  <c r="AW361" i="6" s="1"/>
  <c r="AZ361" i="6" s="1"/>
  <c r="AX361" i="6"/>
  <c r="AY361" i="6" s="1"/>
  <c r="BA361" i="6" s="1"/>
  <c r="AV362" i="6"/>
  <c r="AW362" i="6" s="1"/>
  <c r="AX362" i="6"/>
  <c r="AY362" i="6" s="1"/>
  <c r="AZ362" i="6"/>
  <c r="BA362" i="6"/>
  <c r="AV363" i="6"/>
  <c r="AW363" i="6" s="1"/>
  <c r="AZ363" i="6" s="1"/>
  <c r="AX363" i="6"/>
  <c r="AY363" i="6" s="1"/>
  <c r="BA363" i="6" s="1"/>
  <c r="AV364" i="6"/>
  <c r="AW364" i="6"/>
  <c r="AZ364" i="6" s="1"/>
  <c r="AX364" i="6"/>
  <c r="AY364" i="6" s="1"/>
  <c r="BA364" i="6" s="1"/>
  <c r="AV365" i="6"/>
  <c r="AW365" i="6" s="1"/>
  <c r="AZ365" i="6" s="1"/>
  <c r="AX365" i="6"/>
  <c r="AY365" i="6" s="1"/>
  <c r="BA365" i="6" s="1"/>
  <c r="AV366" i="6"/>
  <c r="AW366" i="6" s="1"/>
  <c r="AX366" i="6"/>
  <c r="AY366" i="6" s="1"/>
  <c r="BA366" i="6" s="1"/>
  <c r="AZ366" i="6"/>
  <c r="AV367" i="6"/>
  <c r="AW367" i="6" s="1"/>
  <c r="AX367" i="6"/>
  <c r="AY367" i="6" s="1"/>
  <c r="BA367" i="6" s="1"/>
  <c r="AZ367" i="6"/>
  <c r="AV368" i="6"/>
  <c r="AW368" i="6" s="1"/>
  <c r="AZ368" i="6" s="1"/>
  <c r="AX368" i="6"/>
  <c r="AY368" i="6" s="1"/>
  <c r="BA368" i="6" s="1"/>
  <c r="AV369" i="6"/>
  <c r="AW369" i="6" s="1"/>
  <c r="AZ369" i="6" s="1"/>
  <c r="AX369" i="6"/>
  <c r="AY369" i="6"/>
  <c r="BA369" i="6" s="1"/>
  <c r="AV370" i="6"/>
  <c r="AW370" i="6" s="1"/>
  <c r="AZ370" i="6" s="1"/>
  <c r="AX370" i="6"/>
  <c r="AY370" i="6" s="1"/>
  <c r="BA370" i="6"/>
  <c r="AV371" i="6"/>
  <c r="AW371" i="6" s="1"/>
  <c r="AX371" i="6"/>
  <c r="AY371" i="6" s="1"/>
  <c r="BA371" i="6" s="1"/>
  <c r="AZ371" i="6"/>
  <c r="AV372" i="6"/>
  <c r="AW372" i="6" s="1"/>
  <c r="AZ372" i="6" s="1"/>
  <c r="AX372" i="6"/>
  <c r="AY372" i="6" s="1"/>
  <c r="BA372" i="6" s="1"/>
  <c r="AV373" i="6"/>
  <c r="AW373" i="6" s="1"/>
  <c r="AX373" i="6"/>
  <c r="AY373" i="6"/>
  <c r="BA373" i="6" s="1"/>
  <c r="AZ373" i="6"/>
  <c r="AV374" i="6"/>
  <c r="AW374" i="6" s="1"/>
  <c r="AX374" i="6"/>
  <c r="AY374" i="6" s="1"/>
  <c r="BA374" i="6" s="1"/>
  <c r="AZ374" i="6"/>
  <c r="AV375" i="6"/>
  <c r="AW375" i="6" s="1"/>
  <c r="AX375" i="6"/>
  <c r="AY375" i="6" s="1"/>
  <c r="BA375" i="6" s="1"/>
  <c r="AZ375" i="6"/>
  <c r="AV376" i="6"/>
  <c r="AW376" i="6"/>
  <c r="AZ376" i="6" s="1"/>
  <c r="AX376" i="6"/>
  <c r="AY376" i="6" s="1"/>
  <c r="BA376" i="6" s="1"/>
  <c r="AV377" i="6"/>
  <c r="AW377" i="6" s="1"/>
  <c r="AZ377" i="6" s="1"/>
  <c r="AX377" i="6"/>
  <c r="AY377" i="6" s="1"/>
  <c r="BA377" i="6" s="1"/>
  <c r="AV378" i="6"/>
  <c r="AW378" i="6" s="1"/>
  <c r="AX378" i="6"/>
  <c r="AY378" i="6" s="1"/>
  <c r="AZ378" i="6"/>
  <c r="BA378" i="6"/>
  <c r="AV379" i="6"/>
  <c r="AW379" i="6" s="1"/>
  <c r="AZ379" i="6" s="1"/>
  <c r="AX379" i="6"/>
  <c r="AY379" i="6" s="1"/>
  <c r="BA379" i="6" s="1"/>
  <c r="AV380" i="6"/>
  <c r="AW380" i="6"/>
  <c r="AZ380" i="6" s="1"/>
  <c r="AX380" i="6"/>
  <c r="AY380" i="6" s="1"/>
  <c r="BA380" i="6" s="1"/>
  <c r="AV381" i="6"/>
  <c r="AW381" i="6" s="1"/>
  <c r="AZ381" i="6" s="1"/>
  <c r="AX381" i="6"/>
  <c r="AY381" i="6" s="1"/>
  <c r="BA381" i="6" s="1"/>
  <c r="AV382" i="6"/>
  <c r="AW382" i="6" s="1"/>
  <c r="AX382" i="6"/>
  <c r="AY382" i="6" s="1"/>
  <c r="BA382" i="6" s="1"/>
  <c r="AZ382" i="6"/>
  <c r="AV383" i="6"/>
  <c r="AW383" i="6" s="1"/>
  <c r="AX383" i="6"/>
  <c r="AY383" i="6" s="1"/>
  <c r="BA383" i="6" s="1"/>
  <c r="AZ383" i="6"/>
  <c r="AV384" i="6"/>
  <c r="AW384" i="6" s="1"/>
  <c r="AZ384" i="6" s="1"/>
  <c r="AX384" i="6"/>
  <c r="AY384" i="6" s="1"/>
  <c r="BA384" i="6" s="1"/>
  <c r="AV385" i="6"/>
  <c r="AW385" i="6" s="1"/>
  <c r="AZ385" i="6" s="1"/>
  <c r="AX385" i="6"/>
  <c r="AY385" i="6"/>
  <c r="BA385" i="6" s="1"/>
  <c r="AV386" i="6"/>
  <c r="AW386" i="6" s="1"/>
  <c r="AZ386" i="6" s="1"/>
  <c r="AX386" i="6"/>
  <c r="AY386" i="6" s="1"/>
  <c r="BA386" i="6"/>
  <c r="AV387" i="6"/>
  <c r="AW387" i="6" s="1"/>
  <c r="AX387" i="6"/>
  <c r="AY387" i="6" s="1"/>
  <c r="BA387" i="6" s="1"/>
  <c r="AZ387" i="6"/>
  <c r="AV388" i="6"/>
  <c r="AW388" i="6" s="1"/>
  <c r="AZ388" i="6" s="1"/>
  <c r="AX388" i="6"/>
  <c r="AY388" i="6" s="1"/>
  <c r="BA388" i="6" s="1"/>
  <c r="AV389" i="6"/>
  <c r="AW389" i="6" s="1"/>
  <c r="AX389" i="6"/>
  <c r="AY389" i="6"/>
  <c r="BA389" i="6" s="1"/>
  <c r="AZ389" i="6"/>
  <c r="AV390" i="6"/>
  <c r="AW390" i="6" s="1"/>
  <c r="AX390" i="6"/>
  <c r="AY390" i="6" s="1"/>
  <c r="BA390" i="6" s="1"/>
  <c r="AZ390" i="6"/>
  <c r="AV391" i="6"/>
  <c r="AW391" i="6"/>
  <c r="AX391" i="6"/>
  <c r="AY391" i="6" s="1"/>
  <c r="BA391" i="6" s="1"/>
  <c r="AZ391" i="6"/>
  <c r="AV392" i="6"/>
  <c r="AW392" i="6" s="1"/>
  <c r="AX392" i="6"/>
  <c r="AY392" i="6"/>
  <c r="AZ392" i="6"/>
  <c r="BA392" i="6"/>
  <c r="AV393" i="6"/>
  <c r="AW393" i="6" s="1"/>
  <c r="AZ393" i="6" s="1"/>
  <c r="AX393" i="6"/>
  <c r="AY393" i="6" s="1"/>
  <c r="BA393" i="6" s="1"/>
  <c r="AV394" i="6"/>
  <c r="AW394" i="6" s="1"/>
  <c r="AX394" i="6"/>
  <c r="AY394" i="6" s="1"/>
  <c r="BA394" i="6" s="1"/>
  <c r="AZ394" i="6"/>
  <c r="AV395" i="6"/>
  <c r="AW395" i="6"/>
  <c r="AX395" i="6"/>
  <c r="AY395" i="6" s="1"/>
  <c r="AZ395" i="6"/>
  <c r="BA395" i="6"/>
  <c r="AV396" i="6"/>
  <c r="AW396" i="6" s="1"/>
  <c r="AX396" i="6"/>
  <c r="AY396" i="6" s="1"/>
  <c r="BA396" i="6" s="1"/>
  <c r="AZ396" i="6"/>
  <c r="AV397" i="6"/>
  <c r="AW397" i="6"/>
  <c r="AZ397" i="6" s="1"/>
  <c r="AX397" i="6"/>
  <c r="AY397" i="6" s="1"/>
  <c r="BA397" i="6" s="1"/>
  <c r="AV398" i="6"/>
  <c r="AW398" i="6" s="1"/>
  <c r="AZ398" i="6" s="1"/>
  <c r="AX398" i="6"/>
  <c r="AY398" i="6"/>
  <c r="BA398" i="6" s="1"/>
  <c r="AV399" i="6"/>
  <c r="AW399" i="6" s="1"/>
  <c r="AX399" i="6"/>
  <c r="AY399" i="6" s="1"/>
  <c r="BA399" i="6" s="1"/>
  <c r="AZ399" i="6"/>
  <c r="AV400" i="6"/>
  <c r="AW400" i="6" s="1"/>
  <c r="AX400" i="6"/>
  <c r="AY400" i="6" s="1"/>
  <c r="BA400" i="6" s="1"/>
  <c r="AZ400" i="6"/>
  <c r="AV401" i="6"/>
  <c r="AW401" i="6"/>
  <c r="AZ401" i="6" s="1"/>
  <c r="AX401" i="6"/>
  <c r="AY401" i="6" s="1"/>
  <c r="BA401" i="6" s="1"/>
  <c r="AV402" i="6"/>
  <c r="AW402" i="6" s="1"/>
  <c r="AZ402" i="6" s="1"/>
  <c r="AX402" i="6"/>
  <c r="AY402" i="6"/>
  <c r="BA402" i="6" s="1"/>
  <c r="AV403" i="6"/>
  <c r="AW403" i="6" s="1"/>
  <c r="AX403" i="6"/>
  <c r="AY403" i="6" s="1"/>
  <c r="AZ403" i="6"/>
  <c r="BA403" i="6"/>
  <c r="AV404" i="6"/>
  <c r="AW404" i="6" s="1"/>
  <c r="AZ404" i="6" s="1"/>
  <c r="AX404" i="6"/>
  <c r="AY404" i="6" s="1"/>
  <c r="BA404" i="6" s="1"/>
  <c r="AV405" i="6"/>
  <c r="AW405" i="6"/>
  <c r="AZ405" i="6" s="1"/>
  <c r="AX405" i="6"/>
  <c r="AY405" i="6" s="1"/>
  <c r="BA405" i="6" s="1"/>
  <c r="AV406" i="6"/>
  <c r="AW406" i="6" s="1"/>
  <c r="AZ406" i="6" s="1"/>
  <c r="AX406" i="6"/>
  <c r="AY406" i="6"/>
  <c r="BA406" i="6" s="1"/>
  <c r="AV407" i="6"/>
  <c r="AW407" i="6" s="1"/>
  <c r="AX407" i="6"/>
  <c r="AY407" i="6" s="1"/>
  <c r="AZ407" i="6"/>
  <c r="BA407" i="6"/>
  <c r="AV408" i="6"/>
  <c r="AW408" i="6" s="1"/>
  <c r="AX408" i="6"/>
  <c r="AY408" i="6" s="1"/>
  <c r="BA408" i="6" s="1"/>
  <c r="AZ408" i="6"/>
  <c r="AV409" i="6"/>
  <c r="AW409" i="6"/>
  <c r="AZ409" i="6" s="1"/>
  <c r="AX409" i="6"/>
  <c r="AY409" i="6" s="1"/>
  <c r="BA409" i="6" s="1"/>
  <c r="AV410" i="6"/>
  <c r="AW410" i="6" s="1"/>
  <c r="AX410" i="6"/>
  <c r="AY410" i="6"/>
  <c r="BA410" i="6" s="1"/>
  <c r="AZ410" i="6"/>
  <c r="AV411" i="6"/>
  <c r="AW411" i="6" s="1"/>
  <c r="AZ411" i="6" s="1"/>
  <c r="AX411" i="6"/>
  <c r="AY411" i="6" s="1"/>
  <c r="BA411" i="6"/>
  <c r="AV412" i="6"/>
  <c r="AW412" i="6" s="1"/>
  <c r="AX412" i="6"/>
  <c r="AY412" i="6" s="1"/>
  <c r="BA412" i="6" s="1"/>
  <c r="AZ412" i="6"/>
  <c r="AV413" i="6"/>
  <c r="AW413" i="6"/>
  <c r="AZ413" i="6" s="1"/>
  <c r="AX413" i="6"/>
  <c r="AY413" i="6" s="1"/>
  <c r="BA413" i="6" s="1"/>
  <c r="AV414" i="6"/>
  <c r="AW414" i="6" s="1"/>
  <c r="AZ414" i="6" s="1"/>
  <c r="AX414" i="6"/>
  <c r="AY414" i="6"/>
  <c r="BA414" i="6" s="1"/>
  <c r="AV415" i="6"/>
  <c r="AW415" i="6" s="1"/>
  <c r="AX415" i="6"/>
  <c r="AY415" i="6" s="1"/>
  <c r="BA415" i="6" s="1"/>
  <c r="AZ415" i="6"/>
  <c r="AV416" i="6"/>
  <c r="AW416" i="6" s="1"/>
  <c r="AX416" i="6"/>
  <c r="AY416" i="6" s="1"/>
  <c r="BA416" i="6" s="1"/>
  <c r="AZ416" i="6"/>
  <c r="AV417" i="6"/>
  <c r="AW417" i="6"/>
  <c r="AZ417" i="6" s="1"/>
  <c r="AX417" i="6"/>
  <c r="AY417" i="6" s="1"/>
  <c r="BA417" i="6" s="1"/>
  <c r="AV418" i="6"/>
  <c r="AW418" i="6" s="1"/>
  <c r="AZ418" i="6" s="1"/>
  <c r="AX418" i="6"/>
  <c r="AY418" i="6"/>
  <c r="BA418" i="6" s="1"/>
  <c r="AV419" i="6"/>
  <c r="AW419" i="6" s="1"/>
  <c r="AX419" i="6"/>
  <c r="AY419" i="6" s="1"/>
  <c r="AZ419" i="6"/>
  <c r="BA419" i="6"/>
  <c r="AV420" i="6"/>
  <c r="AW420" i="6" s="1"/>
  <c r="AZ420" i="6" s="1"/>
  <c r="AX420" i="6"/>
  <c r="AY420" i="6" s="1"/>
  <c r="BA420" i="6" s="1"/>
  <c r="AV421" i="6"/>
  <c r="AW421" i="6"/>
  <c r="AZ421" i="6" s="1"/>
  <c r="AX421" i="6"/>
  <c r="AY421" i="6" s="1"/>
  <c r="BA421" i="6" s="1"/>
  <c r="AV422" i="6"/>
  <c r="AW422" i="6" s="1"/>
  <c r="AZ422" i="6" s="1"/>
  <c r="AX422" i="6"/>
  <c r="AY422" i="6"/>
  <c r="BA422" i="6" s="1"/>
  <c r="AV423" i="6"/>
  <c r="AW423" i="6" s="1"/>
  <c r="AX423" i="6"/>
  <c r="AY423" i="6" s="1"/>
  <c r="AZ423" i="6"/>
  <c r="BA423" i="6"/>
  <c r="AV424" i="6"/>
  <c r="AW424" i="6" s="1"/>
  <c r="AX424" i="6"/>
  <c r="AY424" i="6" s="1"/>
  <c r="BA424" i="6" s="1"/>
  <c r="AZ424" i="6"/>
  <c r="AV425" i="6"/>
  <c r="AW425" i="6"/>
  <c r="AZ425" i="6" s="1"/>
  <c r="AX425" i="6"/>
  <c r="AY425" i="6" s="1"/>
  <c r="BA425" i="6" s="1"/>
  <c r="AV426" i="6"/>
  <c r="AW426" i="6" s="1"/>
  <c r="AX426" i="6"/>
  <c r="AY426" i="6"/>
  <c r="BA426" i="6" s="1"/>
  <c r="AZ426" i="6"/>
  <c r="AV427" i="6"/>
  <c r="AW427" i="6" s="1"/>
  <c r="AZ427" i="6" s="1"/>
  <c r="AX427" i="6"/>
  <c r="AY427" i="6" s="1"/>
  <c r="BA427" i="6"/>
  <c r="AV428" i="6"/>
  <c r="AW428" i="6" s="1"/>
  <c r="AX428" i="6"/>
  <c r="AY428" i="6" s="1"/>
  <c r="BA428" i="6" s="1"/>
  <c r="AZ428" i="6"/>
  <c r="AV429" i="6"/>
  <c r="AW429" i="6"/>
  <c r="AZ429" i="6" s="1"/>
  <c r="AX429" i="6"/>
  <c r="AY429" i="6" s="1"/>
  <c r="BA429" i="6" s="1"/>
  <c r="AV430" i="6"/>
  <c r="AW430" i="6" s="1"/>
  <c r="AZ430" i="6" s="1"/>
  <c r="AX430" i="6"/>
  <c r="AY430" i="6"/>
  <c r="BA430" i="6" s="1"/>
  <c r="AV431" i="6"/>
  <c r="AW431" i="6" s="1"/>
  <c r="AX431" i="6"/>
  <c r="AY431" i="6" s="1"/>
  <c r="BA431" i="6" s="1"/>
  <c r="AZ431" i="6"/>
  <c r="AV432" i="6"/>
  <c r="AW432" i="6" s="1"/>
  <c r="AX432" i="6"/>
  <c r="AY432" i="6" s="1"/>
  <c r="BA432" i="6" s="1"/>
  <c r="AZ432" i="6"/>
  <c r="AV433" i="6"/>
  <c r="AW433" i="6"/>
  <c r="AZ433" i="6" s="1"/>
  <c r="AX433" i="6"/>
  <c r="AY433" i="6" s="1"/>
  <c r="BA433" i="6" s="1"/>
  <c r="AV434" i="6"/>
  <c r="AW434" i="6" s="1"/>
  <c r="AZ434" i="6" s="1"/>
  <c r="AX434" i="6"/>
  <c r="AY434" i="6"/>
  <c r="BA434" i="6" s="1"/>
  <c r="AV435" i="6"/>
  <c r="AW435" i="6" s="1"/>
  <c r="AX435" i="6"/>
  <c r="AY435" i="6" s="1"/>
  <c r="AZ435" i="6"/>
  <c r="BA435" i="6"/>
  <c r="AV436" i="6"/>
  <c r="AW436" i="6" s="1"/>
  <c r="AZ436" i="6" s="1"/>
  <c r="AX436" i="6"/>
  <c r="AY436" i="6" s="1"/>
  <c r="BA436" i="6" s="1"/>
  <c r="AV437" i="6"/>
  <c r="AW437" i="6"/>
  <c r="AZ437" i="6" s="1"/>
  <c r="AX437" i="6"/>
  <c r="AY437" i="6" s="1"/>
  <c r="BA437" i="6" s="1"/>
  <c r="AV438" i="6"/>
  <c r="AW438" i="6" s="1"/>
  <c r="AZ438" i="6" s="1"/>
  <c r="AX438" i="6"/>
  <c r="AY438" i="6"/>
  <c r="BA438" i="6" s="1"/>
  <c r="AV439" i="6"/>
  <c r="AW439" i="6" s="1"/>
  <c r="AX439" i="6"/>
  <c r="AY439" i="6" s="1"/>
  <c r="AZ439" i="6"/>
  <c r="BA439" i="6"/>
  <c r="AV440" i="6"/>
  <c r="AW440" i="6" s="1"/>
  <c r="AX440" i="6"/>
  <c r="AY440" i="6" s="1"/>
  <c r="BA440" i="6" s="1"/>
  <c r="AZ440" i="6"/>
  <c r="AV441" i="6"/>
  <c r="AW441" i="6"/>
  <c r="AZ441" i="6" s="1"/>
  <c r="AX441" i="6"/>
  <c r="AY441" i="6" s="1"/>
  <c r="BA441" i="6" s="1"/>
  <c r="AV442" i="6"/>
  <c r="AW442" i="6" s="1"/>
  <c r="AX442" i="6"/>
  <c r="AY442" i="6"/>
  <c r="BA442" i="6" s="1"/>
  <c r="AZ442" i="6"/>
  <c r="AV443" i="6"/>
  <c r="AW443" i="6" s="1"/>
  <c r="AZ443" i="6" s="1"/>
  <c r="AX443" i="6"/>
  <c r="AY443" i="6" s="1"/>
  <c r="BA443" i="6"/>
  <c r="AV444" i="6"/>
  <c r="AW444" i="6" s="1"/>
  <c r="AX444" i="6"/>
  <c r="AY444" i="6" s="1"/>
  <c r="BA444" i="6" s="1"/>
  <c r="AZ444" i="6"/>
  <c r="AV445" i="6"/>
  <c r="AW445" i="6"/>
  <c r="AZ445" i="6" s="1"/>
  <c r="AX445" i="6"/>
  <c r="AY445" i="6" s="1"/>
  <c r="BA445" i="6" s="1"/>
  <c r="AV446" i="6"/>
  <c r="AW446" i="6" s="1"/>
  <c r="AZ446" i="6" s="1"/>
  <c r="AX446" i="6"/>
  <c r="AY446" i="6"/>
  <c r="BA446" i="6" s="1"/>
  <c r="AV447" i="6"/>
  <c r="AW447" i="6" s="1"/>
  <c r="AX447" i="6"/>
  <c r="AY447" i="6" s="1"/>
  <c r="BA447" i="6" s="1"/>
  <c r="AZ447" i="6"/>
  <c r="AV448" i="6"/>
  <c r="AW448" i="6" s="1"/>
  <c r="AX448" i="6"/>
  <c r="AY448" i="6" s="1"/>
  <c r="BA448" i="6" s="1"/>
  <c r="AZ448" i="6"/>
  <c r="AV449" i="6"/>
  <c r="AW449" i="6"/>
  <c r="AZ449" i="6" s="1"/>
  <c r="AX449" i="6"/>
  <c r="AY449" i="6" s="1"/>
  <c r="BA449" i="6" s="1"/>
  <c r="AV450" i="6"/>
  <c r="AW450" i="6" s="1"/>
  <c r="AZ450" i="6" s="1"/>
  <c r="AX450" i="6"/>
  <c r="AY450" i="6"/>
  <c r="BA450" i="6" s="1"/>
  <c r="AV451" i="6"/>
  <c r="AW451" i="6" s="1"/>
  <c r="AX451" i="6"/>
  <c r="AY451" i="6" s="1"/>
  <c r="AZ451" i="6"/>
  <c r="BA451" i="6"/>
  <c r="AV452" i="6"/>
  <c r="AW452" i="6" s="1"/>
  <c r="AZ452" i="6" s="1"/>
  <c r="AX452" i="6"/>
  <c r="AY452" i="6" s="1"/>
  <c r="BA452" i="6" s="1"/>
  <c r="AV453" i="6"/>
  <c r="AW453" i="6"/>
  <c r="AZ453" i="6" s="1"/>
  <c r="AX453" i="6"/>
  <c r="AY453" i="6" s="1"/>
  <c r="BA453" i="6" s="1"/>
  <c r="AV454" i="6"/>
  <c r="AW454" i="6" s="1"/>
  <c r="AZ454" i="6" s="1"/>
  <c r="AX454" i="6"/>
  <c r="AY454" i="6"/>
  <c r="BA454" i="6" s="1"/>
  <c r="AV455" i="6"/>
  <c r="AW455" i="6" s="1"/>
  <c r="AX455" i="6"/>
  <c r="AY455" i="6" s="1"/>
  <c r="AZ455" i="6"/>
  <c r="BA455" i="6"/>
  <c r="AV456" i="6"/>
  <c r="AW456" i="6" s="1"/>
  <c r="AX456" i="6"/>
  <c r="AY456" i="6" s="1"/>
  <c r="BA456" i="6" s="1"/>
  <c r="AZ456" i="6"/>
  <c r="AV457" i="6"/>
  <c r="AW457" i="6"/>
  <c r="AZ457" i="6" s="1"/>
  <c r="AX457" i="6"/>
  <c r="AY457" i="6" s="1"/>
  <c r="BA457" i="6" s="1"/>
  <c r="AV458" i="6"/>
  <c r="AW458" i="6" s="1"/>
  <c r="AX458" i="6"/>
  <c r="AY458" i="6"/>
  <c r="BA458" i="6" s="1"/>
  <c r="AZ458" i="6"/>
  <c r="AV459" i="6"/>
  <c r="AW459" i="6" s="1"/>
  <c r="AZ459" i="6" s="1"/>
  <c r="AX459" i="6"/>
  <c r="AY459" i="6" s="1"/>
  <c r="BA459" i="6"/>
  <c r="AV460" i="6"/>
  <c r="AW460" i="6" s="1"/>
  <c r="AX460" i="6"/>
  <c r="AY460" i="6" s="1"/>
  <c r="BA460" i="6" s="1"/>
  <c r="AZ460" i="6"/>
  <c r="AV461" i="6"/>
  <c r="AW461" i="6"/>
  <c r="AZ461" i="6" s="1"/>
  <c r="AX461" i="6"/>
  <c r="AY461" i="6" s="1"/>
  <c r="BA461" i="6" s="1"/>
  <c r="AV462" i="6"/>
  <c r="AW462" i="6" s="1"/>
  <c r="AZ462" i="6" s="1"/>
  <c r="AX462" i="6"/>
  <c r="AY462" i="6"/>
  <c r="BA462" i="6" s="1"/>
  <c r="AV463" i="6"/>
  <c r="AW463" i="6" s="1"/>
  <c r="AX463" i="6"/>
  <c r="AY463" i="6" s="1"/>
  <c r="BA463" i="6" s="1"/>
  <c r="AZ463" i="6"/>
  <c r="AV464" i="6"/>
  <c r="AW464" i="6" s="1"/>
  <c r="AX464" i="6"/>
  <c r="AY464" i="6" s="1"/>
  <c r="BA464" i="6" s="1"/>
  <c r="AZ464" i="6"/>
  <c r="AV465" i="6"/>
  <c r="AW465" i="6"/>
  <c r="AZ465" i="6" s="1"/>
  <c r="AX465" i="6"/>
  <c r="AY465" i="6" s="1"/>
  <c r="BA465" i="6" s="1"/>
  <c r="AV466" i="6"/>
  <c r="AW466" i="6" s="1"/>
  <c r="AZ466" i="6" s="1"/>
  <c r="AX466" i="6"/>
  <c r="AY466" i="6"/>
  <c r="BA466" i="6" s="1"/>
  <c r="AV467" i="6"/>
  <c r="AW467" i="6" s="1"/>
  <c r="AX467" i="6"/>
  <c r="AY467" i="6" s="1"/>
  <c r="AZ467" i="6"/>
  <c r="BA467" i="6"/>
  <c r="AV468" i="6"/>
  <c r="AW468" i="6" s="1"/>
  <c r="AZ468" i="6" s="1"/>
  <c r="AX468" i="6"/>
  <c r="AY468" i="6" s="1"/>
  <c r="BA468" i="6" s="1"/>
  <c r="AV469" i="6"/>
  <c r="AW469" i="6"/>
  <c r="AZ469" i="6" s="1"/>
  <c r="AX469" i="6"/>
  <c r="AY469" i="6" s="1"/>
  <c r="BA469" i="6" s="1"/>
  <c r="AV470" i="6"/>
  <c r="AW470" i="6" s="1"/>
  <c r="AZ470" i="6" s="1"/>
  <c r="AX470" i="6"/>
  <c r="AY470" i="6"/>
  <c r="BA470" i="6" s="1"/>
  <c r="AV471" i="6"/>
  <c r="AW471" i="6" s="1"/>
  <c r="AX471" i="6"/>
  <c r="AY471" i="6" s="1"/>
  <c r="AZ471" i="6"/>
  <c r="BA471" i="6"/>
  <c r="AV472" i="6"/>
  <c r="AW472" i="6" s="1"/>
  <c r="AX472" i="6"/>
  <c r="AY472" i="6" s="1"/>
  <c r="BA472" i="6" s="1"/>
  <c r="AZ472" i="6"/>
  <c r="AV473" i="6"/>
  <c r="AW473" i="6"/>
  <c r="AZ473" i="6" s="1"/>
  <c r="AX473" i="6"/>
  <c r="AY473" i="6" s="1"/>
  <c r="BA473" i="6" s="1"/>
  <c r="AV474" i="6"/>
  <c r="AW474" i="6" s="1"/>
  <c r="AX474" i="6"/>
  <c r="AY474" i="6"/>
  <c r="BA474" i="6" s="1"/>
  <c r="AZ474" i="6"/>
  <c r="AV475" i="6"/>
  <c r="AW475" i="6" s="1"/>
  <c r="AZ475" i="6" s="1"/>
  <c r="AX475" i="6"/>
  <c r="AY475" i="6" s="1"/>
  <c r="BA475" i="6"/>
  <c r="AV476" i="6"/>
  <c r="AW476" i="6" s="1"/>
  <c r="AX476" i="6"/>
  <c r="AY476" i="6" s="1"/>
  <c r="BA476" i="6" s="1"/>
  <c r="AZ476" i="6"/>
  <c r="AV477" i="6"/>
  <c r="AW477" i="6"/>
  <c r="AZ477" i="6" s="1"/>
  <c r="AX477" i="6"/>
  <c r="AY477" i="6" s="1"/>
  <c r="BA477" i="6" s="1"/>
  <c r="AV478" i="6"/>
  <c r="AW478" i="6" s="1"/>
  <c r="AZ478" i="6" s="1"/>
  <c r="AX478" i="6"/>
  <c r="AY478" i="6"/>
  <c r="BA478" i="6" s="1"/>
  <c r="AV479" i="6"/>
  <c r="AW479" i="6" s="1"/>
  <c r="AX479" i="6"/>
  <c r="AY479" i="6" s="1"/>
  <c r="BA479" i="6" s="1"/>
  <c r="AZ479" i="6"/>
  <c r="AV480" i="6"/>
  <c r="AW480" i="6" s="1"/>
  <c r="AX480" i="6"/>
  <c r="AY480" i="6" s="1"/>
  <c r="BA480" i="6" s="1"/>
  <c r="AZ480" i="6"/>
  <c r="AV481" i="6"/>
  <c r="AW481" i="6"/>
  <c r="AZ481" i="6" s="1"/>
  <c r="AX481" i="6"/>
  <c r="AY481" i="6" s="1"/>
  <c r="BA481" i="6" s="1"/>
  <c r="AV482" i="6"/>
  <c r="AW482" i="6" s="1"/>
  <c r="AZ482" i="6" s="1"/>
  <c r="AX482" i="6"/>
  <c r="AY482" i="6"/>
  <c r="BA482" i="6" s="1"/>
  <c r="AV483" i="6"/>
  <c r="AW483" i="6" s="1"/>
  <c r="AX483" i="6"/>
  <c r="AY483" i="6" s="1"/>
  <c r="AZ483" i="6"/>
  <c r="BA483" i="6"/>
  <c r="AV484" i="6"/>
  <c r="AW484" i="6" s="1"/>
  <c r="AZ484" i="6" s="1"/>
  <c r="AX484" i="6"/>
  <c r="AY484" i="6" s="1"/>
  <c r="BA484" i="6" s="1"/>
  <c r="AV485" i="6"/>
  <c r="AW485" i="6"/>
  <c r="AZ485" i="6" s="1"/>
  <c r="AX485" i="6"/>
  <c r="AY485" i="6" s="1"/>
  <c r="BA485" i="6" s="1"/>
  <c r="AV486" i="6"/>
  <c r="AW486" i="6" s="1"/>
  <c r="AZ486" i="6" s="1"/>
  <c r="AX486" i="6"/>
  <c r="AY486" i="6"/>
  <c r="BA486" i="6" s="1"/>
  <c r="AV487" i="6"/>
  <c r="AW487" i="6" s="1"/>
  <c r="AX487" i="6"/>
  <c r="AY487" i="6" s="1"/>
  <c r="AZ487" i="6"/>
  <c r="BA487" i="6"/>
  <c r="AV488" i="6"/>
  <c r="AW488" i="6" s="1"/>
  <c r="AX488" i="6"/>
  <c r="AY488" i="6" s="1"/>
  <c r="BA488" i="6" s="1"/>
  <c r="AZ488" i="6"/>
  <c r="AV489" i="6"/>
  <c r="AW489" i="6"/>
  <c r="AZ489" i="6" s="1"/>
  <c r="AX489" i="6"/>
  <c r="AY489" i="6" s="1"/>
  <c r="BA489" i="6" s="1"/>
  <c r="AV490" i="6"/>
  <c r="AW490" i="6" s="1"/>
  <c r="AX490" i="6"/>
  <c r="AY490" i="6"/>
  <c r="BA490" i="6" s="1"/>
  <c r="AZ490" i="6"/>
  <c r="AV491" i="6"/>
  <c r="AW491" i="6" s="1"/>
  <c r="AZ491" i="6" s="1"/>
  <c r="AX491" i="6"/>
  <c r="AY491" i="6" s="1"/>
  <c r="BA491" i="6"/>
  <c r="AV492" i="6"/>
  <c r="AW492" i="6" s="1"/>
  <c r="AX492" i="6"/>
  <c r="AY492" i="6" s="1"/>
  <c r="BA492" i="6" s="1"/>
  <c r="AZ492" i="6"/>
  <c r="AV493" i="6"/>
  <c r="AW493" i="6"/>
  <c r="AZ493" i="6" s="1"/>
  <c r="AX493" i="6"/>
  <c r="AY493" i="6" s="1"/>
  <c r="BA493" i="6" s="1"/>
  <c r="AV494" i="6"/>
  <c r="AW494" i="6" s="1"/>
  <c r="AZ494" i="6" s="1"/>
  <c r="AX494" i="6"/>
  <c r="AY494" i="6"/>
  <c r="BA494" i="6" s="1"/>
  <c r="AV495" i="6"/>
  <c r="AW495" i="6" s="1"/>
  <c r="AX495" i="6"/>
  <c r="AY495" i="6" s="1"/>
  <c r="BA495" i="6" s="1"/>
  <c r="AZ495" i="6"/>
  <c r="AV496" i="6"/>
  <c r="AW496" i="6" s="1"/>
  <c r="AX496" i="6"/>
  <c r="AY496" i="6" s="1"/>
  <c r="BA496" i="6" s="1"/>
  <c r="AZ496" i="6"/>
  <c r="AV497" i="6"/>
  <c r="AW497" i="6"/>
  <c r="AZ497" i="6" s="1"/>
  <c r="AX497" i="6"/>
  <c r="AY497" i="6" s="1"/>
  <c r="BA497" i="6" s="1"/>
  <c r="AV498" i="6"/>
  <c r="AW498" i="6" s="1"/>
  <c r="AZ498" i="6" s="1"/>
  <c r="AX498" i="6"/>
  <c r="AY498" i="6"/>
  <c r="BA498" i="6" s="1"/>
  <c r="AV499" i="6"/>
  <c r="AW499" i="6" s="1"/>
  <c r="AX499" i="6"/>
  <c r="AY499" i="6" s="1"/>
  <c r="AZ499" i="6"/>
  <c r="BA499" i="6"/>
  <c r="AV500" i="6"/>
  <c r="AW500" i="6" s="1"/>
  <c r="AZ500" i="6" s="1"/>
  <c r="AX500" i="6"/>
  <c r="AY500" i="6" s="1"/>
  <c r="BA500" i="6" s="1"/>
  <c r="AV501" i="6"/>
  <c r="AW501" i="6"/>
  <c r="AZ501" i="6" s="1"/>
  <c r="AX501" i="6"/>
  <c r="AY501" i="6" s="1"/>
  <c r="BA501" i="6" s="1"/>
  <c r="AV502" i="6"/>
  <c r="AW502" i="6" s="1"/>
  <c r="AZ502" i="6" s="1"/>
  <c r="AX502" i="6"/>
  <c r="AY502" i="6"/>
  <c r="BA502" i="6" s="1"/>
  <c r="AV503" i="6"/>
  <c r="AW503" i="6" s="1"/>
  <c r="AX503" i="6"/>
  <c r="AY503" i="6" s="1"/>
  <c r="AZ503" i="6"/>
  <c r="BA503" i="6"/>
  <c r="AV504" i="6"/>
  <c r="AW504" i="6" s="1"/>
  <c r="AX504" i="6"/>
  <c r="AY504" i="6" s="1"/>
  <c r="BA504" i="6" s="1"/>
  <c r="AZ504" i="6"/>
  <c r="AV505" i="6"/>
  <c r="AW505" i="6"/>
  <c r="AZ505" i="6" s="1"/>
  <c r="AX505" i="6"/>
  <c r="AY505" i="6" s="1"/>
  <c r="BA505" i="6" s="1"/>
  <c r="AV506" i="6"/>
  <c r="AW506" i="6" s="1"/>
  <c r="AX506" i="6"/>
  <c r="AY506" i="6"/>
  <c r="BA506" i="6" s="1"/>
  <c r="AZ506" i="6"/>
  <c r="AV507" i="6"/>
  <c r="AW507" i="6" s="1"/>
  <c r="AZ507" i="6" s="1"/>
  <c r="AX507" i="6"/>
  <c r="AY507" i="6" s="1"/>
  <c r="BA507" i="6"/>
  <c r="AV508" i="6"/>
  <c r="AW508" i="6" s="1"/>
  <c r="AX508" i="6"/>
  <c r="AY508" i="6" s="1"/>
  <c r="BA508" i="6" s="1"/>
  <c r="AZ508" i="6"/>
  <c r="AV509" i="6"/>
  <c r="AW509" i="6"/>
  <c r="AZ509" i="6" s="1"/>
  <c r="AX509" i="6"/>
  <c r="AY509" i="6" s="1"/>
  <c r="BA509" i="6" s="1"/>
  <c r="AV510" i="6"/>
  <c r="AW510" i="6" s="1"/>
  <c r="AZ510" i="6" s="1"/>
  <c r="AX510" i="6"/>
  <c r="AY510" i="6"/>
  <c r="BA510" i="6" s="1"/>
  <c r="AV511" i="6"/>
  <c r="AW511" i="6" s="1"/>
  <c r="AX511" i="6"/>
  <c r="AY511" i="6" s="1"/>
  <c r="BA511" i="6" s="1"/>
  <c r="AZ511" i="6"/>
  <c r="AV512" i="6"/>
  <c r="AW512" i="6" s="1"/>
  <c r="AX512" i="6"/>
  <c r="AY512" i="6" s="1"/>
  <c r="BA512" i="6" s="1"/>
  <c r="AZ512" i="6"/>
  <c r="AV513" i="6"/>
  <c r="AW513" i="6"/>
  <c r="AZ513" i="6" s="1"/>
  <c r="AX513" i="6"/>
  <c r="AY513" i="6" s="1"/>
  <c r="BA513" i="6" s="1"/>
  <c r="AV514" i="6"/>
  <c r="AW514" i="6" s="1"/>
  <c r="AZ514" i="6" s="1"/>
  <c r="AX514" i="6"/>
  <c r="AY514" i="6"/>
  <c r="BA514" i="6" s="1"/>
  <c r="AV515" i="6"/>
  <c r="AW515" i="6" s="1"/>
  <c r="AX515" i="6"/>
  <c r="AY515" i="6" s="1"/>
  <c r="AZ515" i="6"/>
  <c r="BA515" i="6"/>
  <c r="AV516" i="6"/>
  <c r="AW516" i="6" s="1"/>
  <c r="AZ516" i="6" s="1"/>
  <c r="AX516" i="6"/>
  <c r="AY516" i="6" s="1"/>
  <c r="BA516" i="6" s="1"/>
  <c r="AV517" i="6"/>
  <c r="AW517" i="6"/>
  <c r="AZ517" i="6" s="1"/>
  <c r="AX517" i="6"/>
  <c r="AY517" i="6" s="1"/>
  <c r="BA517" i="6" s="1"/>
  <c r="AV518" i="6"/>
  <c r="AW518" i="6" s="1"/>
  <c r="AZ518" i="6" s="1"/>
  <c r="AX518" i="6"/>
  <c r="AY518" i="6"/>
  <c r="BA518" i="6" s="1"/>
  <c r="AV519" i="6"/>
  <c r="AW519" i="6" s="1"/>
  <c r="AX519" i="6"/>
  <c r="AY519" i="6" s="1"/>
  <c r="AZ519" i="6"/>
  <c r="BA519" i="6"/>
  <c r="AV520" i="6"/>
  <c r="AW520" i="6" s="1"/>
  <c r="AX520" i="6"/>
  <c r="AY520" i="6" s="1"/>
  <c r="BA520" i="6" s="1"/>
  <c r="AZ520" i="6"/>
  <c r="AV521" i="6"/>
  <c r="AW521" i="6"/>
  <c r="AZ521" i="6" s="1"/>
  <c r="AX521" i="6"/>
  <c r="AY521" i="6" s="1"/>
  <c r="BA521" i="6" s="1"/>
  <c r="AV522" i="6"/>
  <c r="AW522" i="6" s="1"/>
  <c r="AX522" i="6"/>
  <c r="AY522" i="6"/>
  <c r="BA522" i="6" s="1"/>
  <c r="AZ522" i="6"/>
  <c r="AV523" i="6"/>
  <c r="AW523" i="6" s="1"/>
  <c r="AZ523" i="6" s="1"/>
  <c r="AX523" i="6"/>
  <c r="AY523" i="6" s="1"/>
  <c r="BA523" i="6"/>
  <c r="AV524" i="6"/>
  <c r="AW524" i="6" s="1"/>
  <c r="AX524" i="6"/>
  <c r="AY524" i="6" s="1"/>
  <c r="BA524" i="6" s="1"/>
  <c r="AZ524" i="6"/>
  <c r="AV525" i="6"/>
  <c r="AW525" i="6"/>
  <c r="AZ525" i="6" s="1"/>
  <c r="AX525" i="6"/>
  <c r="AY525" i="6" s="1"/>
  <c r="BA525" i="6" s="1"/>
  <c r="AV526" i="6"/>
  <c r="AW526" i="6" s="1"/>
  <c r="AZ526" i="6" s="1"/>
  <c r="AX526" i="6"/>
  <c r="AY526" i="6"/>
  <c r="BA526" i="6" s="1"/>
  <c r="AV527" i="6"/>
  <c r="AW527" i="6" s="1"/>
  <c r="AX527" i="6"/>
  <c r="AY527" i="6" s="1"/>
  <c r="BA527" i="6" s="1"/>
  <c r="AZ527" i="6"/>
  <c r="AV528" i="6"/>
  <c r="AW528" i="6" s="1"/>
  <c r="AX528" i="6"/>
  <c r="AY528" i="6" s="1"/>
  <c r="BA528" i="6" s="1"/>
  <c r="AZ528" i="6"/>
  <c r="AV529" i="6"/>
  <c r="AW529" i="6"/>
  <c r="AZ529" i="6" s="1"/>
  <c r="AX529" i="6"/>
  <c r="AY529" i="6" s="1"/>
  <c r="BA529" i="6" s="1"/>
  <c r="AV530" i="6"/>
  <c r="AW530" i="6" s="1"/>
  <c r="AZ530" i="6" s="1"/>
  <c r="AX530" i="6"/>
  <c r="AY530" i="6"/>
  <c r="BA530" i="6" s="1"/>
  <c r="AV531" i="6"/>
  <c r="AW531" i="6" s="1"/>
  <c r="AX531" i="6"/>
  <c r="AY531" i="6" s="1"/>
  <c r="AZ531" i="6"/>
  <c r="BA531" i="6"/>
  <c r="AV532" i="6"/>
  <c r="AW532" i="6" s="1"/>
  <c r="AZ532" i="6" s="1"/>
  <c r="AX532" i="6"/>
  <c r="AY532" i="6" s="1"/>
  <c r="BA532" i="6" s="1"/>
  <c r="AV533" i="6"/>
  <c r="AW533" i="6"/>
  <c r="AZ533" i="6" s="1"/>
  <c r="AX533" i="6"/>
  <c r="AY533" i="6" s="1"/>
  <c r="BA533" i="6" s="1"/>
  <c r="AV534" i="6"/>
  <c r="AW534" i="6" s="1"/>
  <c r="AZ534" i="6" s="1"/>
  <c r="AX534" i="6"/>
  <c r="AY534" i="6"/>
  <c r="BA534" i="6" s="1"/>
  <c r="AV535" i="6"/>
  <c r="AW535" i="6" s="1"/>
  <c r="AX535" i="6"/>
  <c r="AY535" i="6" s="1"/>
  <c r="AZ535" i="6"/>
  <c r="BA535" i="6"/>
  <c r="AV536" i="6"/>
  <c r="AW536" i="6" s="1"/>
  <c r="AX536" i="6"/>
  <c r="AY536" i="6" s="1"/>
  <c r="BA536" i="6" s="1"/>
  <c r="AZ536" i="6"/>
  <c r="AV537" i="6"/>
  <c r="AW537" i="6"/>
  <c r="AZ537" i="6" s="1"/>
  <c r="AX537" i="6"/>
  <c r="AY537" i="6" s="1"/>
  <c r="BA537" i="6" s="1"/>
  <c r="AV538" i="6"/>
  <c r="AW538" i="6" s="1"/>
  <c r="AX538" i="6"/>
  <c r="AY538" i="6"/>
  <c r="BA538" i="6" s="1"/>
  <c r="AZ538" i="6"/>
  <c r="AV539" i="6"/>
  <c r="AW539" i="6" s="1"/>
  <c r="AZ539" i="6" s="1"/>
  <c r="AX539" i="6"/>
  <c r="AY539" i="6" s="1"/>
  <c r="BA539" i="6"/>
  <c r="AV540" i="6"/>
  <c r="AW540" i="6" s="1"/>
  <c r="AX540" i="6"/>
  <c r="AY540" i="6" s="1"/>
  <c r="BA540" i="6" s="1"/>
  <c r="AZ540" i="6"/>
  <c r="AV541" i="6"/>
  <c r="AW541" i="6"/>
  <c r="AZ541" i="6" s="1"/>
  <c r="AX541" i="6"/>
  <c r="AY541" i="6" s="1"/>
  <c r="BA541" i="6" s="1"/>
  <c r="AV542" i="6"/>
  <c r="AW542" i="6" s="1"/>
  <c r="AZ542" i="6" s="1"/>
  <c r="AX542" i="6"/>
  <c r="AY542" i="6"/>
  <c r="BA542" i="6" s="1"/>
  <c r="AV543" i="6"/>
  <c r="AW543" i="6" s="1"/>
  <c r="AX543" i="6"/>
  <c r="AY543" i="6" s="1"/>
  <c r="BA543" i="6" s="1"/>
  <c r="AZ543" i="6"/>
  <c r="AV544" i="6"/>
  <c r="AW544" i="6" s="1"/>
  <c r="AX544" i="6"/>
  <c r="AY544" i="6" s="1"/>
  <c r="BA544" i="6" s="1"/>
  <c r="AZ544" i="6"/>
  <c r="AV545" i="6"/>
  <c r="AW545" i="6"/>
  <c r="AZ545" i="6" s="1"/>
  <c r="AX545" i="6"/>
  <c r="AY545" i="6" s="1"/>
  <c r="BA545" i="6" s="1"/>
  <c r="AV546" i="6"/>
  <c r="AW546" i="6" s="1"/>
  <c r="AZ546" i="6" s="1"/>
  <c r="AX546" i="6"/>
  <c r="AY546" i="6"/>
  <c r="BA546" i="6" s="1"/>
  <c r="AV547" i="6"/>
  <c r="AW547" i="6" s="1"/>
  <c r="AX547" i="6"/>
  <c r="AY547" i="6" s="1"/>
  <c r="AZ547" i="6"/>
  <c r="BA547" i="6"/>
  <c r="AV548" i="6"/>
  <c r="AW548" i="6" s="1"/>
  <c r="AZ548" i="6" s="1"/>
  <c r="AX548" i="6"/>
  <c r="AY548" i="6" s="1"/>
  <c r="BA548" i="6" s="1"/>
  <c r="AV549" i="6"/>
  <c r="AW549" i="6"/>
  <c r="AZ549" i="6" s="1"/>
  <c r="AX549" i="6"/>
  <c r="AY549" i="6" s="1"/>
  <c r="BA549" i="6" s="1"/>
  <c r="AV550" i="6"/>
  <c r="AW550" i="6" s="1"/>
  <c r="AZ550" i="6" s="1"/>
  <c r="AX550" i="6"/>
  <c r="AY550" i="6"/>
  <c r="BA550" i="6" s="1"/>
  <c r="AV551" i="6"/>
  <c r="AW551" i="6" s="1"/>
  <c r="AX551" i="6"/>
  <c r="AY551" i="6" s="1"/>
  <c r="AZ551" i="6"/>
  <c r="BA551" i="6"/>
  <c r="AV552" i="6"/>
  <c r="AW552" i="6" s="1"/>
  <c r="AX552" i="6"/>
  <c r="AY552" i="6" s="1"/>
  <c r="BA552" i="6" s="1"/>
  <c r="AZ552" i="6"/>
  <c r="AV553" i="6"/>
  <c r="AW553" i="6"/>
  <c r="AZ553" i="6" s="1"/>
  <c r="AX553" i="6"/>
  <c r="AY553" i="6" s="1"/>
  <c r="BA553" i="6" s="1"/>
  <c r="AV554" i="6"/>
  <c r="AW554" i="6" s="1"/>
  <c r="AX554" i="6"/>
  <c r="AY554" i="6"/>
  <c r="BA554" i="6" s="1"/>
  <c r="AZ554" i="6"/>
  <c r="AV555" i="6"/>
  <c r="AW555" i="6" s="1"/>
  <c r="AZ555" i="6" s="1"/>
  <c r="AX555" i="6"/>
  <c r="AY555" i="6" s="1"/>
  <c r="BA555" i="6"/>
  <c r="AV556" i="6"/>
  <c r="AW556" i="6" s="1"/>
  <c r="AX556" i="6"/>
  <c r="AY556" i="6" s="1"/>
  <c r="BA556" i="6" s="1"/>
  <c r="AZ556" i="6"/>
  <c r="AV557" i="6"/>
  <c r="AW557" i="6"/>
  <c r="AZ557" i="6" s="1"/>
  <c r="AX557" i="6"/>
  <c r="AY557" i="6" s="1"/>
  <c r="BA557" i="6" s="1"/>
  <c r="AV558" i="6"/>
  <c r="AW558" i="6" s="1"/>
  <c r="AZ558" i="6" s="1"/>
  <c r="AX558" i="6"/>
  <c r="AY558" i="6"/>
  <c r="BA558" i="6" s="1"/>
  <c r="AV559" i="6"/>
  <c r="AW559" i="6" s="1"/>
  <c r="AZ559" i="6" s="1"/>
  <c r="AX559" i="6"/>
  <c r="AY559" i="6" s="1"/>
  <c r="BA559" i="6" s="1"/>
  <c r="AV560" i="6"/>
  <c r="AW560" i="6" s="1"/>
  <c r="AX560" i="6"/>
  <c r="AY560" i="6" s="1"/>
  <c r="BA560" i="6" s="1"/>
  <c r="AZ560" i="6"/>
  <c r="AV561" i="6"/>
  <c r="AW561" i="6"/>
  <c r="AZ561" i="6" s="1"/>
  <c r="AX561" i="6"/>
  <c r="AY561" i="6" s="1"/>
  <c r="BA561" i="6" s="1"/>
  <c r="AV562" i="6"/>
  <c r="AW562" i="6" s="1"/>
  <c r="AZ562" i="6" s="1"/>
  <c r="AX562" i="6"/>
  <c r="AY562" i="6"/>
  <c r="BA562" i="6" s="1"/>
  <c r="AV563" i="6"/>
  <c r="AW563" i="6" s="1"/>
  <c r="AX563" i="6"/>
  <c r="AY563" i="6" s="1"/>
  <c r="AZ563" i="6"/>
  <c r="BA563" i="6"/>
  <c r="AV564" i="6"/>
  <c r="AW564" i="6" s="1"/>
  <c r="AZ564" i="6" s="1"/>
  <c r="AX564" i="6"/>
  <c r="AY564" i="6" s="1"/>
  <c r="BA564" i="6" s="1"/>
  <c r="AV565" i="6"/>
  <c r="AW565" i="6"/>
  <c r="AZ565" i="6" s="1"/>
  <c r="AX565" i="6"/>
  <c r="AY565" i="6" s="1"/>
  <c r="BA565" i="6" s="1"/>
  <c r="AV566" i="6"/>
  <c r="AW566" i="6" s="1"/>
  <c r="AZ566" i="6" s="1"/>
  <c r="AX566" i="6"/>
  <c r="AY566" i="6"/>
  <c r="BA566" i="6" s="1"/>
  <c r="AV567" i="6"/>
  <c r="AW567" i="6" s="1"/>
  <c r="AX567" i="6"/>
  <c r="AY567" i="6" s="1"/>
  <c r="AZ567" i="6"/>
  <c r="BA567" i="6"/>
  <c r="AV568" i="6"/>
  <c r="AW568" i="6" s="1"/>
  <c r="AX568" i="6"/>
  <c r="AY568" i="6" s="1"/>
  <c r="BA568" i="6" s="1"/>
  <c r="AZ568" i="6"/>
  <c r="AV569" i="6"/>
  <c r="AW569" i="6"/>
  <c r="AZ569" i="6" s="1"/>
  <c r="AX569" i="6"/>
  <c r="AY569" i="6" s="1"/>
  <c r="BA569" i="6" s="1"/>
  <c r="AV570" i="6"/>
  <c r="AW570" i="6" s="1"/>
  <c r="AX570" i="6"/>
  <c r="AY570" i="6"/>
  <c r="BA570" i="6" s="1"/>
  <c r="AZ570" i="6"/>
  <c r="AV571" i="6"/>
  <c r="AW571" i="6" s="1"/>
  <c r="AZ571" i="6" s="1"/>
  <c r="AX571" i="6"/>
  <c r="AY571" i="6" s="1"/>
  <c r="BA571" i="6"/>
  <c r="AV572" i="6"/>
  <c r="AW572" i="6" s="1"/>
  <c r="AX572" i="6"/>
  <c r="AY572" i="6" s="1"/>
  <c r="BA572" i="6" s="1"/>
  <c r="AZ572" i="6"/>
  <c r="AV573" i="6"/>
  <c r="AW573" i="6"/>
  <c r="AZ573" i="6" s="1"/>
  <c r="AX573" i="6"/>
  <c r="AY573" i="6" s="1"/>
  <c r="BA573" i="6" s="1"/>
  <c r="AV574" i="6"/>
  <c r="AW574" i="6" s="1"/>
  <c r="AZ574" i="6" s="1"/>
  <c r="AX574" i="6"/>
  <c r="AY574" i="6"/>
  <c r="BA574" i="6" s="1"/>
  <c r="AV575" i="6"/>
  <c r="AW575" i="6" s="1"/>
  <c r="AX575" i="6"/>
  <c r="AY575" i="6" s="1"/>
  <c r="BA575" i="6" s="1"/>
  <c r="AZ575" i="6"/>
  <c r="AV576" i="6"/>
  <c r="AW576" i="6" s="1"/>
  <c r="AX576" i="6"/>
  <c r="AY576" i="6" s="1"/>
  <c r="BA576" i="6" s="1"/>
  <c r="AZ576" i="6"/>
  <c r="AV577" i="6"/>
  <c r="AW577" i="6"/>
  <c r="AZ577" i="6" s="1"/>
  <c r="AX577" i="6"/>
  <c r="AY577" i="6" s="1"/>
  <c r="BA577" i="6" s="1"/>
  <c r="AV578" i="6"/>
  <c r="AW578" i="6" s="1"/>
  <c r="AZ578" i="6" s="1"/>
  <c r="AX578" i="6"/>
  <c r="AY578" i="6"/>
  <c r="BA578" i="6" s="1"/>
  <c r="AV579" i="6"/>
  <c r="AW579" i="6" s="1"/>
  <c r="AX579" i="6"/>
  <c r="AY579" i="6" s="1"/>
  <c r="AZ579" i="6"/>
  <c r="BA579" i="6"/>
  <c r="AV580" i="6"/>
  <c r="AW580" i="6" s="1"/>
  <c r="AZ580" i="6" s="1"/>
  <c r="AX580" i="6"/>
  <c r="AY580" i="6" s="1"/>
  <c r="BA580" i="6" s="1"/>
  <c r="AV581" i="6"/>
  <c r="AW581" i="6"/>
  <c r="AZ581" i="6" s="1"/>
  <c r="AX581" i="6"/>
  <c r="AY581" i="6" s="1"/>
  <c r="BA581" i="6" s="1"/>
  <c r="AV582" i="6"/>
  <c r="AW582" i="6" s="1"/>
  <c r="AZ582" i="6" s="1"/>
  <c r="AX582" i="6"/>
  <c r="AY582" i="6"/>
  <c r="BA582" i="6" s="1"/>
  <c r="AV583" i="6"/>
  <c r="AW583" i="6" s="1"/>
  <c r="AX583" i="6"/>
  <c r="AY583" i="6" s="1"/>
  <c r="AZ583" i="6"/>
  <c r="BA583" i="6"/>
  <c r="AV584" i="6"/>
  <c r="AW584" i="6" s="1"/>
  <c r="AZ584" i="6" s="1"/>
  <c r="AX584" i="6"/>
  <c r="AY584" i="6" s="1"/>
  <c r="BA584" i="6" s="1"/>
  <c r="AV585" i="6"/>
  <c r="AW585" i="6"/>
  <c r="AZ585" i="6" s="1"/>
  <c r="AX585" i="6"/>
  <c r="AY585" i="6" s="1"/>
  <c r="BA585" i="6" s="1"/>
  <c r="AV586" i="6"/>
  <c r="AW586" i="6" s="1"/>
  <c r="AX586" i="6"/>
  <c r="AY586" i="6"/>
  <c r="BA586" i="6" s="1"/>
  <c r="AZ586" i="6"/>
  <c r="AV587" i="6"/>
  <c r="AW587" i="6" s="1"/>
  <c r="AZ587" i="6" s="1"/>
  <c r="AX587" i="6"/>
  <c r="AY587" i="6" s="1"/>
  <c r="BA587" i="6"/>
  <c r="AV588" i="6"/>
  <c r="AW588" i="6" s="1"/>
  <c r="AX588" i="6"/>
  <c r="AY588" i="6" s="1"/>
  <c r="BA588" i="6" s="1"/>
  <c r="AZ588" i="6"/>
  <c r="AV589" i="6"/>
  <c r="AW589" i="6"/>
  <c r="AZ589" i="6" s="1"/>
  <c r="AX589" i="6"/>
  <c r="AY589" i="6" s="1"/>
  <c r="BA589" i="6" s="1"/>
  <c r="AV590" i="6"/>
  <c r="AW590" i="6" s="1"/>
  <c r="AZ590" i="6" s="1"/>
  <c r="AX590" i="6"/>
  <c r="AY590" i="6"/>
  <c r="BA590" i="6" s="1"/>
  <c r="AV591" i="6"/>
  <c r="AW591" i="6" s="1"/>
  <c r="AZ591" i="6" s="1"/>
  <c r="AX591" i="6"/>
  <c r="AY591" i="6" s="1"/>
  <c r="BA591" i="6" s="1"/>
  <c r="AV592" i="6"/>
  <c r="AW592" i="6" s="1"/>
  <c r="AX592" i="6"/>
  <c r="AY592" i="6" s="1"/>
  <c r="BA592" i="6" s="1"/>
  <c r="AZ592" i="6"/>
  <c r="AV593" i="6"/>
  <c r="AW593" i="6"/>
  <c r="AZ593" i="6" s="1"/>
  <c r="AX593" i="6"/>
  <c r="AY593" i="6" s="1"/>
  <c r="BA593" i="6" s="1"/>
  <c r="AV594" i="6"/>
  <c r="AW594" i="6" s="1"/>
  <c r="AZ594" i="6" s="1"/>
  <c r="AX594" i="6"/>
  <c r="AY594" i="6"/>
  <c r="BA594" i="6" s="1"/>
  <c r="AV595" i="6"/>
  <c r="AW595" i="6"/>
  <c r="AX595" i="6"/>
  <c r="AY595" i="6" s="1"/>
  <c r="AZ595" i="6"/>
  <c r="BA595" i="6"/>
  <c r="AV596" i="6"/>
  <c r="AW596" i="6" s="1"/>
  <c r="AX596" i="6"/>
  <c r="AY596" i="6" s="1"/>
  <c r="BA596" i="6" s="1"/>
  <c r="AZ596" i="6"/>
  <c r="AV597" i="6"/>
  <c r="AW597" i="6"/>
  <c r="AZ597" i="6" s="1"/>
  <c r="AX597" i="6"/>
  <c r="AY597" i="6"/>
  <c r="BA597" i="6" s="1"/>
  <c r="AV598" i="6"/>
  <c r="AW598" i="6"/>
  <c r="AX598" i="6"/>
  <c r="AY598" i="6"/>
  <c r="AZ598" i="6"/>
  <c r="BA598" i="6"/>
  <c r="AV599" i="6"/>
  <c r="AW599" i="6"/>
  <c r="AZ599" i="6" s="1"/>
  <c r="AX599" i="6"/>
  <c r="AY599" i="6"/>
  <c r="BA599" i="6"/>
  <c r="AV600" i="6"/>
  <c r="AW600" i="6"/>
  <c r="AZ600" i="6" s="1"/>
  <c r="AX600" i="6"/>
  <c r="AY600" i="6"/>
  <c r="BA600" i="6"/>
  <c r="AV601" i="6"/>
  <c r="AW601" i="6"/>
  <c r="AZ601" i="6" s="1"/>
  <c r="AX601" i="6"/>
  <c r="AY601" i="6"/>
  <c r="BA601" i="6" s="1"/>
  <c r="AV602" i="6"/>
  <c r="AW602" i="6"/>
  <c r="AX602" i="6"/>
  <c r="AY602" i="6"/>
  <c r="AZ602" i="6"/>
  <c r="BA602" i="6"/>
  <c r="AV603" i="6"/>
  <c r="AW603" i="6"/>
  <c r="AZ603" i="6" s="1"/>
  <c r="AX603" i="6"/>
  <c r="AY603" i="6"/>
  <c r="BA603" i="6"/>
  <c r="AV604" i="6"/>
  <c r="AW604" i="6"/>
  <c r="AZ604" i="6" s="1"/>
  <c r="AX604" i="6"/>
  <c r="AY604" i="6"/>
  <c r="BA604" i="6"/>
  <c r="AV605" i="6"/>
  <c r="AW605" i="6"/>
  <c r="AZ605" i="6" s="1"/>
  <c r="AX605" i="6"/>
  <c r="AY605" i="6"/>
  <c r="BA605" i="6" s="1"/>
  <c r="AV606" i="6"/>
  <c r="AW606" i="6"/>
  <c r="AX606" i="6"/>
  <c r="AY606" i="6"/>
  <c r="AZ606" i="6"/>
  <c r="BA606" i="6"/>
  <c r="AV607" i="6"/>
  <c r="AW607" i="6"/>
  <c r="AZ607" i="6" s="1"/>
  <c r="AX607" i="6"/>
  <c r="AY607" i="6"/>
  <c r="BA607" i="6"/>
  <c r="AV608" i="6"/>
  <c r="AW608" i="6"/>
  <c r="AZ608" i="6" s="1"/>
  <c r="AX608" i="6"/>
  <c r="AY608" i="6"/>
  <c r="BA608" i="6"/>
  <c r="AV609" i="6"/>
  <c r="AW609" i="6"/>
  <c r="AZ609" i="6" s="1"/>
  <c r="AX609" i="6"/>
  <c r="AY609" i="6"/>
  <c r="BA609" i="6" s="1"/>
  <c r="AV610" i="6"/>
  <c r="AW610" i="6"/>
  <c r="AX610" i="6"/>
  <c r="AY610" i="6"/>
  <c r="AZ610" i="6"/>
  <c r="BA610" i="6"/>
  <c r="AV611" i="6"/>
  <c r="AW611" i="6"/>
  <c r="AZ611" i="6" s="1"/>
  <c r="AX611" i="6"/>
  <c r="AY611" i="6"/>
  <c r="BA611" i="6"/>
  <c r="AV612" i="6"/>
  <c r="AW612" i="6"/>
  <c r="AZ612" i="6" s="1"/>
  <c r="AX612" i="6"/>
  <c r="AY612" i="6"/>
  <c r="BA612" i="6"/>
  <c r="AV613" i="6"/>
  <c r="AW613" i="6"/>
  <c r="AZ613" i="6" s="1"/>
  <c r="AX613" i="6"/>
  <c r="AY613" i="6"/>
  <c r="BA613" i="6" s="1"/>
  <c r="AV614" i="6"/>
  <c r="AW614" i="6"/>
  <c r="AX614" i="6"/>
  <c r="AY614" i="6"/>
  <c r="AZ614" i="6"/>
  <c r="BA614" i="6"/>
  <c r="AV615" i="6"/>
  <c r="AW615" i="6"/>
  <c r="AZ615" i="6" s="1"/>
  <c r="AX615" i="6"/>
  <c r="AY615" i="6"/>
  <c r="BA615" i="6"/>
  <c r="AV616" i="6"/>
  <c r="AW616" i="6"/>
  <c r="AZ616" i="6" s="1"/>
  <c r="AX616" i="6"/>
  <c r="AY616" i="6"/>
  <c r="BA616" i="6"/>
  <c r="AV617" i="6"/>
  <c r="AW617" i="6"/>
  <c r="AZ617" i="6" s="1"/>
  <c r="AX617" i="6"/>
  <c r="AY617" i="6"/>
  <c r="BA617" i="6" s="1"/>
  <c r="AV618" i="6"/>
  <c r="AW618" i="6"/>
  <c r="AX618" i="6"/>
  <c r="AY618" i="6"/>
  <c r="AZ618" i="6"/>
  <c r="BA618" i="6"/>
  <c r="AV619" i="6"/>
  <c r="AW619" i="6"/>
  <c r="AZ619" i="6" s="1"/>
  <c r="AX619" i="6"/>
  <c r="AY619" i="6"/>
  <c r="BA619" i="6"/>
  <c r="AV620" i="6"/>
  <c r="AW620" i="6"/>
  <c r="AZ620" i="6" s="1"/>
  <c r="AX620" i="6"/>
  <c r="AY620" i="6"/>
  <c r="BA620" i="6"/>
  <c r="AV621" i="6"/>
  <c r="AW621" i="6"/>
  <c r="AZ621" i="6" s="1"/>
  <c r="AX621" i="6"/>
  <c r="AY621" i="6"/>
  <c r="BA621" i="6" s="1"/>
  <c r="AV622" i="6"/>
  <c r="AW622" i="6"/>
  <c r="AX622" i="6"/>
  <c r="AY622" i="6"/>
  <c r="AZ622" i="6"/>
  <c r="BA622" i="6"/>
  <c r="AV623" i="6"/>
  <c r="AW623" i="6"/>
  <c r="AZ623" i="6" s="1"/>
  <c r="AX623" i="6"/>
  <c r="AY623" i="6"/>
  <c r="BA623" i="6"/>
  <c r="AV624" i="6"/>
  <c r="AW624" i="6"/>
  <c r="AZ624" i="6" s="1"/>
  <c r="AX624" i="6"/>
  <c r="AY624" i="6"/>
  <c r="BA624" i="6"/>
  <c r="AV625" i="6"/>
  <c r="AW625" i="6"/>
  <c r="AZ625" i="6" s="1"/>
  <c r="AX625" i="6"/>
  <c r="AY625" i="6"/>
  <c r="BA625" i="6" s="1"/>
  <c r="AV626" i="6"/>
  <c r="AW626" i="6"/>
  <c r="AX626" i="6"/>
  <c r="AY626" i="6"/>
  <c r="AZ626" i="6"/>
  <c r="BA626" i="6"/>
  <c r="AV627" i="6"/>
  <c r="AW627" i="6"/>
  <c r="AZ627" i="6" s="1"/>
  <c r="AX627" i="6"/>
  <c r="AY627" i="6"/>
  <c r="BA627" i="6"/>
  <c r="AV628" i="6"/>
  <c r="AW628" i="6"/>
  <c r="AZ628" i="6" s="1"/>
  <c r="AX628" i="6"/>
  <c r="AY628" i="6"/>
  <c r="BA628" i="6"/>
  <c r="AV629" i="6"/>
  <c r="AW629" i="6"/>
  <c r="AZ629" i="6" s="1"/>
  <c r="AX629" i="6"/>
  <c r="AY629" i="6"/>
  <c r="BA629" i="6" s="1"/>
  <c r="AV630" i="6"/>
  <c r="AW630" i="6"/>
  <c r="AX630" i="6"/>
  <c r="AY630" i="6"/>
  <c r="AZ630" i="6"/>
  <c r="BA630" i="6"/>
  <c r="AV631" i="6"/>
  <c r="AW631" i="6"/>
  <c r="AZ631" i="6" s="1"/>
  <c r="AX631" i="6"/>
  <c r="AY631" i="6"/>
  <c r="BA631" i="6"/>
  <c r="AV632" i="6"/>
  <c r="AW632" i="6"/>
  <c r="AZ632" i="6" s="1"/>
  <c r="AX632" i="6"/>
  <c r="AY632" i="6"/>
  <c r="BA632" i="6"/>
  <c r="AV633" i="6"/>
  <c r="AW633" i="6"/>
  <c r="AZ633" i="6" s="1"/>
  <c r="AX633" i="6"/>
  <c r="AY633" i="6"/>
  <c r="BA633" i="6" s="1"/>
  <c r="AV634" i="6"/>
  <c r="AW634" i="6"/>
  <c r="AX634" i="6"/>
  <c r="AY634" i="6"/>
  <c r="AZ634" i="6"/>
  <c r="BA634" i="6"/>
  <c r="AV635" i="6"/>
  <c r="AW635" i="6"/>
  <c r="AZ635" i="6" s="1"/>
  <c r="AX635" i="6"/>
  <c r="AY635" i="6"/>
  <c r="BA635" i="6"/>
  <c r="AV636" i="6"/>
  <c r="AW636" i="6"/>
  <c r="AZ636" i="6" s="1"/>
  <c r="AX636" i="6"/>
  <c r="AY636" i="6"/>
  <c r="BA636" i="6"/>
  <c r="AV637" i="6"/>
  <c r="AW637" i="6"/>
  <c r="AZ637" i="6" s="1"/>
  <c r="AX637" i="6"/>
  <c r="AY637" i="6"/>
  <c r="BA637" i="6" s="1"/>
  <c r="AV638" i="6"/>
  <c r="AW638" i="6"/>
  <c r="AX638" i="6"/>
  <c r="AY638" i="6"/>
  <c r="AZ638" i="6"/>
  <c r="BA638" i="6"/>
  <c r="AV639" i="6"/>
  <c r="AW639" i="6"/>
  <c r="AZ639" i="6" s="1"/>
  <c r="AX639" i="6"/>
  <c r="AY639" i="6"/>
  <c r="BA639" i="6"/>
  <c r="AV640" i="6"/>
  <c r="AW640" i="6"/>
  <c r="AZ640" i="6" s="1"/>
  <c r="AX640" i="6"/>
  <c r="AY640" i="6"/>
  <c r="BA640" i="6"/>
  <c r="AV641" i="6"/>
  <c r="AW641" i="6"/>
  <c r="AZ641" i="6" s="1"/>
  <c r="AX641" i="6"/>
  <c r="AY641" i="6"/>
  <c r="BA641" i="6" s="1"/>
  <c r="AV642" i="6"/>
  <c r="AW642" i="6"/>
  <c r="AX642" i="6"/>
  <c r="AY642" i="6"/>
  <c r="AZ642" i="6"/>
  <c r="BA642" i="6"/>
  <c r="AV643" i="6"/>
  <c r="AW643" i="6"/>
  <c r="AZ643" i="6" s="1"/>
  <c r="AX643" i="6"/>
  <c r="AY643" i="6"/>
  <c r="BA643" i="6"/>
  <c r="AV644" i="6"/>
  <c r="AW644" i="6"/>
  <c r="AZ644" i="6" s="1"/>
  <c r="AX644" i="6"/>
  <c r="AY644" i="6"/>
  <c r="BA644" i="6"/>
  <c r="AV645" i="6"/>
  <c r="AW645" i="6"/>
  <c r="AZ645" i="6" s="1"/>
  <c r="AX645" i="6"/>
  <c r="AY645" i="6"/>
  <c r="BA645" i="6" s="1"/>
  <c r="AV646" i="6"/>
  <c r="AW646" i="6"/>
  <c r="AX646" i="6"/>
  <c r="AY646" i="6"/>
  <c r="AZ646" i="6"/>
  <c r="BA646" i="6"/>
  <c r="AV647" i="6"/>
  <c r="AW647" i="6"/>
  <c r="AZ647" i="6" s="1"/>
  <c r="AX647" i="6"/>
  <c r="AY647" i="6"/>
  <c r="BA647" i="6"/>
  <c r="AV648" i="6"/>
  <c r="AW648" i="6"/>
  <c r="AZ648" i="6" s="1"/>
  <c r="AX648" i="6"/>
  <c r="AY648" i="6"/>
  <c r="BA648" i="6"/>
  <c r="AV649" i="6"/>
  <c r="AW649" i="6"/>
  <c r="AZ649" i="6" s="1"/>
  <c r="AX649" i="6"/>
  <c r="AY649" i="6"/>
  <c r="BA649" i="6" s="1"/>
  <c r="AV650" i="6"/>
  <c r="AW650" i="6"/>
  <c r="AX650" i="6"/>
  <c r="AY650" i="6"/>
  <c r="AZ650" i="6"/>
  <c r="BA650" i="6"/>
  <c r="AV651" i="6"/>
  <c r="AW651" i="6"/>
  <c r="AZ651" i="6" s="1"/>
  <c r="AX651" i="6"/>
  <c r="AY651" i="6"/>
  <c r="BA651" i="6"/>
  <c r="AV652" i="6"/>
  <c r="AW652" i="6"/>
  <c r="AZ652" i="6" s="1"/>
  <c r="AX652" i="6"/>
  <c r="AY652" i="6"/>
  <c r="BA652" i="6"/>
  <c r="AV653" i="6"/>
  <c r="AW653" i="6"/>
  <c r="AZ653" i="6" s="1"/>
  <c r="AX653" i="6"/>
  <c r="AY653" i="6"/>
  <c r="BA653" i="6" s="1"/>
  <c r="AV654" i="6"/>
  <c r="AW654" i="6"/>
  <c r="AX654" i="6"/>
  <c r="AY654" i="6"/>
  <c r="AZ654" i="6"/>
  <c r="BA654" i="6"/>
  <c r="AV655" i="6"/>
  <c r="AW655" i="6"/>
  <c r="AZ655" i="6" s="1"/>
  <c r="AX655" i="6"/>
  <c r="AY655" i="6"/>
  <c r="BA655" i="6"/>
  <c r="AV656" i="6"/>
  <c r="AW656" i="6"/>
  <c r="AZ656" i="6" s="1"/>
  <c r="AX656" i="6"/>
  <c r="AY656" i="6"/>
  <c r="BA656" i="6"/>
  <c r="AV657" i="6"/>
  <c r="AW657" i="6"/>
  <c r="AZ657" i="6" s="1"/>
  <c r="AX657" i="6"/>
  <c r="AY657" i="6"/>
  <c r="BA657" i="6" s="1"/>
  <c r="AV658" i="6"/>
  <c r="AW658" i="6"/>
  <c r="AX658" i="6"/>
  <c r="AY658" i="6"/>
  <c r="AZ658" i="6"/>
  <c r="BA658" i="6"/>
  <c r="AV659" i="6"/>
  <c r="AW659" i="6"/>
  <c r="AZ659" i="6" s="1"/>
  <c r="AX659" i="6"/>
  <c r="AY659" i="6"/>
  <c r="BA659" i="6"/>
  <c r="AV660" i="6"/>
  <c r="AW660" i="6"/>
  <c r="AZ660" i="6" s="1"/>
  <c r="AX660" i="6"/>
  <c r="AY660" i="6"/>
  <c r="BA660" i="6"/>
  <c r="AV661" i="6"/>
  <c r="AW661" i="6"/>
  <c r="AZ661" i="6" s="1"/>
  <c r="AX661" i="6"/>
  <c r="AY661" i="6"/>
  <c r="BA661" i="6" s="1"/>
  <c r="AV662" i="6"/>
  <c r="AW662" i="6"/>
  <c r="AX662" i="6"/>
  <c r="AY662" i="6"/>
  <c r="AZ662" i="6"/>
  <c r="BA662" i="6"/>
  <c r="AV663" i="6"/>
  <c r="AW663" i="6"/>
  <c r="AZ663" i="6" s="1"/>
  <c r="AX663" i="6"/>
  <c r="AY663" i="6"/>
  <c r="BA663" i="6"/>
  <c r="AV664" i="6"/>
  <c r="AW664" i="6"/>
  <c r="AZ664" i="6" s="1"/>
  <c r="AX664" i="6"/>
  <c r="AY664" i="6"/>
  <c r="BA664" i="6"/>
  <c r="AV665" i="6"/>
  <c r="AW665" i="6"/>
  <c r="AZ665" i="6" s="1"/>
  <c r="AX665" i="6"/>
  <c r="AY665" i="6"/>
  <c r="BA665" i="6" s="1"/>
  <c r="AV666" i="6"/>
  <c r="AW666" i="6"/>
  <c r="AX666" i="6"/>
  <c r="AY666" i="6"/>
  <c r="AZ666" i="6"/>
  <c r="BA666" i="6"/>
  <c r="AV667" i="6"/>
  <c r="AW667" i="6"/>
  <c r="AZ667" i="6" s="1"/>
  <c r="AX667" i="6"/>
  <c r="AY667" i="6"/>
  <c r="BA667" i="6"/>
  <c r="AV668" i="6"/>
  <c r="AW668" i="6"/>
  <c r="AZ668" i="6" s="1"/>
  <c r="AX668" i="6"/>
  <c r="AY668" i="6"/>
  <c r="BA668" i="6"/>
  <c r="AV669" i="6"/>
  <c r="AW669" i="6"/>
  <c r="AZ669" i="6" s="1"/>
  <c r="AX669" i="6"/>
  <c r="AY669" i="6"/>
  <c r="BA669" i="6" s="1"/>
  <c r="AV670" i="6"/>
  <c r="AW670" i="6"/>
  <c r="AX670" i="6"/>
  <c r="AY670" i="6"/>
  <c r="AZ670" i="6"/>
  <c r="BA670" i="6"/>
  <c r="AV671" i="6"/>
  <c r="AW671" i="6"/>
  <c r="AZ671" i="6" s="1"/>
  <c r="AX671" i="6"/>
  <c r="AY671" i="6"/>
  <c r="BA671" i="6"/>
  <c r="AV672" i="6"/>
  <c r="AW672" i="6"/>
  <c r="AZ672" i="6" s="1"/>
  <c r="AX672" i="6"/>
  <c r="AY672" i="6"/>
  <c r="BA672" i="6"/>
  <c r="AV673" i="6"/>
  <c r="AW673" i="6"/>
  <c r="AZ673" i="6" s="1"/>
  <c r="AX673" i="6"/>
  <c r="AY673" i="6"/>
  <c r="BA673" i="6" s="1"/>
  <c r="AV674" i="6"/>
  <c r="AW674" i="6"/>
  <c r="AX674" i="6"/>
  <c r="AY674" i="6"/>
  <c r="AZ674" i="6"/>
  <c r="BA674" i="6"/>
  <c r="AV675" i="6"/>
  <c r="AW675" i="6"/>
  <c r="AZ675" i="6" s="1"/>
  <c r="AX675" i="6"/>
  <c r="AY675" i="6"/>
  <c r="BA675" i="6"/>
  <c r="AV676" i="6"/>
  <c r="AW676" i="6"/>
  <c r="AZ676" i="6" s="1"/>
  <c r="AX676" i="6"/>
  <c r="AY676" i="6"/>
  <c r="BA676" i="6"/>
  <c r="AV677" i="6"/>
  <c r="AW677" i="6"/>
  <c r="AZ677" i="6" s="1"/>
  <c r="AX677" i="6"/>
  <c r="AY677" i="6"/>
  <c r="BA677" i="6" s="1"/>
  <c r="AV678" i="6"/>
  <c r="AW678" i="6"/>
  <c r="AX678" i="6"/>
  <c r="AY678" i="6"/>
  <c r="AZ678" i="6"/>
  <c r="BA678" i="6"/>
  <c r="AV679" i="6"/>
  <c r="AW679" i="6"/>
  <c r="AZ679" i="6" s="1"/>
  <c r="AX679" i="6"/>
  <c r="AY679" i="6"/>
  <c r="BA679" i="6"/>
  <c r="AV680" i="6"/>
  <c r="AW680" i="6"/>
  <c r="AZ680" i="6" s="1"/>
  <c r="AX680" i="6"/>
  <c r="AY680" i="6"/>
  <c r="BA680" i="6"/>
  <c r="AV681" i="6"/>
  <c r="AW681" i="6"/>
  <c r="AZ681" i="6" s="1"/>
  <c r="AX681" i="6"/>
  <c r="AY681" i="6"/>
  <c r="BA681" i="6" s="1"/>
  <c r="AV682" i="6"/>
  <c r="AW682" i="6"/>
  <c r="AX682" i="6"/>
  <c r="AY682" i="6"/>
  <c r="AZ682" i="6"/>
  <c r="BA682" i="6"/>
  <c r="AL8" i="6"/>
  <c r="AM8" i="6"/>
  <c r="AL9" i="6"/>
  <c r="AM9" i="6"/>
  <c r="AL10" i="6"/>
  <c r="AM10" i="6"/>
  <c r="AL11" i="6"/>
  <c r="AM11" i="6"/>
  <c r="AL12" i="6"/>
  <c r="AM12" i="6"/>
  <c r="AL13" i="6"/>
  <c r="AM13" i="6"/>
  <c r="AL14" i="6"/>
  <c r="AM14" i="6"/>
  <c r="AL15" i="6"/>
  <c r="AM15" i="6"/>
  <c r="AL16" i="6"/>
  <c r="AM16" i="6"/>
  <c r="AL17" i="6"/>
  <c r="AM17" i="6"/>
  <c r="AL18" i="6"/>
  <c r="AM18" i="6"/>
  <c r="AL19" i="6"/>
  <c r="AM19" i="6"/>
  <c r="AL20" i="6"/>
  <c r="AM20" i="6"/>
  <c r="AL21" i="6"/>
  <c r="AM21" i="6"/>
  <c r="AL22" i="6"/>
  <c r="AM22" i="6"/>
  <c r="AL23" i="6"/>
  <c r="AM23" i="6"/>
  <c r="AL24" i="6"/>
  <c r="AM24" i="6"/>
  <c r="AL25" i="6"/>
  <c r="AM25" i="6"/>
  <c r="AL26" i="6"/>
  <c r="AM26" i="6"/>
  <c r="AL27" i="6"/>
  <c r="AM27" i="6"/>
  <c r="AL28" i="6"/>
  <c r="AM28" i="6"/>
  <c r="AL29" i="6"/>
  <c r="AM29" i="6"/>
  <c r="AL30" i="6"/>
  <c r="AM30" i="6"/>
  <c r="AL31" i="6"/>
  <c r="AM31" i="6"/>
  <c r="AL32" i="6"/>
  <c r="AM32" i="6"/>
  <c r="AL33" i="6"/>
  <c r="AM33" i="6"/>
  <c r="AL34" i="6"/>
  <c r="AM34" i="6"/>
  <c r="AL35" i="6"/>
  <c r="AM35" i="6"/>
  <c r="AL36" i="6"/>
  <c r="AM36" i="6"/>
  <c r="AL37" i="6"/>
  <c r="AM37" i="6"/>
  <c r="AL38" i="6"/>
  <c r="AM38" i="6"/>
  <c r="AL39" i="6"/>
  <c r="AM39" i="6"/>
  <c r="AL40" i="6"/>
  <c r="AM40" i="6"/>
  <c r="AL41" i="6"/>
  <c r="AM41" i="6"/>
  <c r="AL42" i="6"/>
  <c r="AM42" i="6"/>
  <c r="AL43" i="6"/>
  <c r="AM43" i="6"/>
  <c r="AL44" i="6"/>
  <c r="AM44" i="6"/>
  <c r="AL45" i="6"/>
  <c r="AM45" i="6"/>
  <c r="AL46" i="6"/>
  <c r="AM46" i="6"/>
  <c r="AL47" i="6"/>
  <c r="AM47" i="6"/>
  <c r="AL48" i="6"/>
  <c r="AM48" i="6"/>
  <c r="AL49" i="6"/>
  <c r="AM49" i="6"/>
  <c r="AL50" i="6"/>
  <c r="AM50" i="6"/>
  <c r="AL51" i="6"/>
  <c r="AM51" i="6"/>
  <c r="AL52" i="6"/>
  <c r="AM52" i="6"/>
  <c r="AL53" i="6"/>
  <c r="AM53" i="6"/>
  <c r="AL54" i="6"/>
  <c r="AM54" i="6"/>
  <c r="AL55" i="6"/>
  <c r="AM55" i="6"/>
  <c r="AL56" i="6"/>
  <c r="AM56" i="6"/>
  <c r="AL57" i="6"/>
  <c r="AM57" i="6"/>
  <c r="AL58" i="6"/>
  <c r="AM58" i="6"/>
  <c r="AL59" i="6"/>
  <c r="AM59" i="6"/>
  <c r="AL60" i="6"/>
  <c r="AM60" i="6"/>
  <c r="AL61" i="6"/>
  <c r="AM61" i="6"/>
  <c r="AL62" i="6"/>
  <c r="AM62" i="6"/>
  <c r="AL63" i="6"/>
  <c r="AM63" i="6"/>
  <c r="AL64" i="6"/>
  <c r="AM64" i="6"/>
  <c r="AL65" i="6"/>
  <c r="AM65" i="6"/>
  <c r="AL66" i="6"/>
  <c r="AM66" i="6"/>
  <c r="AL67" i="6"/>
  <c r="AM67" i="6"/>
  <c r="AL68" i="6"/>
  <c r="AM68" i="6"/>
  <c r="AL69" i="6"/>
  <c r="AM69" i="6"/>
  <c r="AL70" i="6"/>
  <c r="AM70" i="6"/>
  <c r="AL71" i="6"/>
  <c r="AM71" i="6"/>
  <c r="AL72" i="6"/>
  <c r="AM72" i="6"/>
  <c r="AL73" i="6"/>
  <c r="AM73" i="6"/>
  <c r="AL74" i="6"/>
  <c r="AM74" i="6"/>
  <c r="AL75" i="6"/>
  <c r="AM75" i="6"/>
  <c r="AL76" i="6"/>
  <c r="AM76" i="6"/>
  <c r="AL77" i="6"/>
  <c r="AM77" i="6"/>
  <c r="AL78" i="6"/>
  <c r="AM78" i="6"/>
  <c r="AL79" i="6"/>
  <c r="AM79" i="6"/>
  <c r="AL80" i="6"/>
  <c r="AM80" i="6"/>
  <c r="AL81" i="6"/>
  <c r="AM81" i="6"/>
  <c r="AL82" i="6"/>
  <c r="AM82" i="6"/>
  <c r="AL83" i="6"/>
  <c r="AM83" i="6"/>
  <c r="AL84" i="6"/>
  <c r="AM84" i="6"/>
  <c r="AL85" i="6"/>
  <c r="AM85" i="6"/>
  <c r="AL86" i="6"/>
  <c r="AM86" i="6"/>
  <c r="AL87" i="6"/>
  <c r="AM87" i="6"/>
  <c r="AL88" i="6"/>
  <c r="AM88" i="6"/>
  <c r="AL89" i="6"/>
  <c r="AM89" i="6"/>
  <c r="AL90" i="6"/>
  <c r="AM90" i="6"/>
  <c r="AL91" i="6"/>
  <c r="AM91" i="6"/>
  <c r="AL92" i="6"/>
  <c r="AM92" i="6"/>
  <c r="AL93" i="6"/>
  <c r="AM93" i="6"/>
  <c r="AL94" i="6"/>
  <c r="AM94" i="6"/>
  <c r="AL95" i="6"/>
  <c r="AM95" i="6"/>
  <c r="AL96" i="6"/>
  <c r="AM96" i="6"/>
  <c r="AL97" i="6"/>
  <c r="AM97" i="6"/>
  <c r="AL98" i="6"/>
  <c r="AM98" i="6"/>
  <c r="AL99" i="6"/>
  <c r="AM99" i="6"/>
  <c r="AL100" i="6"/>
  <c r="AM100" i="6"/>
  <c r="AL101" i="6"/>
  <c r="AM101" i="6"/>
  <c r="AL102" i="6"/>
  <c r="AM102" i="6"/>
  <c r="AL103" i="6"/>
  <c r="AM103" i="6"/>
  <c r="AL104" i="6"/>
  <c r="AM104" i="6"/>
  <c r="AL105" i="6"/>
  <c r="AM105" i="6"/>
  <c r="AL106" i="6"/>
  <c r="AM106" i="6"/>
  <c r="AL107" i="6"/>
  <c r="AM107" i="6"/>
  <c r="AL108" i="6"/>
  <c r="AM108" i="6"/>
  <c r="AL109" i="6"/>
  <c r="AM109" i="6"/>
  <c r="AL110" i="6"/>
  <c r="AM110" i="6"/>
  <c r="AL111" i="6"/>
  <c r="AM111" i="6"/>
  <c r="AL112" i="6"/>
  <c r="AM112" i="6"/>
  <c r="AL113" i="6"/>
  <c r="AM113" i="6"/>
  <c r="AL114" i="6"/>
  <c r="AM114" i="6"/>
  <c r="AL115" i="6"/>
  <c r="AM115" i="6"/>
  <c r="AL116" i="6"/>
  <c r="AM116" i="6"/>
  <c r="AL117" i="6"/>
  <c r="AM117" i="6"/>
  <c r="AL118" i="6"/>
  <c r="AM118" i="6"/>
  <c r="AL119" i="6"/>
  <c r="AM119" i="6"/>
  <c r="AL120" i="6"/>
  <c r="AM120" i="6"/>
  <c r="AL121" i="6"/>
  <c r="AM121" i="6"/>
  <c r="AL122" i="6"/>
  <c r="AM122" i="6"/>
  <c r="AL123" i="6"/>
  <c r="AM123" i="6"/>
  <c r="AL124" i="6"/>
  <c r="AM124" i="6"/>
  <c r="AL125" i="6"/>
  <c r="AM125" i="6"/>
  <c r="AL126" i="6"/>
  <c r="AM126" i="6"/>
  <c r="AL127" i="6"/>
  <c r="AM127" i="6"/>
  <c r="AL128" i="6"/>
  <c r="AM128" i="6"/>
  <c r="AL129" i="6"/>
  <c r="AM129" i="6"/>
  <c r="AL130" i="6"/>
  <c r="AM130" i="6"/>
  <c r="AL131" i="6"/>
  <c r="AM131" i="6"/>
  <c r="AL132" i="6"/>
  <c r="AM132" i="6"/>
  <c r="AL133" i="6"/>
  <c r="AM133" i="6"/>
  <c r="AL134" i="6"/>
  <c r="AM134" i="6"/>
  <c r="AL135" i="6"/>
  <c r="AM135" i="6"/>
  <c r="AL136" i="6"/>
  <c r="AM136" i="6"/>
  <c r="AL137" i="6"/>
  <c r="AM137" i="6"/>
  <c r="AL138" i="6"/>
  <c r="AM138" i="6"/>
  <c r="AL139" i="6"/>
  <c r="AM139" i="6"/>
  <c r="AL140" i="6"/>
  <c r="AM140" i="6"/>
  <c r="AL141" i="6"/>
  <c r="AM141" i="6"/>
  <c r="AL142" i="6"/>
  <c r="AM142" i="6"/>
  <c r="AL143" i="6"/>
  <c r="AM143" i="6"/>
  <c r="AL144" i="6"/>
  <c r="AM144" i="6"/>
  <c r="AL145" i="6"/>
  <c r="AM145" i="6"/>
  <c r="AL146" i="6"/>
  <c r="AM146" i="6"/>
  <c r="AL147" i="6"/>
  <c r="AM147" i="6"/>
  <c r="AL148" i="6"/>
  <c r="AM148" i="6"/>
  <c r="AL149" i="6"/>
  <c r="AM149" i="6"/>
  <c r="AL150" i="6"/>
  <c r="AM150" i="6"/>
  <c r="AL151" i="6"/>
  <c r="AM151" i="6"/>
  <c r="AL152" i="6"/>
  <c r="AM152" i="6"/>
  <c r="AL153" i="6"/>
  <c r="AM153" i="6"/>
  <c r="AL154" i="6"/>
  <c r="AM154" i="6"/>
  <c r="AL155" i="6"/>
  <c r="AM155" i="6"/>
  <c r="AL156" i="6"/>
  <c r="AM156" i="6"/>
  <c r="AL157" i="6"/>
  <c r="AM157" i="6"/>
  <c r="AL158" i="6"/>
  <c r="AM158" i="6"/>
  <c r="AL159" i="6"/>
  <c r="AM159" i="6"/>
  <c r="AL160" i="6"/>
  <c r="AM160" i="6"/>
  <c r="AL161" i="6"/>
  <c r="AM161" i="6"/>
  <c r="AL162" i="6"/>
  <c r="AM162" i="6"/>
  <c r="AL163" i="6"/>
  <c r="AM163" i="6"/>
  <c r="AL164" i="6"/>
  <c r="AM164" i="6"/>
  <c r="AL165" i="6"/>
  <c r="AM165" i="6"/>
  <c r="AL166" i="6"/>
  <c r="AM166" i="6"/>
  <c r="AL167" i="6"/>
  <c r="AM167" i="6"/>
  <c r="AL168" i="6"/>
  <c r="AM168" i="6"/>
  <c r="AL169" i="6"/>
  <c r="AM169" i="6"/>
  <c r="AL170" i="6"/>
  <c r="AM170" i="6"/>
  <c r="AL171" i="6"/>
  <c r="AM171" i="6"/>
  <c r="AL172" i="6"/>
  <c r="AM172" i="6"/>
  <c r="AL173" i="6"/>
  <c r="AM173" i="6"/>
  <c r="AL174" i="6"/>
  <c r="AM174" i="6"/>
  <c r="AL175" i="6"/>
  <c r="AM175" i="6"/>
  <c r="AL176" i="6"/>
  <c r="AM176" i="6"/>
  <c r="AL177" i="6"/>
  <c r="AM177" i="6"/>
  <c r="AL178" i="6"/>
  <c r="AM178" i="6"/>
  <c r="AL179" i="6"/>
  <c r="AM179" i="6"/>
  <c r="AL180" i="6"/>
  <c r="AM180" i="6"/>
  <c r="AL181" i="6"/>
  <c r="AM181" i="6"/>
  <c r="AL182" i="6"/>
  <c r="AM182" i="6"/>
  <c r="AL183" i="6"/>
  <c r="AM183" i="6"/>
  <c r="AL184" i="6"/>
  <c r="AM184" i="6"/>
  <c r="AL185" i="6"/>
  <c r="AM185" i="6"/>
  <c r="AL186" i="6"/>
  <c r="AM186" i="6"/>
  <c r="AL187" i="6"/>
  <c r="AM187" i="6"/>
  <c r="AL188" i="6"/>
  <c r="AM188" i="6"/>
  <c r="AL189" i="6"/>
  <c r="AM189" i="6"/>
  <c r="AL190" i="6"/>
  <c r="AM190" i="6"/>
  <c r="AL191" i="6"/>
  <c r="AM191" i="6"/>
  <c r="AL192" i="6"/>
  <c r="AM192" i="6"/>
  <c r="AL193" i="6"/>
  <c r="AM193" i="6"/>
  <c r="AL194" i="6"/>
  <c r="AM194" i="6"/>
  <c r="AL195" i="6"/>
  <c r="AM195" i="6"/>
  <c r="AL196" i="6"/>
  <c r="AM196" i="6"/>
  <c r="AL197" i="6"/>
  <c r="AM197" i="6"/>
  <c r="AL198" i="6"/>
  <c r="AM198" i="6"/>
  <c r="AL199" i="6"/>
  <c r="AM199" i="6"/>
  <c r="AL200" i="6"/>
  <c r="AM200" i="6"/>
  <c r="AL201" i="6"/>
  <c r="AM201" i="6"/>
  <c r="AL202" i="6"/>
  <c r="AM202" i="6"/>
  <c r="AL203" i="6"/>
  <c r="AM203" i="6"/>
  <c r="AL204" i="6"/>
  <c r="AM204" i="6"/>
  <c r="AL205" i="6"/>
  <c r="AM205" i="6"/>
  <c r="AL206" i="6"/>
  <c r="AM206" i="6"/>
  <c r="AL207" i="6"/>
  <c r="AM207" i="6"/>
  <c r="AL208" i="6"/>
  <c r="AM208" i="6"/>
  <c r="AL209" i="6"/>
  <c r="AM209" i="6"/>
  <c r="AL210" i="6"/>
  <c r="AM210" i="6"/>
  <c r="AL211" i="6"/>
  <c r="AM211" i="6"/>
  <c r="AL212" i="6"/>
  <c r="AM212" i="6"/>
  <c r="AL213" i="6"/>
  <c r="AM213" i="6"/>
  <c r="AL214" i="6"/>
  <c r="AM214" i="6"/>
  <c r="AL215" i="6"/>
  <c r="AM215" i="6"/>
  <c r="AL216" i="6"/>
  <c r="AM216" i="6"/>
  <c r="AL217" i="6"/>
  <c r="AM217" i="6"/>
  <c r="AL218" i="6"/>
  <c r="AM218" i="6"/>
  <c r="AL219" i="6"/>
  <c r="AM219" i="6"/>
  <c r="AL220" i="6"/>
  <c r="AM220" i="6"/>
  <c r="AL221" i="6"/>
  <c r="AM221" i="6"/>
  <c r="AL222" i="6"/>
  <c r="AM222" i="6"/>
  <c r="AL223" i="6"/>
  <c r="AM223" i="6"/>
  <c r="AL224" i="6"/>
  <c r="AM224" i="6"/>
  <c r="AL225" i="6"/>
  <c r="AM225" i="6"/>
  <c r="AL226" i="6"/>
  <c r="AM226" i="6"/>
  <c r="AL227" i="6"/>
  <c r="AM227" i="6"/>
  <c r="AL228" i="6"/>
  <c r="AM228" i="6"/>
  <c r="AL229" i="6"/>
  <c r="AM229" i="6"/>
  <c r="AL230" i="6"/>
  <c r="AM230" i="6"/>
  <c r="AL231" i="6"/>
  <c r="AM231" i="6"/>
  <c r="AL232" i="6"/>
  <c r="AM232" i="6"/>
  <c r="AL233" i="6"/>
  <c r="AM233" i="6"/>
  <c r="AL234" i="6"/>
  <c r="AM234" i="6"/>
  <c r="AL235" i="6"/>
  <c r="AM235" i="6"/>
  <c r="AL236" i="6"/>
  <c r="AM236" i="6"/>
  <c r="AL237" i="6"/>
  <c r="AM237" i="6"/>
  <c r="AL238" i="6"/>
  <c r="AM238" i="6"/>
  <c r="AL239" i="6"/>
  <c r="AM239" i="6"/>
  <c r="AL240" i="6"/>
  <c r="AM240" i="6"/>
  <c r="AL241" i="6"/>
  <c r="AM241" i="6"/>
  <c r="AL242" i="6"/>
  <c r="AM242" i="6"/>
  <c r="AL243" i="6"/>
  <c r="AM243" i="6"/>
  <c r="AL244" i="6"/>
  <c r="AM244" i="6"/>
  <c r="AL245" i="6"/>
  <c r="AM245" i="6"/>
  <c r="AL246" i="6"/>
  <c r="AM246" i="6"/>
  <c r="AL247" i="6"/>
  <c r="AM247" i="6"/>
  <c r="AL248" i="6"/>
  <c r="AM248" i="6"/>
  <c r="AL249" i="6"/>
  <c r="AM249" i="6"/>
  <c r="AL250" i="6"/>
  <c r="AM250" i="6"/>
  <c r="AL251" i="6"/>
  <c r="AM251" i="6"/>
  <c r="AL252" i="6"/>
  <c r="AM252" i="6"/>
  <c r="AL253" i="6"/>
  <c r="AM253" i="6"/>
  <c r="AL254" i="6"/>
  <c r="AM254" i="6"/>
  <c r="AL255" i="6"/>
  <c r="AM255" i="6"/>
  <c r="AL256" i="6"/>
  <c r="AM256" i="6"/>
  <c r="AL257" i="6"/>
  <c r="AM257" i="6"/>
  <c r="AL258" i="6"/>
  <c r="AM258" i="6"/>
  <c r="AL259" i="6"/>
  <c r="AM259" i="6"/>
  <c r="AL260" i="6"/>
  <c r="AM260" i="6"/>
  <c r="AL261" i="6"/>
  <c r="AM261" i="6"/>
  <c r="AL262" i="6"/>
  <c r="AM262" i="6"/>
  <c r="AL263" i="6"/>
  <c r="AM263" i="6"/>
  <c r="AL264" i="6"/>
  <c r="AM264" i="6"/>
  <c r="AL265" i="6"/>
  <c r="AM265" i="6"/>
  <c r="AL266" i="6"/>
  <c r="AM266" i="6"/>
  <c r="AL267" i="6"/>
  <c r="AM267" i="6"/>
  <c r="AL268" i="6"/>
  <c r="AM268" i="6"/>
  <c r="AL269" i="6"/>
  <c r="AM269" i="6"/>
  <c r="AL270" i="6"/>
  <c r="AM270" i="6"/>
  <c r="AL271" i="6"/>
  <c r="AM271" i="6"/>
  <c r="AL272" i="6"/>
  <c r="AM272" i="6"/>
  <c r="AL273" i="6"/>
  <c r="AM273" i="6"/>
  <c r="AL274" i="6"/>
  <c r="AM274" i="6"/>
  <c r="AL275" i="6"/>
  <c r="AM275" i="6"/>
  <c r="AL276" i="6"/>
  <c r="AM276" i="6"/>
  <c r="AL277" i="6"/>
  <c r="AM277" i="6"/>
  <c r="AL278" i="6"/>
  <c r="AM278" i="6"/>
  <c r="AL279" i="6"/>
  <c r="AM279" i="6"/>
  <c r="AL280" i="6"/>
  <c r="AM280" i="6"/>
  <c r="AL281" i="6"/>
  <c r="AM281" i="6"/>
  <c r="AL282" i="6"/>
  <c r="AM282" i="6"/>
  <c r="AL283" i="6"/>
  <c r="AM283" i="6"/>
  <c r="AL284" i="6"/>
  <c r="AM284" i="6"/>
  <c r="AL285" i="6"/>
  <c r="AM285" i="6"/>
  <c r="AL286" i="6"/>
  <c r="AM286" i="6"/>
  <c r="AL287" i="6"/>
  <c r="AM287" i="6"/>
  <c r="AL288" i="6"/>
  <c r="AM288" i="6"/>
  <c r="AL289" i="6"/>
  <c r="AM289" i="6"/>
  <c r="AL290" i="6"/>
  <c r="AM290" i="6"/>
  <c r="AL291" i="6"/>
  <c r="AM291" i="6"/>
  <c r="AL292" i="6"/>
  <c r="AM292" i="6"/>
  <c r="AL293" i="6"/>
  <c r="AM293" i="6"/>
  <c r="AL294" i="6"/>
  <c r="AM294" i="6"/>
  <c r="AL295" i="6"/>
  <c r="AM295" i="6"/>
  <c r="AL296" i="6"/>
  <c r="AM296" i="6"/>
  <c r="AL297" i="6"/>
  <c r="AM297" i="6"/>
  <c r="AL298" i="6"/>
  <c r="AM298" i="6"/>
  <c r="AL299" i="6"/>
  <c r="AM299" i="6"/>
  <c r="AL300" i="6"/>
  <c r="AM300" i="6"/>
  <c r="AL301" i="6"/>
  <c r="AM301" i="6"/>
  <c r="AL302" i="6"/>
  <c r="AM302" i="6"/>
  <c r="AL303" i="6"/>
  <c r="AM303" i="6"/>
  <c r="AL304" i="6"/>
  <c r="AM304" i="6"/>
  <c r="AL305" i="6"/>
  <c r="AM305" i="6"/>
  <c r="AL306" i="6"/>
  <c r="AM306" i="6"/>
  <c r="AL307" i="6"/>
  <c r="AM307" i="6"/>
  <c r="AL308" i="6"/>
  <c r="AM308" i="6"/>
  <c r="AL309" i="6"/>
  <c r="AM309" i="6"/>
  <c r="AL310" i="6"/>
  <c r="AM310" i="6"/>
  <c r="AL311" i="6"/>
  <c r="AM311" i="6"/>
  <c r="AL312" i="6"/>
  <c r="AM312" i="6"/>
  <c r="AL313" i="6"/>
  <c r="AM313" i="6"/>
  <c r="AL314" i="6"/>
  <c r="AM314" i="6"/>
  <c r="AL315" i="6"/>
  <c r="AM315" i="6"/>
  <c r="AL316" i="6"/>
  <c r="AM316" i="6"/>
  <c r="AL317" i="6"/>
  <c r="AM317" i="6"/>
  <c r="AL318" i="6"/>
  <c r="AM318" i="6"/>
  <c r="AL319" i="6"/>
  <c r="AM319" i="6"/>
  <c r="AL320" i="6"/>
  <c r="AM320" i="6"/>
  <c r="AL321" i="6"/>
  <c r="AM321" i="6"/>
  <c r="AL322" i="6"/>
  <c r="AM322" i="6"/>
  <c r="AL323" i="6"/>
  <c r="AM323" i="6"/>
  <c r="AL324" i="6"/>
  <c r="AM324" i="6"/>
  <c r="AL325" i="6"/>
  <c r="AM325" i="6"/>
  <c r="AL326" i="6"/>
  <c r="AM326" i="6"/>
  <c r="AL327" i="6"/>
  <c r="AM327" i="6"/>
  <c r="AL328" i="6"/>
  <c r="AM328" i="6"/>
  <c r="AL329" i="6"/>
  <c r="AM329" i="6"/>
  <c r="AL330" i="6"/>
  <c r="AM330" i="6"/>
  <c r="AL331" i="6"/>
  <c r="AM331" i="6"/>
  <c r="AL332" i="6"/>
  <c r="AM332" i="6"/>
  <c r="AL333" i="6"/>
  <c r="AM333" i="6"/>
  <c r="AL334" i="6"/>
  <c r="AM334" i="6"/>
  <c r="AL335" i="6"/>
  <c r="AM335" i="6"/>
  <c r="AL336" i="6"/>
  <c r="AM336" i="6"/>
  <c r="AL337" i="6"/>
  <c r="AM337" i="6"/>
  <c r="AL338" i="6"/>
  <c r="AM338" i="6"/>
  <c r="AL339" i="6"/>
  <c r="AM339" i="6"/>
  <c r="AL340" i="6"/>
  <c r="AM340" i="6"/>
  <c r="AL341" i="6"/>
  <c r="AM341" i="6"/>
  <c r="AL342" i="6"/>
  <c r="AM342" i="6"/>
  <c r="AL343" i="6"/>
  <c r="AM343" i="6"/>
  <c r="AL344" i="6"/>
  <c r="AM344" i="6"/>
  <c r="AL345" i="6"/>
  <c r="AM345" i="6"/>
  <c r="AL346" i="6"/>
  <c r="AM346" i="6"/>
  <c r="AL347" i="6"/>
  <c r="AM347" i="6"/>
  <c r="AL348" i="6"/>
  <c r="AM348" i="6"/>
  <c r="AL349" i="6"/>
  <c r="AM349" i="6"/>
  <c r="AL350" i="6"/>
  <c r="AM350" i="6"/>
  <c r="AL351" i="6"/>
  <c r="AM351" i="6"/>
  <c r="AL352" i="6"/>
  <c r="AM352" i="6"/>
  <c r="AL353" i="6"/>
  <c r="AM353" i="6"/>
  <c r="AL354" i="6"/>
  <c r="AM354" i="6"/>
  <c r="AL355" i="6"/>
  <c r="AM355" i="6"/>
  <c r="AL356" i="6"/>
  <c r="AM356" i="6"/>
  <c r="AL357" i="6"/>
  <c r="AM357" i="6"/>
  <c r="AL358" i="6"/>
  <c r="AM358" i="6"/>
  <c r="AL359" i="6"/>
  <c r="AM359" i="6"/>
  <c r="AL360" i="6"/>
  <c r="AM360" i="6"/>
  <c r="AL361" i="6"/>
  <c r="AM361" i="6"/>
  <c r="AL362" i="6"/>
  <c r="AM362" i="6"/>
  <c r="AL363" i="6"/>
  <c r="AM363" i="6"/>
  <c r="AL364" i="6"/>
  <c r="AM364" i="6"/>
  <c r="AL365" i="6"/>
  <c r="AM365" i="6"/>
  <c r="AL366" i="6"/>
  <c r="AM366" i="6"/>
  <c r="AL367" i="6"/>
  <c r="AM367" i="6"/>
  <c r="AL368" i="6"/>
  <c r="AM368" i="6"/>
  <c r="AL369" i="6"/>
  <c r="AM369" i="6"/>
  <c r="AL370" i="6"/>
  <c r="AM370" i="6"/>
  <c r="AL371" i="6"/>
  <c r="AM371" i="6"/>
  <c r="AL372" i="6"/>
  <c r="AM372" i="6"/>
  <c r="AL373" i="6"/>
  <c r="AM373" i="6"/>
  <c r="AL374" i="6"/>
  <c r="AM374" i="6"/>
  <c r="AL375" i="6"/>
  <c r="AM375" i="6"/>
  <c r="AL376" i="6"/>
  <c r="AM376" i="6"/>
  <c r="AL377" i="6"/>
  <c r="AM377" i="6"/>
  <c r="AL378" i="6"/>
  <c r="AM378" i="6"/>
  <c r="AL379" i="6"/>
  <c r="AM379" i="6"/>
  <c r="AL380" i="6"/>
  <c r="AM380" i="6"/>
  <c r="AL381" i="6"/>
  <c r="AM381" i="6"/>
  <c r="AL382" i="6"/>
  <c r="AM382" i="6"/>
  <c r="AL383" i="6"/>
  <c r="AM383" i="6"/>
  <c r="AL384" i="6"/>
  <c r="AM384" i="6"/>
  <c r="AL385" i="6"/>
  <c r="AM385" i="6"/>
  <c r="AL386" i="6"/>
  <c r="AM386" i="6"/>
  <c r="AL387" i="6"/>
  <c r="AM387" i="6"/>
  <c r="AL388" i="6"/>
  <c r="AM388" i="6"/>
  <c r="AL389" i="6"/>
  <c r="AM389" i="6"/>
  <c r="AL390" i="6"/>
  <c r="AM390" i="6"/>
  <c r="AL391" i="6"/>
  <c r="AM391" i="6"/>
  <c r="AL392" i="6"/>
  <c r="AM392" i="6"/>
  <c r="AL393" i="6"/>
  <c r="AM393" i="6"/>
  <c r="AL394" i="6"/>
  <c r="AM394" i="6"/>
  <c r="AL395" i="6"/>
  <c r="AM395" i="6"/>
  <c r="AL396" i="6"/>
  <c r="AM396" i="6"/>
  <c r="AL397" i="6"/>
  <c r="AM397" i="6"/>
  <c r="AL398" i="6"/>
  <c r="AM398" i="6"/>
  <c r="AL399" i="6"/>
  <c r="AM399" i="6"/>
  <c r="AL400" i="6"/>
  <c r="AM400" i="6"/>
  <c r="AL401" i="6"/>
  <c r="AM401" i="6"/>
  <c r="AL402" i="6"/>
  <c r="AM402" i="6"/>
  <c r="AL403" i="6"/>
  <c r="AM403" i="6"/>
  <c r="AL404" i="6"/>
  <c r="AM404" i="6"/>
  <c r="AL405" i="6"/>
  <c r="AM405" i="6"/>
  <c r="AL406" i="6"/>
  <c r="AM406" i="6"/>
  <c r="AL407" i="6"/>
  <c r="AM407" i="6"/>
  <c r="AL408" i="6"/>
  <c r="AM408" i="6"/>
  <c r="AL409" i="6"/>
  <c r="AM409" i="6"/>
  <c r="AL410" i="6"/>
  <c r="AM410" i="6"/>
  <c r="AL411" i="6"/>
  <c r="AM411" i="6"/>
  <c r="AL412" i="6"/>
  <c r="AM412" i="6"/>
  <c r="AL413" i="6"/>
  <c r="AM413" i="6"/>
  <c r="AL414" i="6"/>
  <c r="AM414" i="6"/>
  <c r="AL415" i="6"/>
  <c r="AM415" i="6"/>
  <c r="AL416" i="6"/>
  <c r="AM416" i="6"/>
  <c r="AL417" i="6"/>
  <c r="AM417" i="6"/>
  <c r="AL418" i="6"/>
  <c r="AM418" i="6"/>
  <c r="AL419" i="6"/>
  <c r="AM419" i="6"/>
  <c r="AL420" i="6"/>
  <c r="AM420" i="6"/>
  <c r="AL421" i="6"/>
  <c r="AM421" i="6"/>
  <c r="AL422" i="6"/>
  <c r="AM422" i="6"/>
  <c r="AL423" i="6"/>
  <c r="AM423" i="6"/>
  <c r="AL424" i="6"/>
  <c r="AM424" i="6"/>
  <c r="AL425" i="6"/>
  <c r="AM425" i="6"/>
  <c r="AL426" i="6"/>
  <c r="AM426" i="6"/>
  <c r="AL427" i="6"/>
  <c r="AM427" i="6"/>
  <c r="AL428" i="6"/>
  <c r="AM428" i="6"/>
  <c r="AL429" i="6"/>
  <c r="AM429" i="6"/>
  <c r="AL430" i="6"/>
  <c r="AM430" i="6"/>
  <c r="AL431" i="6"/>
  <c r="AM431" i="6"/>
  <c r="AL432" i="6"/>
  <c r="AM432" i="6"/>
  <c r="AL433" i="6"/>
  <c r="AM433" i="6"/>
  <c r="AL434" i="6"/>
  <c r="AM434" i="6"/>
  <c r="AL435" i="6"/>
  <c r="AM435" i="6"/>
  <c r="AL436" i="6"/>
  <c r="AM436" i="6"/>
  <c r="AL437" i="6"/>
  <c r="AM437" i="6"/>
  <c r="AL438" i="6"/>
  <c r="AM438" i="6"/>
  <c r="AL439" i="6"/>
  <c r="AM439" i="6"/>
  <c r="AL440" i="6"/>
  <c r="AM440" i="6"/>
  <c r="AL441" i="6"/>
  <c r="AM441" i="6"/>
  <c r="AL442" i="6"/>
  <c r="AM442" i="6"/>
  <c r="AL443" i="6"/>
  <c r="AM443" i="6"/>
  <c r="AL444" i="6"/>
  <c r="AM444" i="6"/>
  <c r="AL445" i="6"/>
  <c r="AM445" i="6"/>
  <c r="AL446" i="6"/>
  <c r="AM446" i="6"/>
  <c r="AL447" i="6"/>
  <c r="AM447" i="6"/>
  <c r="AL448" i="6"/>
  <c r="AM448" i="6"/>
  <c r="AL449" i="6"/>
  <c r="AM449" i="6"/>
  <c r="AL450" i="6"/>
  <c r="AM450" i="6"/>
  <c r="AL451" i="6"/>
  <c r="AM451" i="6"/>
  <c r="AL452" i="6"/>
  <c r="AM452" i="6"/>
  <c r="AL453" i="6"/>
  <c r="AM453" i="6"/>
  <c r="AL454" i="6"/>
  <c r="AM454" i="6"/>
  <c r="AL455" i="6"/>
  <c r="AM455" i="6"/>
  <c r="AL456" i="6"/>
  <c r="AM456" i="6"/>
  <c r="AL457" i="6"/>
  <c r="AM457" i="6"/>
  <c r="AL458" i="6"/>
  <c r="AM458" i="6"/>
  <c r="AL459" i="6"/>
  <c r="AM459" i="6"/>
  <c r="AL460" i="6"/>
  <c r="AM460" i="6"/>
  <c r="AL461" i="6"/>
  <c r="AM461" i="6"/>
  <c r="AL462" i="6"/>
  <c r="AM462" i="6"/>
  <c r="AL463" i="6"/>
  <c r="AM463" i="6"/>
  <c r="AL464" i="6"/>
  <c r="AM464" i="6"/>
  <c r="AL465" i="6"/>
  <c r="AM465" i="6"/>
  <c r="AL466" i="6"/>
  <c r="AM466" i="6"/>
  <c r="AL467" i="6"/>
  <c r="AM467" i="6"/>
  <c r="AL468" i="6"/>
  <c r="AM468" i="6"/>
  <c r="AL469" i="6"/>
  <c r="AM469" i="6"/>
  <c r="AL470" i="6"/>
  <c r="AM470" i="6"/>
  <c r="AL471" i="6"/>
  <c r="AM471" i="6"/>
  <c r="AL472" i="6"/>
  <c r="AM472" i="6"/>
  <c r="AL473" i="6"/>
  <c r="AM473" i="6"/>
  <c r="AL474" i="6"/>
  <c r="AM474" i="6"/>
  <c r="AL475" i="6"/>
  <c r="AM475" i="6"/>
  <c r="AL476" i="6"/>
  <c r="AM476" i="6"/>
  <c r="AL477" i="6"/>
  <c r="AM477" i="6"/>
  <c r="AL478" i="6"/>
  <c r="AM478" i="6"/>
  <c r="AL479" i="6"/>
  <c r="AM479" i="6"/>
  <c r="AL480" i="6"/>
  <c r="AM480" i="6"/>
  <c r="AL481" i="6"/>
  <c r="AM481" i="6"/>
  <c r="AL482" i="6"/>
  <c r="AM482" i="6"/>
  <c r="AL483" i="6"/>
  <c r="AM483" i="6"/>
  <c r="AL484" i="6"/>
  <c r="AM484" i="6"/>
  <c r="AL485" i="6"/>
  <c r="AM485" i="6"/>
  <c r="AL486" i="6"/>
  <c r="AM486" i="6"/>
  <c r="AL487" i="6"/>
  <c r="AM487" i="6"/>
  <c r="AL488" i="6"/>
  <c r="AM488" i="6"/>
  <c r="AL489" i="6"/>
  <c r="AM489" i="6"/>
  <c r="AL490" i="6"/>
  <c r="AM490" i="6"/>
  <c r="AL491" i="6"/>
  <c r="AM491" i="6"/>
  <c r="AL492" i="6"/>
  <c r="AM492" i="6"/>
  <c r="AL493" i="6"/>
  <c r="AM493" i="6"/>
  <c r="AL494" i="6"/>
  <c r="AM494" i="6"/>
  <c r="AL495" i="6"/>
  <c r="AM495" i="6"/>
  <c r="AL496" i="6"/>
  <c r="AM496" i="6"/>
  <c r="AL497" i="6"/>
  <c r="AM497" i="6"/>
  <c r="AL498" i="6"/>
  <c r="AM498" i="6"/>
  <c r="AL499" i="6"/>
  <c r="AM499" i="6"/>
  <c r="AL500" i="6"/>
  <c r="AM500" i="6"/>
  <c r="AL501" i="6"/>
  <c r="AM501" i="6"/>
  <c r="AL502" i="6"/>
  <c r="AM502" i="6"/>
  <c r="AL503" i="6"/>
  <c r="AM503" i="6"/>
  <c r="AL504" i="6"/>
  <c r="AM504" i="6"/>
  <c r="AL505" i="6"/>
  <c r="AM505" i="6"/>
  <c r="AL506" i="6"/>
  <c r="AM506" i="6"/>
  <c r="AL507" i="6"/>
  <c r="AM507" i="6"/>
  <c r="AL508" i="6"/>
  <c r="AM508" i="6"/>
  <c r="AL509" i="6"/>
  <c r="AM509" i="6"/>
  <c r="AL510" i="6"/>
  <c r="AM510" i="6"/>
  <c r="AL511" i="6"/>
  <c r="AM511" i="6"/>
  <c r="AL512" i="6"/>
  <c r="AM512" i="6"/>
  <c r="AL513" i="6"/>
  <c r="AM513" i="6"/>
  <c r="AL514" i="6"/>
  <c r="AM514" i="6"/>
  <c r="AL515" i="6"/>
  <c r="AM515" i="6"/>
  <c r="AL516" i="6"/>
  <c r="AM516" i="6"/>
  <c r="AL517" i="6"/>
  <c r="AM517" i="6"/>
  <c r="AL518" i="6"/>
  <c r="AM518" i="6"/>
  <c r="AL519" i="6"/>
  <c r="AM519" i="6"/>
  <c r="AL520" i="6"/>
  <c r="AM520" i="6"/>
  <c r="AL521" i="6"/>
  <c r="AM521" i="6"/>
  <c r="AL522" i="6"/>
  <c r="AM522" i="6"/>
  <c r="AL523" i="6"/>
  <c r="AM523" i="6"/>
  <c r="AL524" i="6"/>
  <c r="AM524" i="6"/>
  <c r="AL525" i="6"/>
  <c r="AM525" i="6"/>
  <c r="AL526" i="6"/>
  <c r="AM526" i="6"/>
  <c r="AL527" i="6"/>
  <c r="AM527" i="6"/>
  <c r="AL528" i="6"/>
  <c r="AM528" i="6"/>
  <c r="AL529" i="6"/>
  <c r="AM529" i="6"/>
  <c r="AL530" i="6"/>
  <c r="AM530" i="6"/>
  <c r="AL531" i="6"/>
  <c r="AM531" i="6"/>
  <c r="AL532" i="6"/>
  <c r="AM532" i="6"/>
  <c r="AL533" i="6"/>
  <c r="AM533" i="6"/>
  <c r="AL534" i="6"/>
  <c r="AM534" i="6"/>
  <c r="AL535" i="6"/>
  <c r="AM535" i="6"/>
  <c r="AL536" i="6"/>
  <c r="AM536" i="6"/>
  <c r="AL537" i="6"/>
  <c r="AM537" i="6"/>
  <c r="AL538" i="6"/>
  <c r="AM538" i="6"/>
  <c r="AL539" i="6"/>
  <c r="AM539" i="6"/>
  <c r="AL540" i="6"/>
  <c r="AM540" i="6"/>
  <c r="AL541" i="6"/>
  <c r="AM541" i="6"/>
  <c r="AL542" i="6"/>
  <c r="AM542" i="6"/>
  <c r="AL543" i="6"/>
  <c r="AM543" i="6"/>
  <c r="AL544" i="6"/>
  <c r="AM544" i="6"/>
  <c r="AL545" i="6"/>
  <c r="AM545" i="6"/>
  <c r="AL546" i="6"/>
  <c r="AM546" i="6"/>
  <c r="AL547" i="6"/>
  <c r="AM547" i="6"/>
  <c r="AL548" i="6"/>
  <c r="AM548" i="6"/>
  <c r="AL549" i="6"/>
  <c r="AM549" i="6"/>
  <c r="AL550" i="6"/>
  <c r="AM550" i="6"/>
  <c r="AL551" i="6"/>
  <c r="AM551" i="6"/>
  <c r="AL552" i="6"/>
  <c r="AM552" i="6"/>
  <c r="AL553" i="6"/>
  <c r="AM553" i="6"/>
  <c r="AL554" i="6"/>
  <c r="AM554" i="6"/>
  <c r="AL555" i="6"/>
  <c r="AM555" i="6"/>
  <c r="AL556" i="6"/>
  <c r="AM556" i="6"/>
  <c r="AL557" i="6"/>
  <c r="AM557" i="6"/>
  <c r="AL558" i="6"/>
  <c r="AM558" i="6"/>
  <c r="AL559" i="6"/>
  <c r="AM559" i="6"/>
  <c r="AL560" i="6"/>
  <c r="AM560" i="6"/>
  <c r="AL561" i="6"/>
  <c r="AM561" i="6"/>
  <c r="AL562" i="6"/>
  <c r="AM562" i="6"/>
  <c r="AL563" i="6"/>
  <c r="AM563" i="6"/>
  <c r="AL564" i="6"/>
  <c r="AM564" i="6"/>
  <c r="AL565" i="6"/>
  <c r="AM565" i="6"/>
  <c r="AL566" i="6"/>
  <c r="AM566" i="6"/>
  <c r="AL567" i="6"/>
  <c r="AM567" i="6"/>
  <c r="AL568" i="6"/>
  <c r="AM568" i="6"/>
  <c r="AL569" i="6"/>
  <c r="AM569" i="6"/>
  <c r="AL570" i="6"/>
  <c r="AM570" i="6"/>
  <c r="AL571" i="6"/>
  <c r="AM571" i="6"/>
  <c r="AL572" i="6"/>
  <c r="AM572" i="6"/>
  <c r="AL573" i="6"/>
  <c r="AM573" i="6"/>
  <c r="AL574" i="6"/>
  <c r="AM574" i="6"/>
  <c r="AL575" i="6"/>
  <c r="AM575" i="6"/>
  <c r="AL576" i="6"/>
  <c r="AM576" i="6"/>
  <c r="AL577" i="6"/>
  <c r="AM577" i="6"/>
  <c r="AL578" i="6"/>
  <c r="AM578" i="6"/>
  <c r="AL579" i="6"/>
  <c r="AM579" i="6"/>
  <c r="AL580" i="6"/>
  <c r="AM580" i="6"/>
  <c r="AL581" i="6"/>
  <c r="AM581" i="6"/>
  <c r="AL582" i="6"/>
  <c r="AM582" i="6"/>
  <c r="AL583" i="6"/>
  <c r="AM583" i="6"/>
  <c r="AL584" i="6"/>
  <c r="AM584" i="6"/>
  <c r="AL585" i="6"/>
  <c r="AM585" i="6"/>
  <c r="AL586" i="6"/>
  <c r="AM586" i="6"/>
  <c r="AL587" i="6"/>
  <c r="AM587" i="6"/>
  <c r="AL588" i="6"/>
  <c r="AM588" i="6"/>
  <c r="AL589" i="6"/>
  <c r="AM589" i="6"/>
  <c r="AL590" i="6"/>
  <c r="AM590" i="6"/>
  <c r="AL591" i="6"/>
  <c r="AM591" i="6"/>
  <c r="AL592" i="6"/>
  <c r="AM592" i="6"/>
  <c r="AL593" i="6"/>
  <c r="AM593" i="6"/>
  <c r="AL594" i="6"/>
  <c r="AM594" i="6"/>
  <c r="AL595" i="6"/>
  <c r="AM595" i="6"/>
  <c r="AL596" i="6"/>
  <c r="AM596" i="6"/>
  <c r="AL597" i="6"/>
  <c r="AM597" i="6"/>
  <c r="AL598" i="6"/>
  <c r="AM598" i="6"/>
  <c r="AL599" i="6"/>
  <c r="AM599" i="6"/>
  <c r="AL600" i="6"/>
  <c r="AM600" i="6"/>
  <c r="AL601" i="6"/>
  <c r="AM601" i="6"/>
  <c r="AL602" i="6"/>
  <c r="AM602" i="6"/>
  <c r="AL603" i="6"/>
  <c r="AM603" i="6"/>
  <c r="AL604" i="6"/>
  <c r="AM604" i="6"/>
  <c r="AL605" i="6"/>
  <c r="AM605" i="6"/>
  <c r="AL606" i="6"/>
  <c r="AM606" i="6"/>
  <c r="AL607" i="6"/>
  <c r="AM607" i="6"/>
  <c r="AL608" i="6"/>
  <c r="AM608" i="6"/>
  <c r="AL609" i="6"/>
  <c r="AM609" i="6"/>
  <c r="AL610" i="6"/>
  <c r="AM610" i="6"/>
  <c r="AL611" i="6"/>
  <c r="AM611" i="6"/>
  <c r="AL612" i="6"/>
  <c r="AM612" i="6"/>
  <c r="AL613" i="6"/>
  <c r="AM613" i="6"/>
  <c r="AL614" i="6"/>
  <c r="AM614" i="6"/>
  <c r="AL615" i="6"/>
  <c r="AM615" i="6"/>
  <c r="AL616" i="6"/>
  <c r="AM616" i="6"/>
  <c r="AL617" i="6"/>
  <c r="AM617" i="6"/>
  <c r="AL618" i="6"/>
  <c r="AM618" i="6"/>
  <c r="AL619" i="6"/>
  <c r="AM619" i="6"/>
  <c r="AL620" i="6"/>
  <c r="AM620" i="6"/>
  <c r="AL621" i="6"/>
  <c r="AM621" i="6"/>
  <c r="AL622" i="6"/>
  <c r="AM622" i="6"/>
  <c r="AL623" i="6"/>
  <c r="AM623" i="6"/>
  <c r="AL624" i="6"/>
  <c r="AM624" i="6"/>
  <c r="AL625" i="6"/>
  <c r="AM625" i="6"/>
  <c r="AL626" i="6"/>
  <c r="AM626" i="6"/>
  <c r="AL627" i="6"/>
  <c r="AM627" i="6"/>
  <c r="AL628" i="6"/>
  <c r="AM628" i="6"/>
  <c r="AL629" i="6"/>
  <c r="AM629" i="6"/>
  <c r="AL630" i="6"/>
  <c r="AM630" i="6"/>
  <c r="AL631" i="6"/>
  <c r="AM631" i="6"/>
  <c r="AL632" i="6"/>
  <c r="AM632" i="6"/>
  <c r="AL633" i="6"/>
  <c r="AM633" i="6"/>
  <c r="AL634" i="6"/>
  <c r="AM634" i="6"/>
  <c r="AL635" i="6"/>
  <c r="AM635" i="6"/>
  <c r="AL636" i="6"/>
  <c r="AM636" i="6"/>
  <c r="AL637" i="6"/>
  <c r="AM637" i="6"/>
  <c r="AL638" i="6"/>
  <c r="AM638" i="6"/>
  <c r="AL639" i="6"/>
  <c r="AM639" i="6"/>
  <c r="AL640" i="6"/>
  <c r="AM640" i="6"/>
  <c r="AL641" i="6"/>
  <c r="AM641" i="6"/>
  <c r="AL642" i="6"/>
  <c r="AM642" i="6"/>
  <c r="AL643" i="6"/>
  <c r="AM643" i="6"/>
  <c r="AL644" i="6"/>
  <c r="AM644" i="6"/>
  <c r="AL645" i="6"/>
  <c r="AM645" i="6"/>
  <c r="AL646" i="6"/>
  <c r="AM646" i="6"/>
  <c r="AL647" i="6"/>
  <c r="AM647" i="6"/>
  <c r="AL648" i="6"/>
  <c r="AM648" i="6"/>
  <c r="AL649" i="6"/>
  <c r="AM649" i="6"/>
  <c r="AL650" i="6"/>
  <c r="AM650" i="6"/>
  <c r="AL651" i="6"/>
  <c r="AM651" i="6"/>
  <c r="AL652" i="6"/>
  <c r="AM652" i="6"/>
  <c r="AL653" i="6"/>
  <c r="AM653" i="6"/>
  <c r="AL654" i="6"/>
  <c r="AM654" i="6"/>
  <c r="AL655" i="6"/>
  <c r="AM655" i="6"/>
  <c r="AL656" i="6"/>
  <c r="AM656" i="6"/>
  <c r="AL657" i="6"/>
  <c r="AM657" i="6"/>
  <c r="AL658" i="6"/>
  <c r="AM658" i="6"/>
  <c r="AL659" i="6"/>
  <c r="AM659" i="6"/>
  <c r="AL660" i="6"/>
  <c r="AM660" i="6"/>
  <c r="AL661" i="6"/>
  <c r="AM661" i="6"/>
  <c r="AL662" i="6"/>
  <c r="AM662" i="6"/>
  <c r="AL663" i="6"/>
  <c r="AM663" i="6"/>
  <c r="AL664" i="6"/>
  <c r="AM664" i="6"/>
  <c r="AL665" i="6"/>
  <c r="AM665" i="6"/>
  <c r="AL666" i="6"/>
  <c r="AM666" i="6"/>
  <c r="AL667" i="6"/>
  <c r="AM667" i="6"/>
  <c r="AL668" i="6"/>
  <c r="AM668" i="6"/>
  <c r="AL669" i="6"/>
  <c r="AM669" i="6"/>
  <c r="AL670" i="6"/>
  <c r="AM670" i="6"/>
  <c r="AL671" i="6"/>
  <c r="AM671" i="6"/>
  <c r="AL672" i="6"/>
  <c r="AM672" i="6"/>
  <c r="AL673" i="6"/>
  <c r="AM673" i="6"/>
  <c r="AL674" i="6"/>
  <c r="AM674" i="6"/>
  <c r="AL675" i="6"/>
  <c r="AM675" i="6"/>
  <c r="AL676" i="6"/>
  <c r="AM676" i="6"/>
  <c r="AL677" i="6"/>
  <c r="AM677" i="6"/>
  <c r="AL678" i="6"/>
  <c r="AM678" i="6"/>
  <c r="AL679" i="6"/>
  <c r="AM679" i="6"/>
  <c r="AL680" i="6"/>
  <c r="AM680" i="6"/>
  <c r="AL681" i="6"/>
  <c r="AM681" i="6"/>
  <c r="AL682" i="6"/>
  <c r="AM682" i="6"/>
  <c r="AF8" i="6"/>
  <c r="AG8" i="6" s="1"/>
  <c r="AH8" i="6"/>
  <c r="AI8" i="6" s="1"/>
  <c r="AF9" i="6"/>
  <c r="AG9" i="6" s="1"/>
  <c r="AH9" i="6"/>
  <c r="AI9" i="6"/>
  <c r="AF10" i="6"/>
  <c r="AG10" i="6" s="1"/>
  <c r="AH10" i="6"/>
  <c r="AI10" i="6" s="1"/>
  <c r="AF11" i="6"/>
  <c r="AG11" i="6" s="1"/>
  <c r="AH11" i="6"/>
  <c r="AI11" i="6" s="1"/>
  <c r="AF12" i="6"/>
  <c r="AG12" i="6" s="1"/>
  <c r="AH12" i="6"/>
  <c r="AI12" i="6" s="1"/>
  <c r="AF13" i="6"/>
  <c r="AG13" i="6" s="1"/>
  <c r="AH13" i="6"/>
  <c r="AI13" i="6"/>
  <c r="AF14" i="6"/>
  <c r="AG14" i="6" s="1"/>
  <c r="AH14" i="6"/>
  <c r="AI14" i="6" s="1"/>
  <c r="AF15" i="6"/>
  <c r="AG15" i="6" s="1"/>
  <c r="AH15" i="6"/>
  <c r="AI15" i="6"/>
  <c r="AF16" i="6"/>
  <c r="AG16" i="6" s="1"/>
  <c r="AH16" i="6"/>
  <c r="AI16" i="6" s="1"/>
  <c r="AF17" i="6"/>
  <c r="AG17" i="6" s="1"/>
  <c r="AH17" i="6"/>
  <c r="AI17" i="6" s="1"/>
  <c r="AF18" i="6"/>
  <c r="AG18" i="6" s="1"/>
  <c r="AH18" i="6"/>
  <c r="AI18" i="6" s="1"/>
  <c r="AF19" i="6"/>
  <c r="AG19" i="6" s="1"/>
  <c r="AH19" i="6"/>
  <c r="AI19" i="6" s="1"/>
  <c r="AF20" i="6"/>
  <c r="AG20" i="6" s="1"/>
  <c r="AH20" i="6"/>
  <c r="AI20" i="6" s="1"/>
  <c r="AF21" i="6"/>
  <c r="AG21" i="6" s="1"/>
  <c r="AH21" i="6"/>
  <c r="AI21" i="6" s="1"/>
  <c r="AF22" i="6"/>
  <c r="AG22" i="6" s="1"/>
  <c r="AH22" i="6"/>
  <c r="AI22" i="6" s="1"/>
  <c r="AF23" i="6"/>
  <c r="AG23" i="6" s="1"/>
  <c r="AH23" i="6"/>
  <c r="AI23" i="6"/>
  <c r="AF24" i="6"/>
  <c r="AG24" i="6" s="1"/>
  <c r="AH24" i="6"/>
  <c r="AI24" i="6" s="1"/>
  <c r="AF25" i="6"/>
  <c r="AG25" i="6" s="1"/>
  <c r="AH25" i="6"/>
  <c r="AI25" i="6"/>
  <c r="AF26" i="6"/>
  <c r="AG26" i="6" s="1"/>
  <c r="AH26" i="6"/>
  <c r="AI26" i="6" s="1"/>
  <c r="AF27" i="6"/>
  <c r="AG27" i="6" s="1"/>
  <c r="AH27" i="6"/>
  <c r="AI27" i="6" s="1"/>
  <c r="AF28" i="6"/>
  <c r="AG28" i="6" s="1"/>
  <c r="AH28" i="6"/>
  <c r="AI28" i="6" s="1"/>
  <c r="AF29" i="6"/>
  <c r="AG29" i="6" s="1"/>
  <c r="AH29" i="6"/>
  <c r="AI29" i="6"/>
  <c r="AF30" i="6"/>
  <c r="AG30" i="6" s="1"/>
  <c r="AH30" i="6"/>
  <c r="AI30" i="6" s="1"/>
  <c r="AF31" i="6"/>
  <c r="AG31" i="6" s="1"/>
  <c r="AH31" i="6"/>
  <c r="AI31" i="6"/>
  <c r="AF32" i="6"/>
  <c r="AG32" i="6" s="1"/>
  <c r="AH32" i="6"/>
  <c r="AI32" i="6" s="1"/>
  <c r="AF33" i="6"/>
  <c r="AG33" i="6" s="1"/>
  <c r="AH33" i="6"/>
  <c r="AI33" i="6" s="1"/>
  <c r="AF34" i="6"/>
  <c r="AG34" i="6" s="1"/>
  <c r="AH34" i="6"/>
  <c r="AI34" i="6" s="1"/>
  <c r="AF35" i="6"/>
  <c r="AG35" i="6" s="1"/>
  <c r="AH35" i="6"/>
  <c r="AI35" i="6" s="1"/>
  <c r="AF36" i="6"/>
  <c r="AG36" i="6" s="1"/>
  <c r="AH36" i="6"/>
  <c r="AI36" i="6" s="1"/>
  <c r="AF37" i="6"/>
  <c r="AG37" i="6" s="1"/>
  <c r="AH37" i="6"/>
  <c r="AI37" i="6"/>
  <c r="AF38" i="6"/>
  <c r="AG38" i="6" s="1"/>
  <c r="AH38" i="6"/>
  <c r="AI38" i="6" s="1"/>
  <c r="AF39" i="6"/>
  <c r="AG39" i="6" s="1"/>
  <c r="AH39" i="6"/>
  <c r="AI39" i="6" s="1"/>
  <c r="AF40" i="6"/>
  <c r="AG40" i="6" s="1"/>
  <c r="AH40" i="6"/>
  <c r="AI40" i="6" s="1"/>
  <c r="AF41" i="6"/>
  <c r="AG41" i="6" s="1"/>
  <c r="AH41" i="6"/>
  <c r="AI41" i="6"/>
  <c r="AF42" i="6"/>
  <c r="AG42" i="6" s="1"/>
  <c r="AH42" i="6"/>
  <c r="AI42" i="6" s="1"/>
  <c r="AF43" i="6"/>
  <c r="AG43" i="6" s="1"/>
  <c r="AH43" i="6"/>
  <c r="AI43" i="6" s="1"/>
  <c r="AF44" i="6"/>
  <c r="AG44" i="6" s="1"/>
  <c r="AH44" i="6"/>
  <c r="AI44" i="6" s="1"/>
  <c r="AF45" i="6"/>
  <c r="AG45" i="6" s="1"/>
  <c r="AH45" i="6"/>
  <c r="AI45" i="6"/>
  <c r="AF46" i="6"/>
  <c r="AG46" i="6" s="1"/>
  <c r="AH46" i="6"/>
  <c r="AI46" i="6" s="1"/>
  <c r="AF47" i="6"/>
  <c r="AG47" i="6" s="1"/>
  <c r="AH47" i="6"/>
  <c r="AI47" i="6"/>
  <c r="AF48" i="6"/>
  <c r="AG48" i="6" s="1"/>
  <c r="AH48" i="6"/>
  <c r="AI48" i="6" s="1"/>
  <c r="AF49" i="6"/>
  <c r="AG49" i="6" s="1"/>
  <c r="AH49" i="6"/>
  <c r="AI49" i="6" s="1"/>
  <c r="AF50" i="6"/>
  <c r="AG50" i="6" s="1"/>
  <c r="AH50" i="6"/>
  <c r="AI50" i="6" s="1"/>
  <c r="AF51" i="6"/>
  <c r="AG51" i="6" s="1"/>
  <c r="AH51" i="6"/>
  <c r="AI51" i="6" s="1"/>
  <c r="AF52" i="6"/>
  <c r="AG52" i="6" s="1"/>
  <c r="AH52" i="6"/>
  <c r="AI52" i="6" s="1"/>
  <c r="AF53" i="6"/>
  <c r="AG53" i="6" s="1"/>
  <c r="AH53" i="6"/>
  <c r="AI53" i="6"/>
  <c r="AF54" i="6"/>
  <c r="AG54" i="6" s="1"/>
  <c r="AH54" i="6"/>
  <c r="AI54" i="6" s="1"/>
  <c r="AF55" i="6"/>
  <c r="AG55" i="6" s="1"/>
  <c r="AH55" i="6"/>
  <c r="AI55" i="6" s="1"/>
  <c r="AF56" i="6"/>
  <c r="AG56" i="6" s="1"/>
  <c r="AH56" i="6"/>
  <c r="AI56" i="6" s="1"/>
  <c r="AF57" i="6"/>
  <c r="AG57" i="6" s="1"/>
  <c r="AH57" i="6"/>
  <c r="AI57" i="6"/>
  <c r="AF58" i="6"/>
  <c r="AG58" i="6" s="1"/>
  <c r="AH58" i="6"/>
  <c r="AI58" i="6" s="1"/>
  <c r="AF59" i="6"/>
  <c r="AG59" i="6" s="1"/>
  <c r="AH59" i="6"/>
  <c r="AI59" i="6" s="1"/>
  <c r="AF60" i="6"/>
  <c r="AG60" i="6" s="1"/>
  <c r="AH60" i="6"/>
  <c r="AI60" i="6" s="1"/>
  <c r="AF61" i="6"/>
  <c r="AG61" i="6" s="1"/>
  <c r="AH61" i="6"/>
  <c r="AI61" i="6"/>
  <c r="AF62" i="6"/>
  <c r="AG62" i="6" s="1"/>
  <c r="AH62" i="6"/>
  <c r="AI62" i="6" s="1"/>
  <c r="AF63" i="6"/>
  <c r="AG63" i="6" s="1"/>
  <c r="AH63" i="6"/>
  <c r="AI63" i="6" s="1"/>
  <c r="AF64" i="6"/>
  <c r="AG64" i="6" s="1"/>
  <c r="AH64" i="6"/>
  <c r="AI64" i="6" s="1"/>
  <c r="AF65" i="6"/>
  <c r="AG65" i="6" s="1"/>
  <c r="AH65" i="6"/>
  <c r="AI65" i="6" s="1"/>
  <c r="AF66" i="6"/>
  <c r="AG66" i="6" s="1"/>
  <c r="AH66" i="6"/>
  <c r="AI66" i="6" s="1"/>
  <c r="AF67" i="6"/>
  <c r="AG67" i="6" s="1"/>
  <c r="AH67" i="6"/>
  <c r="AI67" i="6" s="1"/>
  <c r="AF68" i="6"/>
  <c r="AG68" i="6" s="1"/>
  <c r="AH68" i="6"/>
  <c r="AI68" i="6" s="1"/>
  <c r="AF69" i="6"/>
  <c r="AG69" i="6" s="1"/>
  <c r="AH69" i="6"/>
  <c r="AI69" i="6" s="1"/>
  <c r="AF70" i="6"/>
  <c r="AG70" i="6" s="1"/>
  <c r="AH70" i="6"/>
  <c r="AI70" i="6" s="1"/>
  <c r="AF71" i="6"/>
  <c r="AG71" i="6" s="1"/>
  <c r="AH71" i="6"/>
  <c r="AI71" i="6" s="1"/>
  <c r="AF72" i="6"/>
  <c r="AG72" i="6" s="1"/>
  <c r="AH72" i="6"/>
  <c r="AI72" i="6" s="1"/>
  <c r="AF73" i="6"/>
  <c r="AG73" i="6" s="1"/>
  <c r="AH73" i="6"/>
  <c r="AI73" i="6"/>
  <c r="AF74" i="6"/>
  <c r="AG74" i="6" s="1"/>
  <c r="AH74" i="6"/>
  <c r="AI74" i="6" s="1"/>
  <c r="AF75" i="6"/>
  <c r="AG75" i="6" s="1"/>
  <c r="AH75" i="6"/>
  <c r="AI75" i="6" s="1"/>
  <c r="AF76" i="6"/>
  <c r="AG76" i="6" s="1"/>
  <c r="AH76" i="6"/>
  <c r="AI76" i="6" s="1"/>
  <c r="AF77" i="6"/>
  <c r="AG77" i="6" s="1"/>
  <c r="AH77" i="6"/>
  <c r="AI77" i="6"/>
  <c r="AF78" i="6"/>
  <c r="AG78" i="6" s="1"/>
  <c r="AH78" i="6"/>
  <c r="AI78" i="6" s="1"/>
  <c r="AF79" i="6"/>
  <c r="AG79" i="6" s="1"/>
  <c r="AH79" i="6"/>
  <c r="AI79" i="6" s="1"/>
  <c r="AF80" i="6"/>
  <c r="AG80" i="6" s="1"/>
  <c r="AH80" i="6"/>
  <c r="AI80" i="6" s="1"/>
  <c r="AF81" i="6"/>
  <c r="AG81" i="6" s="1"/>
  <c r="AH81" i="6"/>
  <c r="AI81" i="6" s="1"/>
  <c r="AF82" i="6"/>
  <c r="AG82" i="6" s="1"/>
  <c r="AH82" i="6"/>
  <c r="AI82" i="6" s="1"/>
  <c r="AF83" i="6"/>
  <c r="AG83" i="6" s="1"/>
  <c r="AH83" i="6"/>
  <c r="AI83" i="6" s="1"/>
  <c r="AF84" i="6"/>
  <c r="AG84" i="6" s="1"/>
  <c r="AH84" i="6"/>
  <c r="AI84" i="6" s="1"/>
  <c r="AF85" i="6"/>
  <c r="AG85" i="6" s="1"/>
  <c r="AH85" i="6"/>
  <c r="AI85" i="6" s="1"/>
  <c r="AF86" i="6"/>
  <c r="AG86" i="6" s="1"/>
  <c r="AH86" i="6"/>
  <c r="AI86" i="6" s="1"/>
  <c r="AF87" i="6"/>
  <c r="AG87" i="6" s="1"/>
  <c r="AH87" i="6"/>
  <c r="AI87" i="6"/>
  <c r="AF88" i="6"/>
  <c r="AG88" i="6" s="1"/>
  <c r="AH88" i="6"/>
  <c r="AI88" i="6" s="1"/>
  <c r="AF89" i="6"/>
  <c r="AG89" i="6" s="1"/>
  <c r="AH89" i="6"/>
  <c r="AI89" i="6"/>
  <c r="AF90" i="6"/>
  <c r="AG90" i="6" s="1"/>
  <c r="AH90" i="6"/>
  <c r="AI90" i="6" s="1"/>
  <c r="AF91" i="6"/>
  <c r="AG91" i="6" s="1"/>
  <c r="AH91" i="6"/>
  <c r="AI91" i="6" s="1"/>
  <c r="AF92" i="6"/>
  <c r="AG92" i="6" s="1"/>
  <c r="AH92" i="6"/>
  <c r="AI92" i="6" s="1"/>
  <c r="AF93" i="6"/>
  <c r="AG93" i="6" s="1"/>
  <c r="AH93" i="6"/>
  <c r="AI93" i="6"/>
  <c r="AF94" i="6"/>
  <c r="AG94" i="6" s="1"/>
  <c r="AH94" i="6"/>
  <c r="AI94" i="6" s="1"/>
  <c r="AF95" i="6"/>
  <c r="AG95" i="6" s="1"/>
  <c r="AH95" i="6"/>
  <c r="AI95" i="6" s="1"/>
  <c r="AF96" i="6"/>
  <c r="AG96" i="6" s="1"/>
  <c r="AH96" i="6"/>
  <c r="AI96" i="6" s="1"/>
  <c r="AF97" i="6"/>
  <c r="AG97" i="6" s="1"/>
  <c r="AH97" i="6"/>
  <c r="AI97" i="6" s="1"/>
  <c r="AF98" i="6"/>
  <c r="AG98" i="6" s="1"/>
  <c r="AH98" i="6"/>
  <c r="AI98" i="6" s="1"/>
  <c r="AF99" i="6"/>
  <c r="AG99" i="6" s="1"/>
  <c r="AH99" i="6"/>
  <c r="AI99" i="6" s="1"/>
  <c r="AF100" i="6"/>
  <c r="AG100" i="6" s="1"/>
  <c r="AH100" i="6"/>
  <c r="AI100" i="6" s="1"/>
  <c r="AF101" i="6"/>
  <c r="AG101" i="6" s="1"/>
  <c r="AH101" i="6"/>
  <c r="AI101" i="6" s="1"/>
  <c r="AF102" i="6"/>
  <c r="AG102" i="6" s="1"/>
  <c r="AH102" i="6"/>
  <c r="AI102" i="6" s="1"/>
  <c r="AF103" i="6"/>
  <c r="AG103" i="6" s="1"/>
  <c r="AH103" i="6"/>
  <c r="AI103" i="6" s="1"/>
  <c r="AF104" i="6"/>
  <c r="AG104" i="6" s="1"/>
  <c r="AH104" i="6"/>
  <c r="AI104" i="6" s="1"/>
  <c r="AF105" i="6"/>
  <c r="AG105" i="6" s="1"/>
  <c r="AH105" i="6"/>
  <c r="AI105" i="6"/>
  <c r="AF106" i="6"/>
  <c r="AG106" i="6" s="1"/>
  <c r="AH106" i="6"/>
  <c r="AI106" i="6" s="1"/>
  <c r="AF107" i="6"/>
  <c r="AG107" i="6" s="1"/>
  <c r="AH107" i="6"/>
  <c r="AI107" i="6" s="1"/>
  <c r="AF108" i="6"/>
  <c r="AG108" i="6" s="1"/>
  <c r="AH108" i="6"/>
  <c r="AI108" i="6" s="1"/>
  <c r="AF109" i="6"/>
  <c r="AG109" i="6" s="1"/>
  <c r="AH109" i="6"/>
  <c r="AI109" i="6"/>
  <c r="AF110" i="6"/>
  <c r="AG110" i="6" s="1"/>
  <c r="AH110" i="6"/>
  <c r="AI110" i="6" s="1"/>
  <c r="AF111" i="6"/>
  <c r="AG111" i="6" s="1"/>
  <c r="AH111" i="6"/>
  <c r="AI111" i="6" s="1"/>
  <c r="AF112" i="6"/>
  <c r="AG112" i="6" s="1"/>
  <c r="AH112" i="6"/>
  <c r="AI112" i="6" s="1"/>
  <c r="AF113" i="6"/>
  <c r="AG113" i="6" s="1"/>
  <c r="AH113" i="6"/>
  <c r="AI113" i="6" s="1"/>
  <c r="AF114" i="6"/>
  <c r="AG114" i="6" s="1"/>
  <c r="AH114" i="6"/>
  <c r="AI114" i="6" s="1"/>
  <c r="AF115" i="6"/>
  <c r="AG115" i="6" s="1"/>
  <c r="AH115" i="6"/>
  <c r="AI115" i="6" s="1"/>
  <c r="AF116" i="6"/>
  <c r="AG116" i="6" s="1"/>
  <c r="AH116" i="6"/>
  <c r="AI116" i="6" s="1"/>
  <c r="AF117" i="6"/>
  <c r="AG117" i="6" s="1"/>
  <c r="AH117" i="6"/>
  <c r="AI117" i="6" s="1"/>
  <c r="AF118" i="6"/>
  <c r="AG118" i="6" s="1"/>
  <c r="AH118" i="6"/>
  <c r="AI118" i="6" s="1"/>
  <c r="AF119" i="6"/>
  <c r="AG119" i="6" s="1"/>
  <c r="AH119" i="6"/>
  <c r="AI119" i="6" s="1"/>
  <c r="AF120" i="6"/>
  <c r="AG120" i="6" s="1"/>
  <c r="AH120" i="6"/>
  <c r="AI120" i="6" s="1"/>
  <c r="AF121" i="6"/>
  <c r="AG121" i="6" s="1"/>
  <c r="AH121" i="6"/>
  <c r="AI121" i="6"/>
  <c r="AF122" i="6"/>
  <c r="AG122" i="6" s="1"/>
  <c r="AH122" i="6"/>
  <c r="AI122" i="6" s="1"/>
  <c r="AF123" i="6"/>
  <c r="AG123" i="6" s="1"/>
  <c r="AH123" i="6"/>
  <c r="AI123" i="6"/>
  <c r="AF124" i="6"/>
  <c r="AG124" i="6" s="1"/>
  <c r="AH124" i="6"/>
  <c r="AI124" i="6" s="1"/>
  <c r="AF125" i="6"/>
  <c r="AG125" i="6" s="1"/>
  <c r="AH125" i="6"/>
  <c r="AI125" i="6"/>
  <c r="AF126" i="6"/>
  <c r="AG126" i="6" s="1"/>
  <c r="AH126" i="6"/>
  <c r="AI126" i="6" s="1"/>
  <c r="AF127" i="6"/>
  <c r="AG127" i="6" s="1"/>
  <c r="AH127" i="6"/>
  <c r="AI127" i="6" s="1"/>
  <c r="AF128" i="6"/>
  <c r="AG128" i="6" s="1"/>
  <c r="AH128" i="6"/>
  <c r="AI128" i="6" s="1"/>
  <c r="AF129" i="6"/>
  <c r="AG129" i="6" s="1"/>
  <c r="AH129" i="6"/>
  <c r="AI129" i="6" s="1"/>
  <c r="AF130" i="6"/>
  <c r="AG130" i="6" s="1"/>
  <c r="AH130" i="6"/>
  <c r="AI130" i="6" s="1"/>
  <c r="AF131" i="6"/>
  <c r="AG131" i="6" s="1"/>
  <c r="AH131" i="6"/>
  <c r="AI131" i="6" s="1"/>
  <c r="AF132" i="6"/>
  <c r="AG132" i="6" s="1"/>
  <c r="AH132" i="6"/>
  <c r="AI132" i="6" s="1"/>
  <c r="AF133" i="6"/>
  <c r="AG133" i="6" s="1"/>
  <c r="AH133" i="6"/>
  <c r="AI133" i="6" s="1"/>
  <c r="AF134" i="6"/>
  <c r="AG134" i="6" s="1"/>
  <c r="AH134" i="6"/>
  <c r="AI134" i="6" s="1"/>
  <c r="AF135" i="6"/>
  <c r="AG135" i="6" s="1"/>
  <c r="AH135" i="6"/>
  <c r="AI135" i="6"/>
  <c r="AF136" i="6"/>
  <c r="AG136" i="6" s="1"/>
  <c r="AH136" i="6"/>
  <c r="AI136" i="6" s="1"/>
  <c r="AF137" i="6"/>
  <c r="AG137" i="6" s="1"/>
  <c r="AH137" i="6"/>
  <c r="AI137" i="6"/>
  <c r="AF138" i="6"/>
  <c r="AG138" i="6" s="1"/>
  <c r="AH138" i="6"/>
  <c r="AI138" i="6" s="1"/>
  <c r="AF139" i="6"/>
  <c r="AG139" i="6" s="1"/>
  <c r="AH139" i="6"/>
  <c r="AI139" i="6"/>
  <c r="AF140" i="6"/>
  <c r="AG140" i="6" s="1"/>
  <c r="AH140" i="6"/>
  <c r="AI140" i="6" s="1"/>
  <c r="AF141" i="6"/>
  <c r="AG141" i="6" s="1"/>
  <c r="AH141" i="6"/>
  <c r="AI141" i="6"/>
  <c r="AF142" i="6"/>
  <c r="AG142" i="6" s="1"/>
  <c r="AH142" i="6"/>
  <c r="AI142" i="6" s="1"/>
  <c r="AF143" i="6"/>
  <c r="AG143" i="6" s="1"/>
  <c r="AH143" i="6"/>
  <c r="AI143" i="6" s="1"/>
  <c r="AF144" i="6"/>
  <c r="AG144" i="6" s="1"/>
  <c r="AH144" i="6"/>
  <c r="AI144" i="6" s="1"/>
  <c r="AF145" i="6"/>
  <c r="AG145" i="6" s="1"/>
  <c r="AH145" i="6"/>
  <c r="AI145" i="6" s="1"/>
  <c r="AF146" i="6"/>
  <c r="AG146" i="6" s="1"/>
  <c r="AH146" i="6"/>
  <c r="AI146" i="6" s="1"/>
  <c r="AF147" i="6"/>
  <c r="AG147" i="6" s="1"/>
  <c r="AH147" i="6"/>
  <c r="AI147" i="6" s="1"/>
  <c r="AF148" i="6"/>
  <c r="AG148" i="6" s="1"/>
  <c r="AH148" i="6"/>
  <c r="AI148" i="6" s="1"/>
  <c r="AF149" i="6"/>
  <c r="AG149" i="6" s="1"/>
  <c r="AH149" i="6"/>
  <c r="AI149" i="6"/>
  <c r="AF150" i="6"/>
  <c r="AG150" i="6" s="1"/>
  <c r="AH150" i="6"/>
  <c r="AI150" i="6" s="1"/>
  <c r="AF151" i="6"/>
  <c r="AG151" i="6" s="1"/>
  <c r="AH151" i="6"/>
  <c r="AI151" i="6"/>
  <c r="AF152" i="6"/>
  <c r="AG152" i="6" s="1"/>
  <c r="AH152" i="6"/>
  <c r="AI152" i="6" s="1"/>
  <c r="AF153" i="6"/>
  <c r="AG153" i="6" s="1"/>
  <c r="AH153" i="6"/>
  <c r="AI153" i="6"/>
  <c r="AF154" i="6"/>
  <c r="AG154" i="6" s="1"/>
  <c r="AH154" i="6"/>
  <c r="AI154" i="6" s="1"/>
  <c r="AF155" i="6"/>
  <c r="AG155" i="6" s="1"/>
  <c r="AH155" i="6"/>
  <c r="AI155" i="6"/>
  <c r="AF156" i="6"/>
  <c r="AG156" i="6" s="1"/>
  <c r="AH156" i="6"/>
  <c r="AI156" i="6" s="1"/>
  <c r="AF157" i="6"/>
  <c r="AG157" i="6" s="1"/>
  <c r="AH157" i="6"/>
  <c r="AI157" i="6"/>
  <c r="AF158" i="6"/>
  <c r="AG158" i="6" s="1"/>
  <c r="AH158" i="6"/>
  <c r="AI158" i="6" s="1"/>
  <c r="AF159" i="6"/>
  <c r="AG159" i="6" s="1"/>
  <c r="AH159" i="6"/>
  <c r="AI159" i="6" s="1"/>
  <c r="AF160" i="6"/>
  <c r="AG160" i="6" s="1"/>
  <c r="AH160" i="6"/>
  <c r="AI160" i="6" s="1"/>
  <c r="AF161" i="6"/>
  <c r="AG161" i="6" s="1"/>
  <c r="AH161" i="6"/>
  <c r="AI161" i="6" s="1"/>
  <c r="AF162" i="6"/>
  <c r="AG162" i="6" s="1"/>
  <c r="AH162" i="6"/>
  <c r="AI162" i="6" s="1"/>
  <c r="AF163" i="6"/>
  <c r="AG163" i="6" s="1"/>
  <c r="AH163" i="6"/>
  <c r="AI163" i="6" s="1"/>
  <c r="AF164" i="6"/>
  <c r="AG164" i="6" s="1"/>
  <c r="AH164" i="6"/>
  <c r="AI164" i="6" s="1"/>
  <c r="AF165" i="6"/>
  <c r="AG165" i="6" s="1"/>
  <c r="AH165" i="6"/>
  <c r="AI165" i="6"/>
  <c r="AF166" i="6"/>
  <c r="AG166" i="6" s="1"/>
  <c r="AH166" i="6"/>
  <c r="AI166" i="6" s="1"/>
  <c r="AF167" i="6"/>
  <c r="AG167" i="6" s="1"/>
  <c r="AH167" i="6"/>
  <c r="AI167" i="6"/>
  <c r="AF168" i="6"/>
  <c r="AG168" i="6" s="1"/>
  <c r="AH168" i="6"/>
  <c r="AI168" i="6" s="1"/>
  <c r="AF169" i="6"/>
  <c r="AG169" i="6" s="1"/>
  <c r="AH169" i="6"/>
  <c r="AI169" i="6"/>
  <c r="AF170" i="6"/>
  <c r="AG170" i="6" s="1"/>
  <c r="AH170" i="6"/>
  <c r="AI170" i="6" s="1"/>
  <c r="AF171" i="6"/>
  <c r="AG171" i="6" s="1"/>
  <c r="AH171" i="6"/>
  <c r="AI171" i="6"/>
  <c r="AF172" i="6"/>
  <c r="AG172" i="6" s="1"/>
  <c r="AH172" i="6"/>
  <c r="AI172" i="6" s="1"/>
  <c r="AF173" i="6"/>
  <c r="AG173" i="6" s="1"/>
  <c r="AH173" i="6"/>
  <c r="AI173" i="6"/>
  <c r="AF174" i="6"/>
  <c r="AG174" i="6" s="1"/>
  <c r="AH174" i="6"/>
  <c r="AI174" i="6" s="1"/>
  <c r="AF175" i="6"/>
  <c r="AG175" i="6" s="1"/>
  <c r="AH175" i="6"/>
  <c r="AI175" i="6" s="1"/>
  <c r="AF176" i="6"/>
  <c r="AG176" i="6" s="1"/>
  <c r="AH176" i="6"/>
  <c r="AI176" i="6" s="1"/>
  <c r="AF177" i="6"/>
  <c r="AG177" i="6" s="1"/>
  <c r="AH177" i="6"/>
  <c r="AI177" i="6" s="1"/>
  <c r="AF178" i="6"/>
  <c r="AG178" i="6"/>
  <c r="AH178" i="6"/>
  <c r="AI178" i="6"/>
  <c r="AF179" i="6"/>
  <c r="AG179" i="6"/>
  <c r="AH179" i="6"/>
  <c r="AI179" i="6" s="1"/>
  <c r="AF180" i="6"/>
  <c r="AG180" i="6" s="1"/>
  <c r="AH180" i="6"/>
  <c r="AI180" i="6"/>
  <c r="AF181" i="6"/>
  <c r="AG181" i="6"/>
  <c r="AH181" i="6"/>
  <c r="AI181" i="6" s="1"/>
  <c r="AF182" i="6"/>
  <c r="AG182" i="6" s="1"/>
  <c r="AH182" i="6"/>
  <c r="AI182" i="6"/>
  <c r="AF183" i="6"/>
  <c r="AG183" i="6"/>
  <c r="AH183" i="6"/>
  <c r="AI183" i="6" s="1"/>
  <c r="AF184" i="6"/>
  <c r="AG184" i="6" s="1"/>
  <c r="AH184" i="6"/>
  <c r="AI184" i="6"/>
  <c r="AF185" i="6"/>
  <c r="AG185" i="6"/>
  <c r="AH185" i="6"/>
  <c r="AI185" i="6" s="1"/>
  <c r="AF186" i="6"/>
  <c r="AG186" i="6" s="1"/>
  <c r="AH186" i="6"/>
  <c r="AI186" i="6"/>
  <c r="AF187" i="6"/>
  <c r="AG187" i="6"/>
  <c r="AH187" i="6"/>
  <c r="AI187" i="6" s="1"/>
  <c r="AF188" i="6"/>
  <c r="AG188" i="6" s="1"/>
  <c r="AH188" i="6"/>
  <c r="AI188" i="6"/>
  <c r="AF189" i="6"/>
  <c r="AG189" i="6"/>
  <c r="AH189" i="6"/>
  <c r="AI189" i="6" s="1"/>
  <c r="AF190" i="6"/>
  <c r="AG190" i="6" s="1"/>
  <c r="AH190" i="6"/>
  <c r="AI190" i="6"/>
  <c r="AF191" i="6"/>
  <c r="AG191" i="6"/>
  <c r="AH191" i="6"/>
  <c r="AI191" i="6" s="1"/>
  <c r="AF192" i="6"/>
  <c r="AG192" i="6" s="1"/>
  <c r="AH192" i="6"/>
  <c r="AI192" i="6"/>
  <c r="AF193" i="6"/>
  <c r="AG193" i="6"/>
  <c r="AH193" i="6"/>
  <c r="AI193" i="6" s="1"/>
  <c r="AF194" i="6"/>
  <c r="AG194" i="6" s="1"/>
  <c r="AH194" i="6"/>
  <c r="AI194" i="6"/>
  <c r="AF195" i="6"/>
  <c r="AG195" i="6"/>
  <c r="AH195" i="6"/>
  <c r="AI195" i="6" s="1"/>
  <c r="AF196" i="6"/>
  <c r="AG196" i="6" s="1"/>
  <c r="AH196" i="6"/>
  <c r="AI196" i="6"/>
  <c r="AF197" i="6"/>
  <c r="AG197" i="6"/>
  <c r="AH197" i="6"/>
  <c r="AI197" i="6" s="1"/>
  <c r="AF198" i="6"/>
  <c r="AG198" i="6" s="1"/>
  <c r="AH198" i="6"/>
  <c r="AI198" i="6"/>
  <c r="AF199" i="6"/>
  <c r="AG199" i="6"/>
  <c r="AH199" i="6"/>
  <c r="AI199" i="6" s="1"/>
  <c r="AF200" i="6"/>
  <c r="AG200" i="6" s="1"/>
  <c r="AH200" i="6"/>
  <c r="AI200" i="6"/>
  <c r="AF201" i="6"/>
  <c r="AG201" i="6"/>
  <c r="AH201" i="6"/>
  <c r="AI201" i="6" s="1"/>
  <c r="AF202" i="6"/>
  <c r="AG202" i="6" s="1"/>
  <c r="AH202" i="6"/>
  <c r="AI202" i="6"/>
  <c r="AF203" i="6"/>
  <c r="AG203" i="6"/>
  <c r="AH203" i="6"/>
  <c r="AI203" i="6" s="1"/>
  <c r="AF204" i="6"/>
  <c r="AG204" i="6" s="1"/>
  <c r="AH204" i="6"/>
  <c r="AI204" i="6"/>
  <c r="AF205" i="6"/>
  <c r="AG205" i="6"/>
  <c r="AH205" i="6"/>
  <c r="AI205" i="6" s="1"/>
  <c r="AF206" i="6"/>
  <c r="AG206" i="6" s="1"/>
  <c r="AH206" i="6"/>
  <c r="AI206" i="6"/>
  <c r="AF207" i="6"/>
  <c r="AG207" i="6"/>
  <c r="AH207" i="6"/>
  <c r="AI207" i="6" s="1"/>
  <c r="AF208" i="6"/>
  <c r="AG208" i="6" s="1"/>
  <c r="AH208" i="6"/>
  <c r="AI208" i="6"/>
  <c r="AF209" i="6"/>
  <c r="AG209" i="6"/>
  <c r="AH209" i="6"/>
  <c r="AI209" i="6" s="1"/>
  <c r="AF210" i="6"/>
  <c r="AG210" i="6" s="1"/>
  <c r="AH210" i="6"/>
  <c r="AI210" i="6"/>
  <c r="AF211" i="6"/>
  <c r="AG211" i="6"/>
  <c r="AH211" i="6"/>
  <c r="AI211" i="6" s="1"/>
  <c r="AF212" i="6"/>
  <c r="AG212" i="6" s="1"/>
  <c r="AH212" i="6"/>
  <c r="AI212" i="6"/>
  <c r="AF213" i="6"/>
  <c r="AG213" i="6"/>
  <c r="AH213" i="6"/>
  <c r="AI213" i="6" s="1"/>
  <c r="AF214" i="6"/>
  <c r="AG214" i="6" s="1"/>
  <c r="AH214" i="6"/>
  <c r="AI214" i="6"/>
  <c r="AF215" i="6"/>
  <c r="AG215" i="6"/>
  <c r="AH215" i="6"/>
  <c r="AI215" i="6" s="1"/>
  <c r="AF216" i="6"/>
  <c r="AG216" i="6" s="1"/>
  <c r="AH216" i="6"/>
  <c r="AI216" i="6"/>
  <c r="AF217" i="6"/>
  <c r="AG217" i="6"/>
  <c r="AH217" i="6"/>
  <c r="AI217" i="6" s="1"/>
  <c r="AF218" i="6"/>
  <c r="AG218" i="6" s="1"/>
  <c r="AH218" i="6"/>
  <c r="AI218" i="6"/>
  <c r="AF219" i="6"/>
  <c r="AG219" i="6"/>
  <c r="AH219" i="6"/>
  <c r="AI219" i="6" s="1"/>
  <c r="AF220" i="6"/>
  <c r="AG220" i="6" s="1"/>
  <c r="AH220" i="6"/>
  <c r="AI220" i="6"/>
  <c r="AF221" i="6"/>
  <c r="AG221" i="6"/>
  <c r="AH221" i="6"/>
  <c r="AI221" i="6" s="1"/>
  <c r="AF222" i="6"/>
  <c r="AG222" i="6" s="1"/>
  <c r="AH222" i="6"/>
  <c r="AI222" i="6"/>
  <c r="AF223" i="6"/>
  <c r="AG223" i="6"/>
  <c r="AH223" i="6"/>
  <c r="AI223" i="6" s="1"/>
  <c r="AF224" i="6"/>
  <c r="AG224" i="6" s="1"/>
  <c r="AH224" i="6"/>
  <c r="AI224" i="6"/>
  <c r="AF225" i="6"/>
  <c r="AG225" i="6"/>
  <c r="AH225" i="6"/>
  <c r="AI225" i="6" s="1"/>
  <c r="AF226" i="6"/>
  <c r="AG226" i="6" s="1"/>
  <c r="AH226" i="6"/>
  <c r="AI226" i="6"/>
  <c r="AF227" i="6"/>
  <c r="AG227" i="6"/>
  <c r="AH227" i="6"/>
  <c r="AI227" i="6" s="1"/>
  <c r="AF228" i="6"/>
  <c r="AG228" i="6" s="1"/>
  <c r="AH228" i="6"/>
  <c r="AI228" i="6"/>
  <c r="AF229" i="6"/>
  <c r="AG229" i="6"/>
  <c r="AH229" i="6"/>
  <c r="AI229" i="6" s="1"/>
  <c r="AF230" i="6"/>
  <c r="AG230" i="6" s="1"/>
  <c r="AH230" i="6"/>
  <c r="AI230" i="6"/>
  <c r="AF231" i="6"/>
  <c r="AG231" i="6"/>
  <c r="AH231" i="6"/>
  <c r="AI231" i="6" s="1"/>
  <c r="AF232" i="6"/>
  <c r="AG232" i="6" s="1"/>
  <c r="AH232" i="6"/>
  <c r="AI232" i="6"/>
  <c r="AF233" i="6"/>
  <c r="AG233" i="6"/>
  <c r="AH233" i="6"/>
  <c r="AI233" i="6" s="1"/>
  <c r="AF234" i="6"/>
  <c r="AG234" i="6" s="1"/>
  <c r="AH234" i="6"/>
  <c r="AI234" i="6"/>
  <c r="AF235" i="6"/>
  <c r="AG235" i="6"/>
  <c r="AH235" i="6"/>
  <c r="AI235" i="6" s="1"/>
  <c r="AF236" i="6"/>
  <c r="AG236" i="6"/>
  <c r="AH236" i="6"/>
  <c r="AI236" i="6"/>
  <c r="AF237" i="6"/>
  <c r="AG237" i="6"/>
  <c r="AH237" i="6"/>
  <c r="AI237" i="6" s="1"/>
  <c r="AF238" i="6"/>
  <c r="AG238" i="6"/>
  <c r="AH238" i="6"/>
  <c r="AI238" i="6"/>
  <c r="AF239" i="6"/>
  <c r="AG239" i="6"/>
  <c r="AH239" i="6"/>
  <c r="AI239" i="6" s="1"/>
  <c r="AF240" i="6"/>
  <c r="AG240" i="6"/>
  <c r="AH240" i="6"/>
  <c r="AI240" i="6"/>
  <c r="AF241" i="6"/>
  <c r="AG241" i="6"/>
  <c r="AH241" i="6"/>
  <c r="AI241" i="6" s="1"/>
  <c r="AF242" i="6"/>
  <c r="AG242" i="6"/>
  <c r="AH242" i="6"/>
  <c r="AI242" i="6"/>
  <c r="AF243" i="6"/>
  <c r="AG243" i="6"/>
  <c r="AH243" i="6"/>
  <c r="AI243" i="6" s="1"/>
  <c r="AF244" i="6"/>
  <c r="AG244" i="6"/>
  <c r="AH244" i="6"/>
  <c r="AI244" i="6"/>
  <c r="AF245" i="6"/>
  <c r="AG245" i="6"/>
  <c r="AH245" i="6"/>
  <c r="AI245" i="6" s="1"/>
  <c r="AF246" i="6"/>
  <c r="AG246" i="6"/>
  <c r="AH246" i="6"/>
  <c r="AI246" i="6"/>
  <c r="AF247" i="6"/>
  <c r="AG247" i="6"/>
  <c r="AH247" i="6"/>
  <c r="AI247" i="6" s="1"/>
  <c r="AF248" i="6"/>
  <c r="AG248" i="6"/>
  <c r="AH248" i="6"/>
  <c r="AI248" i="6"/>
  <c r="AF249" i="6"/>
  <c r="AG249" i="6"/>
  <c r="AH249" i="6"/>
  <c r="AI249" i="6" s="1"/>
  <c r="AF250" i="6"/>
  <c r="AG250" i="6"/>
  <c r="AH250" i="6"/>
  <c r="AI250" i="6"/>
  <c r="AF251" i="6"/>
  <c r="AG251" i="6"/>
  <c r="AH251" i="6"/>
  <c r="AI251" i="6" s="1"/>
  <c r="AF252" i="6"/>
  <c r="AG252" i="6"/>
  <c r="AH252" i="6"/>
  <c r="AI252" i="6"/>
  <c r="AF253" i="6"/>
  <c r="AG253" i="6"/>
  <c r="AH253" i="6"/>
  <c r="AI253" i="6" s="1"/>
  <c r="AF254" i="6"/>
  <c r="AG254" i="6"/>
  <c r="AH254" i="6"/>
  <c r="AI254" i="6"/>
  <c r="AF255" i="6"/>
  <c r="AG255" i="6"/>
  <c r="AH255" i="6"/>
  <c r="AI255" i="6" s="1"/>
  <c r="AF256" i="6"/>
  <c r="AG256" i="6"/>
  <c r="AH256" i="6"/>
  <c r="AI256" i="6"/>
  <c r="AF257" i="6"/>
  <c r="AG257" i="6" s="1"/>
  <c r="AH257" i="6"/>
  <c r="AI257" i="6" s="1"/>
  <c r="AF258" i="6"/>
  <c r="AG258" i="6"/>
  <c r="AH258" i="6"/>
  <c r="AI258" i="6"/>
  <c r="AF259" i="6"/>
  <c r="AG259" i="6" s="1"/>
  <c r="AH259" i="6"/>
  <c r="AI259" i="6" s="1"/>
  <c r="AF260" i="6"/>
  <c r="AG260" i="6"/>
  <c r="AH260" i="6"/>
  <c r="AI260" i="6"/>
  <c r="AF261" i="6"/>
  <c r="AG261" i="6"/>
  <c r="AH261" i="6"/>
  <c r="AI261" i="6" s="1"/>
  <c r="AF262" i="6"/>
  <c r="AG262" i="6"/>
  <c r="AH262" i="6"/>
  <c r="AI262" i="6"/>
  <c r="AF263" i="6"/>
  <c r="AG263" i="6" s="1"/>
  <c r="AH263" i="6"/>
  <c r="AI263" i="6" s="1"/>
  <c r="AF264" i="6"/>
  <c r="AG264" i="6" s="1"/>
  <c r="AH264" i="6"/>
  <c r="AI264" i="6"/>
  <c r="AF265" i="6"/>
  <c r="AG265" i="6"/>
  <c r="AH265" i="6"/>
  <c r="AI265" i="6" s="1"/>
  <c r="AF266" i="6"/>
  <c r="AG266" i="6" s="1"/>
  <c r="AH266" i="6"/>
  <c r="AI266" i="6"/>
  <c r="AF267" i="6"/>
  <c r="AG267" i="6"/>
  <c r="AH267" i="6"/>
  <c r="AI267" i="6" s="1"/>
  <c r="AF268" i="6"/>
  <c r="AG268" i="6"/>
  <c r="AH268" i="6"/>
  <c r="AI268" i="6"/>
  <c r="AF269" i="6"/>
  <c r="AG269" i="6"/>
  <c r="AH269" i="6"/>
  <c r="AI269" i="6" s="1"/>
  <c r="AF270" i="6"/>
  <c r="AG270" i="6" s="1"/>
  <c r="AH270" i="6"/>
  <c r="AI270" i="6"/>
  <c r="AF271" i="6"/>
  <c r="AG271" i="6"/>
  <c r="AH271" i="6"/>
  <c r="AI271" i="6" s="1"/>
  <c r="AF272" i="6"/>
  <c r="AG272" i="6"/>
  <c r="AH272" i="6"/>
  <c r="AI272" i="6"/>
  <c r="AF273" i="6"/>
  <c r="AG273" i="6" s="1"/>
  <c r="AH273" i="6"/>
  <c r="AI273" i="6" s="1"/>
  <c r="AF274" i="6"/>
  <c r="AG274" i="6"/>
  <c r="AH274" i="6"/>
  <c r="AI274" i="6"/>
  <c r="AF275" i="6"/>
  <c r="AG275" i="6" s="1"/>
  <c r="AH275" i="6"/>
  <c r="AI275" i="6" s="1"/>
  <c r="AF276" i="6"/>
  <c r="AG276" i="6"/>
  <c r="AH276" i="6"/>
  <c r="AI276" i="6"/>
  <c r="AF277" i="6"/>
  <c r="AG277" i="6"/>
  <c r="AH277" i="6"/>
  <c r="AI277" i="6" s="1"/>
  <c r="AF278" i="6"/>
  <c r="AG278" i="6"/>
  <c r="AH278" i="6"/>
  <c r="AI278" i="6" s="1"/>
  <c r="AF279" i="6"/>
  <c r="AG279" i="6" s="1"/>
  <c r="AH279" i="6"/>
  <c r="AI279" i="6" s="1"/>
  <c r="AF280" i="6"/>
  <c r="AG280" i="6" s="1"/>
  <c r="AH280" i="6"/>
  <c r="AI280" i="6"/>
  <c r="AF281" i="6"/>
  <c r="AG281" i="6"/>
  <c r="AH281" i="6"/>
  <c r="AI281" i="6" s="1"/>
  <c r="AF282" i="6"/>
  <c r="AG282" i="6" s="1"/>
  <c r="AH282" i="6"/>
  <c r="AI282" i="6"/>
  <c r="AF283" i="6"/>
  <c r="AG283" i="6"/>
  <c r="AH283" i="6"/>
  <c r="AI283" i="6" s="1"/>
  <c r="AF284" i="6"/>
  <c r="AG284" i="6"/>
  <c r="AH284" i="6"/>
  <c r="AI284" i="6" s="1"/>
  <c r="AF285" i="6"/>
  <c r="AG285" i="6"/>
  <c r="AH285" i="6"/>
  <c r="AI285" i="6" s="1"/>
  <c r="AF286" i="6"/>
  <c r="AG286" i="6" s="1"/>
  <c r="AH286" i="6"/>
  <c r="AI286" i="6" s="1"/>
  <c r="AF287" i="6"/>
  <c r="AG287" i="6"/>
  <c r="AH287" i="6"/>
  <c r="AI287" i="6" s="1"/>
  <c r="AF288" i="6"/>
  <c r="AG288" i="6"/>
  <c r="AH288" i="6"/>
  <c r="AI288" i="6"/>
  <c r="AF289" i="6"/>
  <c r="AG289" i="6" s="1"/>
  <c r="AH289" i="6"/>
  <c r="AI289" i="6" s="1"/>
  <c r="AF290" i="6"/>
  <c r="AG290" i="6"/>
  <c r="AH290" i="6"/>
  <c r="AI290" i="6" s="1"/>
  <c r="AF291" i="6"/>
  <c r="AG291" i="6" s="1"/>
  <c r="AH291" i="6"/>
  <c r="AI291" i="6" s="1"/>
  <c r="AF292" i="6"/>
  <c r="AG292" i="6"/>
  <c r="AH292" i="6"/>
  <c r="AI292" i="6" s="1"/>
  <c r="AF293" i="6"/>
  <c r="AG293" i="6"/>
  <c r="AH293" i="6"/>
  <c r="AI293" i="6" s="1"/>
  <c r="AF294" i="6"/>
  <c r="AG294" i="6"/>
  <c r="AH294" i="6"/>
  <c r="AI294" i="6"/>
  <c r="AF295" i="6"/>
  <c r="AG295" i="6" s="1"/>
  <c r="AH295" i="6"/>
  <c r="AI295" i="6" s="1"/>
  <c r="AF296" i="6"/>
  <c r="AG296" i="6" s="1"/>
  <c r="AH296" i="6"/>
  <c r="AI296" i="6"/>
  <c r="AF297" i="6"/>
  <c r="AG297" i="6" s="1"/>
  <c r="AH297" i="6"/>
  <c r="AI297" i="6" s="1"/>
  <c r="AF298" i="6"/>
  <c r="AG298" i="6" s="1"/>
  <c r="AH298" i="6"/>
  <c r="AI298" i="6"/>
  <c r="AF299" i="6"/>
  <c r="AG299" i="6" s="1"/>
  <c r="AH299" i="6"/>
  <c r="AI299" i="6" s="1"/>
  <c r="AF300" i="6"/>
  <c r="AG300" i="6"/>
  <c r="AH300" i="6"/>
  <c r="AI300" i="6" s="1"/>
  <c r="AF301" i="6"/>
  <c r="AG301" i="6"/>
  <c r="AH301" i="6"/>
  <c r="AI301" i="6" s="1"/>
  <c r="AF302" i="6"/>
  <c r="AG302" i="6" s="1"/>
  <c r="AH302" i="6"/>
  <c r="AI302" i="6" s="1"/>
  <c r="AF303" i="6"/>
  <c r="AG303" i="6"/>
  <c r="AH303" i="6"/>
  <c r="AI303" i="6" s="1"/>
  <c r="AF304" i="6"/>
  <c r="AG304" i="6" s="1"/>
  <c r="AH304" i="6"/>
  <c r="AI304" i="6"/>
  <c r="AF305" i="6"/>
  <c r="AG305" i="6" s="1"/>
  <c r="AH305" i="6"/>
  <c r="AI305" i="6" s="1"/>
  <c r="AF306" i="6"/>
  <c r="AG306" i="6" s="1"/>
  <c r="AH306" i="6"/>
  <c r="AI306" i="6" s="1"/>
  <c r="AF307" i="6"/>
  <c r="AG307" i="6" s="1"/>
  <c r="AH307" i="6"/>
  <c r="AI307" i="6" s="1"/>
  <c r="AF308" i="6"/>
  <c r="AG308" i="6"/>
  <c r="AH308" i="6"/>
  <c r="AI308" i="6"/>
  <c r="AF309" i="6"/>
  <c r="AG309" i="6"/>
  <c r="AH309" i="6"/>
  <c r="AI309" i="6" s="1"/>
  <c r="AF310" i="6"/>
  <c r="AG310" i="6"/>
  <c r="AH310" i="6"/>
  <c r="AI310" i="6" s="1"/>
  <c r="AF311" i="6"/>
  <c r="AG311" i="6" s="1"/>
  <c r="AH311" i="6"/>
  <c r="AI311" i="6" s="1"/>
  <c r="AF312" i="6"/>
  <c r="AG312" i="6" s="1"/>
  <c r="AH312" i="6"/>
  <c r="AI312" i="6"/>
  <c r="AF313" i="6"/>
  <c r="AG313" i="6"/>
  <c r="AH313" i="6"/>
  <c r="AI313" i="6" s="1"/>
  <c r="AF314" i="6"/>
  <c r="AG314" i="6" s="1"/>
  <c r="AH314" i="6"/>
  <c r="AI314" i="6"/>
  <c r="AF315" i="6"/>
  <c r="AG315" i="6"/>
  <c r="AH315" i="6"/>
  <c r="AI315" i="6" s="1"/>
  <c r="AF316" i="6"/>
  <c r="AG316" i="6"/>
  <c r="AH316" i="6"/>
  <c r="AI316" i="6" s="1"/>
  <c r="AF317" i="6"/>
  <c r="AG317" i="6"/>
  <c r="AH317" i="6"/>
  <c r="AI317" i="6" s="1"/>
  <c r="AF318" i="6"/>
  <c r="AG318" i="6" s="1"/>
  <c r="AH318" i="6"/>
  <c r="AI318" i="6" s="1"/>
  <c r="AF319" i="6"/>
  <c r="AG319" i="6"/>
  <c r="AH319" i="6"/>
  <c r="AI319" i="6" s="1"/>
  <c r="AF320" i="6"/>
  <c r="AG320" i="6" s="1"/>
  <c r="AH320" i="6"/>
  <c r="AI320" i="6"/>
  <c r="AF321" i="6"/>
  <c r="AG321" i="6" s="1"/>
  <c r="AH321" i="6"/>
  <c r="AI321" i="6" s="1"/>
  <c r="AF322" i="6"/>
  <c r="AG322" i="6"/>
  <c r="AH322" i="6"/>
  <c r="AI322" i="6" s="1"/>
  <c r="AF323" i="6"/>
  <c r="AG323" i="6" s="1"/>
  <c r="AH323" i="6"/>
  <c r="AI323" i="6" s="1"/>
  <c r="AF324" i="6"/>
  <c r="AG324" i="6"/>
  <c r="AH324" i="6"/>
  <c r="AI324" i="6" s="1"/>
  <c r="AF325" i="6"/>
  <c r="AG325" i="6"/>
  <c r="AH325" i="6"/>
  <c r="AI325" i="6" s="1"/>
  <c r="AF326" i="6"/>
  <c r="AG326" i="6"/>
  <c r="AH326" i="6"/>
  <c r="AI326" i="6"/>
  <c r="AF327" i="6"/>
  <c r="AG327" i="6" s="1"/>
  <c r="AH327" i="6"/>
  <c r="AI327" i="6" s="1"/>
  <c r="AF328" i="6"/>
  <c r="AG328" i="6"/>
  <c r="AH328" i="6"/>
  <c r="AI328" i="6"/>
  <c r="AF329" i="6"/>
  <c r="AG329" i="6" s="1"/>
  <c r="AH329" i="6"/>
  <c r="AI329" i="6" s="1"/>
  <c r="AF330" i="6"/>
  <c r="AG330" i="6"/>
  <c r="AH330" i="6"/>
  <c r="AI330" i="6" s="1"/>
  <c r="AF331" i="6"/>
  <c r="AG331" i="6" s="1"/>
  <c r="AH331" i="6"/>
  <c r="AI331" i="6" s="1"/>
  <c r="AF332" i="6"/>
  <c r="AG332" i="6"/>
  <c r="AH332" i="6"/>
  <c r="AI332" i="6"/>
  <c r="AF333" i="6"/>
  <c r="AG333" i="6" s="1"/>
  <c r="AH333" i="6"/>
  <c r="AI333" i="6" s="1"/>
  <c r="AF334" i="6"/>
  <c r="AG334" i="6"/>
  <c r="AH334" i="6"/>
  <c r="AI334" i="6"/>
  <c r="AF335" i="6"/>
  <c r="AG335" i="6" s="1"/>
  <c r="AH335" i="6"/>
  <c r="AI335" i="6" s="1"/>
  <c r="AF336" i="6"/>
  <c r="AG336" i="6"/>
  <c r="AH336" i="6"/>
  <c r="AI336" i="6"/>
  <c r="AF337" i="6"/>
  <c r="AG337" i="6" s="1"/>
  <c r="AH337" i="6"/>
  <c r="AI337" i="6" s="1"/>
  <c r="AF338" i="6"/>
  <c r="AG338" i="6"/>
  <c r="AH338" i="6"/>
  <c r="AI338" i="6" s="1"/>
  <c r="AF339" i="6"/>
  <c r="AG339" i="6" s="1"/>
  <c r="AH339" i="6"/>
  <c r="AI339" i="6" s="1"/>
  <c r="AF340" i="6"/>
  <c r="AG340" i="6"/>
  <c r="AH340" i="6"/>
  <c r="AI340" i="6"/>
  <c r="AF341" i="6"/>
  <c r="AG341" i="6" s="1"/>
  <c r="AH341" i="6"/>
  <c r="AI341" i="6" s="1"/>
  <c r="AF342" i="6"/>
  <c r="AG342" i="6"/>
  <c r="AH342" i="6"/>
  <c r="AI342" i="6"/>
  <c r="AF343" i="6"/>
  <c r="AG343" i="6" s="1"/>
  <c r="AH343" i="6"/>
  <c r="AI343" i="6" s="1"/>
  <c r="AF344" i="6"/>
  <c r="AG344" i="6"/>
  <c r="AH344" i="6"/>
  <c r="AI344" i="6"/>
  <c r="AF345" i="6"/>
  <c r="AG345" i="6" s="1"/>
  <c r="AH345" i="6"/>
  <c r="AI345" i="6" s="1"/>
  <c r="AF346" i="6"/>
  <c r="AG346" i="6"/>
  <c r="AH346" i="6"/>
  <c r="AI346" i="6" s="1"/>
  <c r="AF347" i="6"/>
  <c r="AG347" i="6" s="1"/>
  <c r="AH347" i="6"/>
  <c r="AI347" i="6" s="1"/>
  <c r="AF348" i="6"/>
  <c r="AG348" i="6"/>
  <c r="AH348" i="6"/>
  <c r="AI348" i="6"/>
  <c r="AF349" i="6"/>
  <c r="AG349" i="6" s="1"/>
  <c r="AH349" i="6"/>
  <c r="AI349" i="6" s="1"/>
  <c r="AF350" i="6"/>
  <c r="AG350" i="6"/>
  <c r="AH350" i="6"/>
  <c r="AI350" i="6"/>
  <c r="AF351" i="6"/>
  <c r="AG351" i="6" s="1"/>
  <c r="AH351" i="6"/>
  <c r="AI351" i="6" s="1"/>
  <c r="AF352" i="6"/>
  <c r="AG352" i="6"/>
  <c r="AH352" i="6"/>
  <c r="AI352" i="6"/>
  <c r="AF353" i="6"/>
  <c r="AG353" i="6" s="1"/>
  <c r="AH353" i="6"/>
  <c r="AI353" i="6" s="1"/>
  <c r="AF354" i="6"/>
  <c r="AG354" i="6"/>
  <c r="AH354" i="6"/>
  <c r="AI354" i="6" s="1"/>
  <c r="AF355" i="6"/>
  <c r="AG355" i="6" s="1"/>
  <c r="AH355" i="6"/>
  <c r="AI355" i="6" s="1"/>
  <c r="AF356" i="6"/>
  <c r="AG356" i="6"/>
  <c r="AH356" i="6"/>
  <c r="AI356" i="6"/>
  <c r="AF357" i="6"/>
  <c r="AG357" i="6" s="1"/>
  <c r="AH357" i="6"/>
  <c r="AI357" i="6" s="1"/>
  <c r="AF358" i="6"/>
  <c r="AG358" i="6"/>
  <c r="AH358" i="6"/>
  <c r="AI358" i="6"/>
  <c r="AF359" i="6"/>
  <c r="AG359" i="6" s="1"/>
  <c r="AH359" i="6"/>
  <c r="AI359" i="6" s="1"/>
  <c r="AF360" i="6"/>
  <c r="AG360" i="6" s="1"/>
  <c r="AH360" i="6"/>
  <c r="AI360" i="6" s="1"/>
  <c r="AF361" i="6"/>
  <c r="AG361" i="6" s="1"/>
  <c r="AH361" i="6"/>
  <c r="AI361" i="6" s="1"/>
  <c r="AF362" i="6"/>
  <c r="AG362" i="6" s="1"/>
  <c r="AH362" i="6"/>
  <c r="AI362" i="6"/>
  <c r="AF363" i="6"/>
  <c r="AG363" i="6" s="1"/>
  <c r="AH363" i="6"/>
  <c r="AI363" i="6" s="1"/>
  <c r="AF364" i="6"/>
  <c r="AG364" i="6" s="1"/>
  <c r="AH364" i="6"/>
  <c r="AI364" i="6" s="1"/>
  <c r="AF365" i="6"/>
  <c r="AG365" i="6" s="1"/>
  <c r="AH365" i="6"/>
  <c r="AI365" i="6" s="1"/>
  <c r="AF366" i="6"/>
  <c r="AG366" i="6" s="1"/>
  <c r="AH366" i="6"/>
  <c r="AI366" i="6" s="1"/>
  <c r="AF367" i="6"/>
  <c r="AG367" i="6" s="1"/>
  <c r="AH367" i="6"/>
  <c r="AI367" i="6" s="1"/>
  <c r="AF368" i="6"/>
  <c r="AG368" i="6" s="1"/>
  <c r="AH368" i="6"/>
  <c r="AI368" i="6" s="1"/>
  <c r="AF369" i="6"/>
  <c r="AG369" i="6" s="1"/>
  <c r="AH369" i="6"/>
  <c r="AI369" i="6" s="1"/>
  <c r="AF370" i="6"/>
  <c r="AG370" i="6" s="1"/>
  <c r="AH370" i="6"/>
  <c r="AI370" i="6"/>
  <c r="AF371" i="6"/>
  <c r="AG371" i="6" s="1"/>
  <c r="AH371" i="6"/>
  <c r="AI371" i="6" s="1"/>
  <c r="AF372" i="6"/>
  <c r="AG372" i="6" s="1"/>
  <c r="AH372" i="6"/>
  <c r="AI372" i="6" s="1"/>
  <c r="AF373" i="6"/>
  <c r="AG373" i="6" s="1"/>
  <c r="AH373" i="6"/>
  <c r="AI373" i="6" s="1"/>
  <c r="AF374" i="6"/>
  <c r="AG374" i="6" s="1"/>
  <c r="AH374" i="6"/>
  <c r="AI374" i="6"/>
  <c r="AF375" i="6"/>
  <c r="AG375" i="6" s="1"/>
  <c r="AH375" i="6"/>
  <c r="AI375" i="6" s="1"/>
  <c r="AF376" i="6"/>
  <c r="AG376" i="6" s="1"/>
  <c r="AH376" i="6"/>
  <c r="AI376" i="6" s="1"/>
  <c r="AF377" i="6"/>
  <c r="AG377" i="6" s="1"/>
  <c r="AH377" i="6"/>
  <c r="AI377" i="6" s="1"/>
  <c r="AF378" i="6"/>
  <c r="AG378" i="6" s="1"/>
  <c r="AH378" i="6"/>
  <c r="AI378" i="6"/>
  <c r="AF379" i="6"/>
  <c r="AG379" i="6" s="1"/>
  <c r="AH379" i="6"/>
  <c r="AI379" i="6" s="1"/>
  <c r="AF380" i="6"/>
  <c r="AG380" i="6" s="1"/>
  <c r="AH380" i="6"/>
  <c r="AI380" i="6" s="1"/>
  <c r="AF381" i="6"/>
  <c r="AG381" i="6" s="1"/>
  <c r="AH381" i="6"/>
  <c r="AI381" i="6" s="1"/>
  <c r="AF382" i="6"/>
  <c r="AG382" i="6" s="1"/>
  <c r="AH382" i="6"/>
  <c r="AI382" i="6" s="1"/>
  <c r="AF383" i="6"/>
  <c r="AG383" i="6" s="1"/>
  <c r="AH383" i="6"/>
  <c r="AI383" i="6" s="1"/>
  <c r="AF384" i="6"/>
  <c r="AG384" i="6" s="1"/>
  <c r="AH384" i="6"/>
  <c r="AI384" i="6" s="1"/>
  <c r="AF385" i="6"/>
  <c r="AG385" i="6" s="1"/>
  <c r="AH385" i="6"/>
  <c r="AI385" i="6" s="1"/>
  <c r="AF386" i="6"/>
  <c r="AG386" i="6" s="1"/>
  <c r="AH386" i="6"/>
  <c r="AI386" i="6"/>
  <c r="AF387" i="6"/>
  <c r="AG387" i="6" s="1"/>
  <c r="AH387" i="6"/>
  <c r="AI387" i="6" s="1"/>
  <c r="AF388" i="6"/>
  <c r="AG388" i="6" s="1"/>
  <c r="AH388" i="6"/>
  <c r="AI388" i="6" s="1"/>
  <c r="AF389" i="6"/>
  <c r="AG389" i="6" s="1"/>
  <c r="AH389" i="6"/>
  <c r="AI389" i="6" s="1"/>
  <c r="AF390" i="6"/>
  <c r="AG390" i="6" s="1"/>
  <c r="AH390" i="6"/>
  <c r="AI390" i="6"/>
  <c r="AF391" i="6"/>
  <c r="AG391" i="6" s="1"/>
  <c r="AH391" i="6"/>
  <c r="AI391" i="6" s="1"/>
  <c r="AF392" i="6"/>
  <c r="AG392" i="6" s="1"/>
  <c r="AH392" i="6"/>
  <c r="AI392" i="6" s="1"/>
  <c r="AF393" i="6"/>
  <c r="AG393" i="6" s="1"/>
  <c r="AH393" i="6"/>
  <c r="AI393" i="6" s="1"/>
  <c r="AF394" i="6"/>
  <c r="AG394" i="6" s="1"/>
  <c r="AH394" i="6"/>
  <c r="AI394" i="6"/>
  <c r="AF395" i="6"/>
  <c r="AG395" i="6" s="1"/>
  <c r="AH395" i="6"/>
  <c r="AI395" i="6" s="1"/>
  <c r="AF396" i="6"/>
  <c r="AG396" i="6" s="1"/>
  <c r="AH396" i="6"/>
  <c r="AI396" i="6" s="1"/>
  <c r="AF397" i="6"/>
  <c r="AG397" i="6" s="1"/>
  <c r="AH397" i="6"/>
  <c r="AI397" i="6" s="1"/>
  <c r="AF398" i="6"/>
  <c r="AG398" i="6" s="1"/>
  <c r="AH398" i="6"/>
  <c r="AI398" i="6" s="1"/>
  <c r="AF399" i="6"/>
  <c r="AG399" i="6" s="1"/>
  <c r="AH399" i="6"/>
  <c r="AI399" i="6" s="1"/>
  <c r="AF400" i="6"/>
  <c r="AG400" i="6" s="1"/>
  <c r="AH400" i="6"/>
  <c r="AI400" i="6" s="1"/>
  <c r="AF401" i="6"/>
  <c r="AG401" i="6" s="1"/>
  <c r="AH401" i="6"/>
  <c r="AI401" i="6" s="1"/>
  <c r="AF402" i="6"/>
  <c r="AG402" i="6" s="1"/>
  <c r="AH402" i="6"/>
  <c r="AI402" i="6" s="1"/>
  <c r="AF403" i="6"/>
  <c r="AG403" i="6" s="1"/>
  <c r="AH403" i="6"/>
  <c r="AI403" i="6" s="1"/>
  <c r="AF404" i="6"/>
  <c r="AG404" i="6" s="1"/>
  <c r="AH404" i="6"/>
  <c r="AI404" i="6" s="1"/>
  <c r="AF405" i="6"/>
  <c r="AG405" i="6" s="1"/>
  <c r="AH405" i="6"/>
  <c r="AI405" i="6" s="1"/>
  <c r="AF406" i="6"/>
  <c r="AG406" i="6" s="1"/>
  <c r="AH406" i="6"/>
  <c r="AI406" i="6" s="1"/>
  <c r="AF407" i="6"/>
  <c r="AG407" i="6" s="1"/>
  <c r="AH407" i="6"/>
  <c r="AI407" i="6" s="1"/>
  <c r="AF408" i="6"/>
  <c r="AG408" i="6" s="1"/>
  <c r="AH408" i="6"/>
  <c r="AI408" i="6" s="1"/>
  <c r="AF409" i="6"/>
  <c r="AG409" i="6" s="1"/>
  <c r="AH409" i="6"/>
  <c r="AI409" i="6" s="1"/>
  <c r="AF410" i="6"/>
  <c r="AG410" i="6" s="1"/>
  <c r="AH410" i="6"/>
  <c r="AI410" i="6" s="1"/>
  <c r="AF411" i="6"/>
  <c r="AG411" i="6" s="1"/>
  <c r="AH411" i="6"/>
  <c r="AI411" i="6" s="1"/>
  <c r="AF412" i="6"/>
  <c r="AG412" i="6" s="1"/>
  <c r="AH412" i="6"/>
  <c r="AI412" i="6" s="1"/>
  <c r="AF413" i="6"/>
  <c r="AG413" i="6" s="1"/>
  <c r="AH413" i="6"/>
  <c r="AI413" i="6"/>
  <c r="AF414" i="6"/>
  <c r="AG414" i="6"/>
  <c r="AH414" i="6"/>
  <c r="AI414" i="6" s="1"/>
  <c r="AF415" i="6"/>
  <c r="AG415" i="6" s="1"/>
  <c r="AH415" i="6"/>
  <c r="AI415" i="6" s="1"/>
  <c r="AF416" i="6"/>
  <c r="AG416" i="6" s="1"/>
  <c r="AH416" i="6"/>
  <c r="AI416" i="6" s="1"/>
  <c r="AF417" i="6"/>
  <c r="AG417" i="6" s="1"/>
  <c r="AH417" i="6"/>
  <c r="AI417" i="6"/>
  <c r="AF418" i="6"/>
  <c r="AG418" i="6"/>
  <c r="AH418" i="6"/>
  <c r="AI418" i="6"/>
  <c r="AF419" i="6"/>
  <c r="AG419" i="6" s="1"/>
  <c r="AH419" i="6"/>
  <c r="AI419" i="6" s="1"/>
  <c r="AF420" i="6"/>
  <c r="AG420" i="6" s="1"/>
  <c r="AH420" i="6"/>
  <c r="AI420" i="6" s="1"/>
  <c r="AF421" i="6"/>
  <c r="AG421" i="6" s="1"/>
  <c r="AH421" i="6"/>
  <c r="AI421" i="6" s="1"/>
  <c r="AF422" i="6"/>
  <c r="AG422" i="6"/>
  <c r="AH422" i="6"/>
  <c r="AI422" i="6"/>
  <c r="AF423" i="6"/>
  <c r="AG423" i="6" s="1"/>
  <c r="AH423" i="6"/>
  <c r="AI423" i="6" s="1"/>
  <c r="AF424" i="6"/>
  <c r="AG424" i="6" s="1"/>
  <c r="AH424" i="6"/>
  <c r="AI424" i="6" s="1"/>
  <c r="AF425" i="6"/>
  <c r="AG425" i="6" s="1"/>
  <c r="AH425" i="6"/>
  <c r="AI425" i="6"/>
  <c r="AF426" i="6"/>
  <c r="AG426" i="6" s="1"/>
  <c r="AH426" i="6"/>
  <c r="AI426" i="6"/>
  <c r="AF427" i="6"/>
  <c r="AG427" i="6" s="1"/>
  <c r="AH427" i="6"/>
  <c r="AI427" i="6" s="1"/>
  <c r="AF428" i="6"/>
  <c r="AG428" i="6" s="1"/>
  <c r="AH428" i="6"/>
  <c r="AI428" i="6" s="1"/>
  <c r="AF429" i="6"/>
  <c r="AG429" i="6" s="1"/>
  <c r="AH429" i="6"/>
  <c r="AI429" i="6"/>
  <c r="AF430" i="6"/>
  <c r="AG430" i="6"/>
  <c r="AH430" i="6"/>
  <c r="AI430" i="6" s="1"/>
  <c r="AF431" i="6"/>
  <c r="AG431" i="6" s="1"/>
  <c r="AH431" i="6"/>
  <c r="AI431" i="6" s="1"/>
  <c r="AF432" i="6"/>
  <c r="AG432" i="6" s="1"/>
  <c r="AH432" i="6"/>
  <c r="AI432" i="6" s="1"/>
  <c r="AF433" i="6"/>
  <c r="AG433" i="6" s="1"/>
  <c r="AH433" i="6"/>
  <c r="AI433" i="6"/>
  <c r="AF434" i="6"/>
  <c r="AG434" i="6"/>
  <c r="AH434" i="6"/>
  <c r="AI434" i="6"/>
  <c r="AF435" i="6"/>
  <c r="AG435" i="6" s="1"/>
  <c r="AH435" i="6"/>
  <c r="AI435" i="6" s="1"/>
  <c r="AF436" i="6"/>
  <c r="AG436" i="6" s="1"/>
  <c r="AH436" i="6"/>
  <c r="AI436" i="6" s="1"/>
  <c r="AF437" i="6"/>
  <c r="AG437" i="6" s="1"/>
  <c r="AH437" i="6"/>
  <c r="AI437" i="6" s="1"/>
  <c r="AF438" i="6"/>
  <c r="AG438" i="6"/>
  <c r="AH438" i="6"/>
  <c r="AI438" i="6"/>
  <c r="AF439" i="6"/>
  <c r="AG439" i="6" s="1"/>
  <c r="AH439" i="6"/>
  <c r="AI439" i="6" s="1"/>
  <c r="AF440" i="6"/>
  <c r="AG440" i="6" s="1"/>
  <c r="AH440" i="6"/>
  <c r="AI440" i="6" s="1"/>
  <c r="AF441" i="6"/>
  <c r="AG441" i="6" s="1"/>
  <c r="AH441" i="6"/>
  <c r="AI441" i="6"/>
  <c r="AF442" i="6"/>
  <c r="AG442" i="6" s="1"/>
  <c r="AH442" i="6"/>
  <c r="AI442" i="6"/>
  <c r="AF443" i="6"/>
  <c r="AG443" i="6" s="1"/>
  <c r="AH443" i="6"/>
  <c r="AI443" i="6" s="1"/>
  <c r="AF444" i="6"/>
  <c r="AG444" i="6" s="1"/>
  <c r="AH444" i="6"/>
  <c r="AI444" i="6" s="1"/>
  <c r="AF445" i="6"/>
  <c r="AG445" i="6" s="1"/>
  <c r="AH445" i="6"/>
  <c r="AI445" i="6"/>
  <c r="AF446" i="6"/>
  <c r="AG446" i="6"/>
  <c r="AH446" i="6"/>
  <c r="AI446" i="6" s="1"/>
  <c r="AF447" i="6"/>
  <c r="AG447" i="6" s="1"/>
  <c r="AH447" i="6"/>
  <c r="AI447" i="6" s="1"/>
  <c r="AF448" i="6"/>
  <c r="AG448" i="6" s="1"/>
  <c r="AH448" i="6"/>
  <c r="AI448" i="6" s="1"/>
  <c r="AF449" i="6"/>
  <c r="AG449" i="6" s="1"/>
  <c r="AH449" i="6"/>
  <c r="AI449" i="6"/>
  <c r="AF450" i="6"/>
  <c r="AG450" i="6"/>
  <c r="AH450" i="6"/>
  <c r="AI450" i="6"/>
  <c r="AF451" i="6"/>
  <c r="AG451" i="6" s="1"/>
  <c r="AH451" i="6"/>
  <c r="AI451" i="6" s="1"/>
  <c r="AF452" i="6"/>
  <c r="AG452" i="6" s="1"/>
  <c r="AH452" i="6"/>
  <c r="AI452" i="6" s="1"/>
  <c r="AF453" i="6"/>
  <c r="AG453" i="6" s="1"/>
  <c r="AH453" i="6"/>
  <c r="AI453" i="6" s="1"/>
  <c r="AF454" i="6"/>
  <c r="AG454" i="6"/>
  <c r="AH454" i="6"/>
  <c r="AI454" i="6"/>
  <c r="AF455" i="6"/>
  <c r="AG455" i="6" s="1"/>
  <c r="AH455" i="6"/>
  <c r="AI455" i="6" s="1"/>
  <c r="AF456" i="6"/>
  <c r="AG456" i="6" s="1"/>
  <c r="AH456" i="6"/>
  <c r="AI456" i="6" s="1"/>
  <c r="AF457" i="6"/>
  <c r="AG457" i="6" s="1"/>
  <c r="AH457" i="6"/>
  <c r="AI457" i="6" s="1"/>
  <c r="AF458" i="6"/>
  <c r="AG458" i="6" s="1"/>
  <c r="AH458" i="6"/>
  <c r="AI458" i="6"/>
  <c r="AF459" i="6"/>
  <c r="AG459" i="6" s="1"/>
  <c r="AH459" i="6"/>
  <c r="AI459" i="6"/>
  <c r="AF460" i="6"/>
  <c r="AG460" i="6" s="1"/>
  <c r="AH460" i="6"/>
  <c r="AI460" i="6" s="1"/>
  <c r="AF461" i="6"/>
  <c r="AG461" i="6" s="1"/>
  <c r="AH461" i="6"/>
  <c r="AI461" i="6"/>
  <c r="AF462" i="6"/>
  <c r="AG462" i="6" s="1"/>
  <c r="AH462" i="6"/>
  <c r="AI462" i="6" s="1"/>
  <c r="AF463" i="6"/>
  <c r="AG463" i="6" s="1"/>
  <c r="AH463" i="6"/>
  <c r="AI463" i="6" s="1"/>
  <c r="AF464" i="6"/>
  <c r="AG464" i="6" s="1"/>
  <c r="AH464" i="6"/>
  <c r="AI464" i="6" s="1"/>
  <c r="AF465" i="6"/>
  <c r="AG465" i="6" s="1"/>
  <c r="AH465" i="6"/>
  <c r="AI465" i="6"/>
  <c r="AF466" i="6"/>
  <c r="AG466" i="6"/>
  <c r="AH466" i="6"/>
  <c r="AI466" i="6" s="1"/>
  <c r="AF467" i="6"/>
  <c r="AG467" i="6" s="1"/>
  <c r="AH467" i="6"/>
  <c r="AI467" i="6" s="1"/>
  <c r="AF468" i="6"/>
  <c r="AG468" i="6" s="1"/>
  <c r="AH468" i="6"/>
  <c r="AI468" i="6"/>
  <c r="AF469" i="6"/>
  <c r="AG469" i="6" s="1"/>
  <c r="AH469" i="6"/>
  <c r="AI469" i="6" s="1"/>
  <c r="AF470" i="6"/>
  <c r="AG470" i="6"/>
  <c r="AH470" i="6"/>
  <c r="AI470" i="6"/>
  <c r="AF471" i="6"/>
  <c r="AG471" i="6" s="1"/>
  <c r="AH471" i="6"/>
  <c r="AI471" i="6" s="1"/>
  <c r="AF472" i="6"/>
  <c r="AG472" i="6" s="1"/>
  <c r="AH472" i="6"/>
  <c r="AI472" i="6" s="1"/>
  <c r="AF473" i="6"/>
  <c r="AG473" i="6"/>
  <c r="AH473" i="6"/>
  <c r="AI473" i="6" s="1"/>
  <c r="AF474" i="6"/>
  <c r="AG474" i="6" s="1"/>
  <c r="AH474" i="6"/>
  <c r="AI474" i="6" s="1"/>
  <c r="AF475" i="6"/>
  <c r="AG475" i="6" s="1"/>
  <c r="AH475" i="6"/>
  <c r="AI475" i="6" s="1"/>
  <c r="AF476" i="6"/>
  <c r="AG476" i="6" s="1"/>
  <c r="AH476" i="6"/>
  <c r="AI476" i="6" s="1"/>
  <c r="AF477" i="6"/>
  <c r="AG477" i="6" s="1"/>
  <c r="AH477" i="6"/>
  <c r="AI477" i="6" s="1"/>
  <c r="AF478" i="6"/>
  <c r="AG478" i="6" s="1"/>
  <c r="AH478" i="6"/>
  <c r="AI478" i="6" s="1"/>
  <c r="AF479" i="6"/>
  <c r="AG479" i="6" s="1"/>
  <c r="AH479" i="6"/>
  <c r="AI479" i="6" s="1"/>
  <c r="AF480" i="6"/>
  <c r="AG480" i="6" s="1"/>
  <c r="AH480" i="6"/>
  <c r="AI480" i="6" s="1"/>
  <c r="AF481" i="6"/>
  <c r="AG481" i="6"/>
  <c r="AH481" i="6"/>
  <c r="AI481" i="6" s="1"/>
  <c r="AF482" i="6"/>
  <c r="AG482" i="6" s="1"/>
  <c r="AH482" i="6"/>
  <c r="AI482" i="6" s="1"/>
  <c r="AF483" i="6"/>
  <c r="AG483" i="6"/>
  <c r="AH483" i="6"/>
  <c r="AI483" i="6" s="1"/>
  <c r="AF484" i="6"/>
  <c r="AG484" i="6" s="1"/>
  <c r="AH484" i="6"/>
  <c r="AI484" i="6" s="1"/>
  <c r="AF485" i="6"/>
  <c r="AG485" i="6"/>
  <c r="AH485" i="6"/>
  <c r="AI485" i="6" s="1"/>
  <c r="AF486" i="6"/>
  <c r="AG486" i="6" s="1"/>
  <c r="AH486" i="6"/>
  <c r="AI486" i="6" s="1"/>
  <c r="AF487" i="6"/>
  <c r="AG487" i="6"/>
  <c r="AH487" i="6"/>
  <c r="AI487" i="6" s="1"/>
  <c r="AF488" i="6"/>
  <c r="AG488" i="6" s="1"/>
  <c r="AH488" i="6"/>
  <c r="AI488" i="6" s="1"/>
  <c r="AF489" i="6"/>
  <c r="AG489" i="6"/>
  <c r="AH489" i="6"/>
  <c r="AI489" i="6" s="1"/>
  <c r="AF490" i="6"/>
  <c r="AG490" i="6" s="1"/>
  <c r="AH490" i="6"/>
  <c r="AI490" i="6" s="1"/>
  <c r="AF491" i="6"/>
  <c r="AG491" i="6" s="1"/>
  <c r="AH491" i="6"/>
  <c r="AI491" i="6" s="1"/>
  <c r="AF492" i="6"/>
  <c r="AG492" i="6" s="1"/>
  <c r="AH492" i="6"/>
  <c r="AI492" i="6" s="1"/>
  <c r="AF493" i="6"/>
  <c r="AG493" i="6" s="1"/>
  <c r="AH493" i="6"/>
  <c r="AI493" i="6" s="1"/>
  <c r="AF494" i="6"/>
  <c r="AG494" i="6" s="1"/>
  <c r="AH494" i="6"/>
  <c r="AI494" i="6" s="1"/>
  <c r="AF495" i="6"/>
  <c r="AG495" i="6" s="1"/>
  <c r="AH495" i="6"/>
  <c r="AI495" i="6" s="1"/>
  <c r="AF496" i="6"/>
  <c r="AG496" i="6" s="1"/>
  <c r="AH496" i="6"/>
  <c r="AI496" i="6" s="1"/>
  <c r="AF497" i="6"/>
  <c r="AG497" i="6"/>
  <c r="AH497" i="6"/>
  <c r="AI497" i="6" s="1"/>
  <c r="AF498" i="6"/>
  <c r="AG498" i="6" s="1"/>
  <c r="AH498" i="6"/>
  <c r="AI498" i="6" s="1"/>
  <c r="AF499" i="6"/>
  <c r="AG499" i="6"/>
  <c r="AH499" i="6"/>
  <c r="AI499" i="6" s="1"/>
  <c r="AF500" i="6"/>
  <c r="AG500" i="6" s="1"/>
  <c r="AH500" i="6"/>
  <c r="AI500" i="6" s="1"/>
  <c r="AF501" i="6"/>
  <c r="AG501" i="6"/>
  <c r="AH501" i="6"/>
  <c r="AI501" i="6" s="1"/>
  <c r="AF502" i="6"/>
  <c r="AG502" i="6" s="1"/>
  <c r="AH502" i="6"/>
  <c r="AI502" i="6" s="1"/>
  <c r="AF503" i="6"/>
  <c r="AG503" i="6"/>
  <c r="AH503" i="6"/>
  <c r="AI503" i="6" s="1"/>
  <c r="AF504" i="6"/>
  <c r="AG504" i="6" s="1"/>
  <c r="AH504" i="6"/>
  <c r="AI504" i="6" s="1"/>
  <c r="AF505" i="6"/>
  <c r="AG505" i="6"/>
  <c r="AH505" i="6"/>
  <c r="AI505" i="6" s="1"/>
  <c r="AF506" i="6"/>
  <c r="AG506" i="6" s="1"/>
  <c r="AH506" i="6"/>
  <c r="AI506" i="6" s="1"/>
  <c r="AF507" i="6"/>
  <c r="AG507" i="6" s="1"/>
  <c r="AH507" i="6"/>
  <c r="AI507" i="6" s="1"/>
  <c r="AF508" i="6"/>
  <c r="AG508" i="6" s="1"/>
  <c r="AH508" i="6"/>
  <c r="AI508" i="6" s="1"/>
  <c r="AF509" i="6"/>
  <c r="AG509" i="6" s="1"/>
  <c r="AH509" i="6"/>
  <c r="AI509" i="6" s="1"/>
  <c r="AF510" i="6"/>
  <c r="AG510" i="6" s="1"/>
  <c r="AH510" i="6"/>
  <c r="AI510" i="6" s="1"/>
  <c r="AF511" i="6"/>
  <c r="AG511" i="6" s="1"/>
  <c r="AH511" i="6"/>
  <c r="AI511" i="6" s="1"/>
  <c r="AF512" i="6"/>
  <c r="AG512" i="6" s="1"/>
  <c r="AH512" i="6"/>
  <c r="AI512" i="6" s="1"/>
  <c r="AF513" i="6"/>
  <c r="AG513" i="6"/>
  <c r="AH513" i="6"/>
  <c r="AI513" i="6" s="1"/>
  <c r="AF514" i="6"/>
  <c r="AG514" i="6" s="1"/>
  <c r="AH514" i="6"/>
  <c r="AI514" i="6" s="1"/>
  <c r="AF515" i="6"/>
  <c r="AG515" i="6"/>
  <c r="AH515" i="6"/>
  <c r="AI515" i="6" s="1"/>
  <c r="AF516" i="6"/>
  <c r="AG516" i="6" s="1"/>
  <c r="AH516" i="6"/>
  <c r="AI516" i="6" s="1"/>
  <c r="AF517" i="6"/>
  <c r="AG517" i="6"/>
  <c r="AH517" i="6"/>
  <c r="AI517" i="6" s="1"/>
  <c r="AF518" i="6"/>
  <c r="AG518" i="6" s="1"/>
  <c r="AH518" i="6"/>
  <c r="AI518" i="6" s="1"/>
  <c r="AF519" i="6"/>
  <c r="AG519" i="6"/>
  <c r="AH519" i="6"/>
  <c r="AI519" i="6" s="1"/>
  <c r="AF520" i="6"/>
  <c r="AG520" i="6" s="1"/>
  <c r="AH520" i="6"/>
  <c r="AI520" i="6" s="1"/>
  <c r="AF521" i="6"/>
  <c r="AG521" i="6"/>
  <c r="AH521" i="6"/>
  <c r="AI521" i="6" s="1"/>
  <c r="AF522" i="6"/>
  <c r="AG522" i="6" s="1"/>
  <c r="AH522" i="6"/>
  <c r="AI522" i="6" s="1"/>
  <c r="AF523" i="6"/>
  <c r="AG523" i="6" s="1"/>
  <c r="AH523" i="6"/>
  <c r="AI523" i="6" s="1"/>
  <c r="AF524" i="6"/>
  <c r="AG524" i="6" s="1"/>
  <c r="AH524" i="6"/>
  <c r="AI524" i="6" s="1"/>
  <c r="AF525" i="6"/>
  <c r="AG525" i="6" s="1"/>
  <c r="AH525" i="6"/>
  <c r="AI525" i="6" s="1"/>
  <c r="AF526" i="6"/>
  <c r="AG526" i="6" s="1"/>
  <c r="AH526" i="6"/>
  <c r="AI526" i="6" s="1"/>
  <c r="AF527" i="6"/>
  <c r="AG527" i="6" s="1"/>
  <c r="AH527" i="6"/>
  <c r="AI527" i="6" s="1"/>
  <c r="AF528" i="6"/>
  <c r="AG528" i="6" s="1"/>
  <c r="AH528" i="6"/>
  <c r="AI528" i="6" s="1"/>
  <c r="AF529" i="6"/>
  <c r="AG529" i="6"/>
  <c r="AH529" i="6"/>
  <c r="AI529" i="6" s="1"/>
  <c r="AF530" i="6"/>
  <c r="AG530" i="6" s="1"/>
  <c r="AH530" i="6"/>
  <c r="AI530" i="6" s="1"/>
  <c r="AF531" i="6"/>
  <c r="AG531" i="6"/>
  <c r="AH531" i="6"/>
  <c r="AI531" i="6" s="1"/>
  <c r="AF532" i="6"/>
  <c r="AG532" i="6" s="1"/>
  <c r="AH532" i="6"/>
  <c r="AI532" i="6" s="1"/>
  <c r="AF533" i="6"/>
  <c r="AG533" i="6"/>
  <c r="AH533" i="6"/>
  <c r="AI533" i="6" s="1"/>
  <c r="AF534" i="6"/>
  <c r="AG534" i="6" s="1"/>
  <c r="AH534" i="6"/>
  <c r="AI534" i="6" s="1"/>
  <c r="AF535" i="6"/>
  <c r="AG535" i="6"/>
  <c r="AH535" i="6"/>
  <c r="AI535" i="6" s="1"/>
  <c r="AF536" i="6"/>
  <c r="AG536" i="6" s="1"/>
  <c r="AH536" i="6"/>
  <c r="AI536" i="6" s="1"/>
  <c r="AF537" i="6"/>
  <c r="AG537" i="6"/>
  <c r="AH537" i="6"/>
  <c r="AI537" i="6" s="1"/>
  <c r="AF538" i="6"/>
  <c r="AG538" i="6" s="1"/>
  <c r="AH538" i="6"/>
  <c r="AI538" i="6" s="1"/>
  <c r="AF539" i="6"/>
  <c r="AG539" i="6" s="1"/>
  <c r="AH539" i="6"/>
  <c r="AI539" i="6" s="1"/>
  <c r="AF540" i="6"/>
  <c r="AG540" i="6" s="1"/>
  <c r="AH540" i="6"/>
  <c r="AI540" i="6" s="1"/>
  <c r="AF541" i="6"/>
  <c r="AG541" i="6" s="1"/>
  <c r="AH541" i="6"/>
  <c r="AI541" i="6" s="1"/>
  <c r="AF542" i="6"/>
  <c r="AG542" i="6" s="1"/>
  <c r="AH542" i="6"/>
  <c r="AI542" i="6" s="1"/>
  <c r="AF543" i="6"/>
  <c r="AG543" i="6" s="1"/>
  <c r="AH543" i="6"/>
  <c r="AI543" i="6" s="1"/>
  <c r="AF544" i="6"/>
  <c r="AG544" i="6" s="1"/>
  <c r="AH544" i="6"/>
  <c r="AI544" i="6" s="1"/>
  <c r="AF545" i="6"/>
  <c r="AG545" i="6"/>
  <c r="AH545" i="6"/>
  <c r="AI545" i="6" s="1"/>
  <c r="AF546" i="6"/>
  <c r="AG546" i="6" s="1"/>
  <c r="AH546" i="6"/>
  <c r="AI546" i="6" s="1"/>
  <c r="AF547" i="6"/>
  <c r="AG547" i="6"/>
  <c r="AH547" i="6"/>
  <c r="AI547" i="6" s="1"/>
  <c r="AF548" i="6"/>
  <c r="AG548" i="6" s="1"/>
  <c r="AH548" i="6"/>
  <c r="AI548" i="6" s="1"/>
  <c r="AF549" i="6"/>
  <c r="AG549" i="6"/>
  <c r="AH549" i="6"/>
  <c r="AI549" i="6" s="1"/>
  <c r="AF550" i="6"/>
  <c r="AG550" i="6" s="1"/>
  <c r="AH550" i="6"/>
  <c r="AI550" i="6" s="1"/>
  <c r="AF551" i="6"/>
  <c r="AG551" i="6"/>
  <c r="AH551" i="6"/>
  <c r="AI551" i="6" s="1"/>
  <c r="AF552" i="6"/>
  <c r="AG552" i="6" s="1"/>
  <c r="AH552" i="6"/>
  <c r="AI552" i="6" s="1"/>
  <c r="AF553" i="6"/>
  <c r="AG553" i="6"/>
  <c r="AH553" i="6"/>
  <c r="AI553" i="6" s="1"/>
  <c r="AF554" i="6"/>
  <c r="AG554" i="6" s="1"/>
  <c r="AH554" i="6"/>
  <c r="AI554" i="6" s="1"/>
  <c r="AF555" i="6"/>
  <c r="AG555" i="6" s="1"/>
  <c r="AH555" i="6"/>
  <c r="AI555" i="6" s="1"/>
  <c r="AF556" i="6"/>
  <c r="AG556" i="6" s="1"/>
  <c r="AH556" i="6"/>
  <c r="AI556" i="6" s="1"/>
  <c r="AF557" i="6"/>
  <c r="AG557" i="6" s="1"/>
  <c r="AH557" i="6"/>
  <c r="AI557" i="6" s="1"/>
  <c r="AF558" i="6"/>
  <c r="AG558" i="6" s="1"/>
  <c r="AH558" i="6"/>
  <c r="AI558" i="6" s="1"/>
  <c r="AF559" i="6"/>
  <c r="AG559" i="6" s="1"/>
  <c r="AH559" i="6"/>
  <c r="AI559" i="6" s="1"/>
  <c r="AF560" i="6"/>
  <c r="AG560" i="6" s="1"/>
  <c r="AH560" i="6"/>
  <c r="AI560" i="6" s="1"/>
  <c r="AF561" i="6"/>
  <c r="AG561" i="6"/>
  <c r="AH561" i="6"/>
  <c r="AI561" i="6" s="1"/>
  <c r="AF562" i="6"/>
  <c r="AG562" i="6" s="1"/>
  <c r="AH562" i="6"/>
  <c r="AI562" i="6" s="1"/>
  <c r="AF563" i="6"/>
  <c r="AG563" i="6"/>
  <c r="AH563" i="6"/>
  <c r="AI563" i="6" s="1"/>
  <c r="AF564" i="6"/>
  <c r="AG564" i="6" s="1"/>
  <c r="AH564" i="6"/>
  <c r="AI564" i="6" s="1"/>
  <c r="AF565" i="6"/>
  <c r="AG565" i="6"/>
  <c r="AH565" i="6"/>
  <c r="AI565" i="6" s="1"/>
  <c r="AF566" i="6"/>
  <c r="AG566" i="6" s="1"/>
  <c r="AH566" i="6"/>
  <c r="AI566" i="6" s="1"/>
  <c r="AF567" i="6"/>
  <c r="AG567" i="6"/>
  <c r="AH567" i="6"/>
  <c r="AI567" i="6" s="1"/>
  <c r="AF568" i="6"/>
  <c r="AG568" i="6" s="1"/>
  <c r="AH568" i="6"/>
  <c r="AI568" i="6" s="1"/>
  <c r="AF569" i="6"/>
  <c r="AG569" i="6"/>
  <c r="AH569" i="6"/>
  <c r="AI569" i="6" s="1"/>
  <c r="AF570" i="6"/>
  <c r="AG570" i="6" s="1"/>
  <c r="AH570" i="6"/>
  <c r="AI570" i="6" s="1"/>
  <c r="AF571" i="6"/>
  <c r="AG571" i="6" s="1"/>
  <c r="AH571" i="6"/>
  <c r="AI571" i="6" s="1"/>
  <c r="AF572" i="6"/>
  <c r="AG572" i="6" s="1"/>
  <c r="AH572" i="6"/>
  <c r="AI572" i="6" s="1"/>
  <c r="AF573" i="6"/>
  <c r="AG573" i="6" s="1"/>
  <c r="AH573" i="6"/>
  <c r="AI573" i="6" s="1"/>
  <c r="AF574" i="6"/>
  <c r="AG574" i="6" s="1"/>
  <c r="AH574" i="6"/>
  <c r="AI574" i="6" s="1"/>
  <c r="AF575" i="6"/>
  <c r="AG575" i="6" s="1"/>
  <c r="AH575" i="6"/>
  <c r="AI575" i="6" s="1"/>
  <c r="AF576" i="6"/>
  <c r="AG576" i="6" s="1"/>
  <c r="AH576" i="6"/>
  <c r="AI576" i="6" s="1"/>
  <c r="AF577" i="6"/>
  <c r="AG577" i="6"/>
  <c r="AH577" i="6"/>
  <c r="AI577" i="6" s="1"/>
  <c r="AF578" i="6"/>
  <c r="AG578" i="6" s="1"/>
  <c r="AH578" i="6"/>
  <c r="AI578" i="6" s="1"/>
  <c r="AF579" i="6"/>
  <c r="AG579" i="6"/>
  <c r="AH579" i="6"/>
  <c r="AI579" i="6" s="1"/>
  <c r="AF580" i="6"/>
  <c r="AG580" i="6" s="1"/>
  <c r="AH580" i="6"/>
  <c r="AI580" i="6" s="1"/>
  <c r="AF581" i="6"/>
  <c r="AG581" i="6"/>
  <c r="AH581" i="6"/>
  <c r="AI581" i="6" s="1"/>
  <c r="AF582" i="6"/>
  <c r="AG582" i="6" s="1"/>
  <c r="AH582" i="6"/>
  <c r="AI582" i="6" s="1"/>
  <c r="AF583" i="6"/>
  <c r="AG583" i="6"/>
  <c r="AH583" i="6"/>
  <c r="AI583" i="6" s="1"/>
  <c r="AF584" i="6"/>
  <c r="AG584" i="6" s="1"/>
  <c r="AH584" i="6"/>
  <c r="AI584" i="6" s="1"/>
  <c r="AF585" i="6"/>
  <c r="AG585" i="6" s="1"/>
  <c r="AH585" i="6"/>
  <c r="AI585" i="6" s="1"/>
  <c r="AF586" i="6"/>
  <c r="AG586" i="6" s="1"/>
  <c r="AH586" i="6"/>
  <c r="AI586" i="6" s="1"/>
  <c r="AF587" i="6"/>
  <c r="AG587" i="6" s="1"/>
  <c r="AH587" i="6"/>
  <c r="AI587" i="6" s="1"/>
  <c r="AF588" i="6"/>
  <c r="AG588" i="6" s="1"/>
  <c r="AH588" i="6"/>
  <c r="AI588" i="6" s="1"/>
  <c r="AF589" i="6"/>
  <c r="AG589" i="6" s="1"/>
  <c r="AH589" i="6"/>
  <c r="AI589" i="6" s="1"/>
  <c r="AF590" i="6"/>
  <c r="AG590" i="6" s="1"/>
  <c r="AH590" i="6"/>
  <c r="AI590" i="6" s="1"/>
  <c r="AF591" i="6"/>
  <c r="AG591" i="6" s="1"/>
  <c r="AH591" i="6"/>
  <c r="AI591" i="6" s="1"/>
  <c r="AF592" i="6"/>
  <c r="AG592" i="6" s="1"/>
  <c r="AH592" i="6"/>
  <c r="AI592" i="6" s="1"/>
  <c r="AF593" i="6"/>
  <c r="AG593" i="6"/>
  <c r="AH593" i="6"/>
  <c r="AI593" i="6" s="1"/>
  <c r="AF594" i="6"/>
  <c r="AG594" i="6" s="1"/>
  <c r="AH594" i="6"/>
  <c r="AI594" i="6" s="1"/>
  <c r="AF595" i="6"/>
  <c r="AG595" i="6"/>
  <c r="AH595" i="6"/>
  <c r="AI595" i="6" s="1"/>
  <c r="AF596" i="6"/>
  <c r="AG596" i="6" s="1"/>
  <c r="AH596" i="6"/>
  <c r="AI596" i="6" s="1"/>
  <c r="AF597" i="6"/>
  <c r="AG597" i="6"/>
  <c r="AH597" i="6"/>
  <c r="AI597" i="6" s="1"/>
  <c r="AF598" i="6"/>
  <c r="AG598" i="6" s="1"/>
  <c r="AH598" i="6"/>
  <c r="AI598" i="6" s="1"/>
  <c r="AF599" i="6"/>
  <c r="AG599" i="6"/>
  <c r="AH599" i="6"/>
  <c r="AI599" i="6" s="1"/>
  <c r="AF600" i="6"/>
  <c r="AG600" i="6" s="1"/>
  <c r="AH600" i="6"/>
  <c r="AI600" i="6" s="1"/>
  <c r="AF601" i="6"/>
  <c r="AG601" i="6" s="1"/>
  <c r="AH601" i="6"/>
  <c r="AI601" i="6" s="1"/>
  <c r="AF602" i="6"/>
  <c r="AG602" i="6" s="1"/>
  <c r="AH602" i="6"/>
  <c r="AI602" i="6" s="1"/>
  <c r="AF603" i="6"/>
  <c r="AG603" i="6" s="1"/>
  <c r="AH603" i="6"/>
  <c r="AI603" i="6" s="1"/>
  <c r="AF604" i="6"/>
  <c r="AG604" i="6" s="1"/>
  <c r="AH604" i="6"/>
  <c r="AI604" i="6" s="1"/>
  <c r="AF605" i="6"/>
  <c r="AG605" i="6"/>
  <c r="AH605" i="6"/>
  <c r="AI605" i="6"/>
  <c r="AF606" i="6"/>
  <c r="AG606" i="6" s="1"/>
  <c r="AH606" i="6"/>
  <c r="AI606" i="6" s="1"/>
  <c r="AF607" i="6"/>
  <c r="AG607" i="6"/>
  <c r="AH607" i="6"/>
  <c r="AI607" i="6"/>
  <c r="AF608" i="6"/>
  <c r="AG608" i="6" s="1"/>
  <c r="AH608" i="6"/>
  <c r="AI608" i="6" s="1"/>
  <c r="AF609" i="6"/>
  <c r="AG609" i="6"/>
  <c r="AH609" i="6"/>
  <c r="AI609" i="6"/>
  <c r="AF610" i="6"/>
  <c r="AG610" i="6" s="1"/>
  <c r="AH610" i="6"/>
  <c r="AI610" i="6" s="1"/>
  <c r="AF611" i="6"/>
  <c r="AG611" i="6"/>
  <c r="AH611" i="6"/>
  <c r="AI611" i="6"/>
  <c r="AF612" i="6"/>
  <c r="AG612" i="6" s="1"/>
  <c r="AH612" i="6"/>
  <c r="AI612" i="6" s="1"/>
  <c r="AF613" i="6"/>
  <c r="AG613" i="6"/>
  <c r="AH613" i="6"/>
  <c r="AI613" i="6"/>
  <c r="AF614" i="6"/>
  <c r="AG614" i="6" s="1"/>
  <c r="AH614" i="6"/>
  <c r="AI614" i="6" s="1"/>
  <c r="AF615" i="6"/>
  <c r="AG615" i="6"/>
  <c r="AH615" i="6"/>
  <c r="AI615" i="6"/>
  <c r="AF616" i="6"/>
  <c r="AG616" i="6" s="1"/>
  <c r="AH616" i="6"/>
  <c r="AI616" i="6" s="1"/>
  <c r="AF617" i="6"/>
  <c r="AG617" i="6"/>
  <c r="AH617" i="6"/>
  <c r="AI617" i="6"/>
  <c r="AF618" i="6"/>
  <c r="AG618" i="6" s="1"/>
  <c r="AH618" i="6"/>
  <c r="AI618" i="6" s="1"/>
  <c r="AF619" i="6"/>
  <c r="AG619" i="6"/>
  <c r="AH619" i="6"/>
  <c r="AI619" i="6"/>
  <c r="AF620" i="6"/>
  <c r="AG620" i="6" s="1"/>
  <c r="AH620" i="6"/>
  <c r="AI620" i="6" s="1"/>
  <c r="AF621" i="6"/>
  <c r="AG621" i="6"/>
  <c r="AH621" i="6"/>
  <c r="AI621" i="6"/>
  <c r="AF622" i="6"/>
  <c r="AG622" i="6" s="1"/>
  <c r="AH622" i="6"/>
  <c r="AI622" i="6" s="1"/>
  <c r="AF623" i="6"/>
  <c r="AG623" i="6"/>
  <c r="AH623" i="6"/>
  <c r="AI623" i="6"/>
  <c r="AF624" i="6"/>
  <c r="AG624" i="6" s="1"/>
  <c r="AH624" i="6"/>
  <c r="AI624" i="6" s="1"/>
  <c r="AF625" i="6"/>
  <c r="AG625" i="6"/>
  <c r="AH625" i="6"/>
  <c r="AI625" i="6"/>
  <c r="AF626" i="6"/>
  <c r="AG626" i="6" s="1"/>
  <c r="AH626" i="6"/>
  <c r="AI626" i="6" s="1"/>
  <c r="AF627" i="6"/>
  <c r="AG627" i="6"/>
  <c r="AH627" i="6"/>
  <c r="AI627" i="6"/>
  <c r="AF628" i="6"/>
  <c r="AG628" i="6" s="1"/>
  <c r="AH628" i="6"/>
  <c r="AI628" i="6" s="1"/>
  <c r="AF629" i="6"/>
  <c r="AG629" i="6"/>
  <c r="AH629" i="6"/>
  <c r="AI629" i="6"/>
  <c r="AF630" i="6"/>
  <c r="AG630" i="6" s="1"/>
  <c r="AH630" i="6"/>
  <c r="AI630" i="6" s="1"/>
  <c r="AF631" i="6"/>
  <c r="AG631" i="6"/>
  <c r="AH631" i="6"/>
  <c r="AI631" i="6"/>
  <c r="AF632" i="6"/>
  <c r="AG632" i="6" s="1"/>
  <c r="AH632" i="6"/>
  <c r="AI632" i="6" s="1"/>
  <c r="AF633" i="6"/>
  <c r="AG633" i="6"/>
  <c r="AH633" i="6"/>
  <c r="AI633" i="6"/>
  <c r="AF634" i="6"/>
  <c r="AG634" i="6" s="1"/>
  <c r="AH634" i="6"/>
  <c r="AI634" i="6" s="1"/>
  <c r="AF635" i="6"/>
  <c r="AG635" i="6"/>
  <c r="AH635" i="6"/>
  <c r="AI635" i="6"/>
  <c r="AF636" i="6"/>
  <c r="AG636" i="6" s="1"/>
  <c r="AH636" i="6"/>
  <c r="AI636" i="6" s="1"/>
  <c r="AF637" i="6"/>
  <c r="AG637" i="6"/>
  <c r="AH637" i="6"/>
  <c r="AI637" i="6"/>
  <c r="AF638" i="6"/>
  <c r="AG638" i="6" s="1"/>
  <c r="AH638" i="6"/>
  <c r="AI638" i="6" s="1"/>
  <c r="AF639" i="6"/>
  <c r="AG639" i="6"/>
  <c r="AH639" i="6"/>
  <c r="AI639" i="6"/>
  <c r="AF640" i="6"/>
  <c r="AG640" i="6" s="1"/>
  <c r="AH640" i="6"/>
  <c r="AI640" i="6" s="1"/>
  <c r="AF641" i="6"/>
  <c r="AG641" i="6"/>
  <c r="AH641" i="6"/>
  <c r="AI641" i="6"/>
  <c r="AF642" i="6"/>
  <c r="AG642" i="6" s="1"/>
  <c r="AH642" i="6"/>
  <c r="AI642" i="6" s="1"/>
  <c r="AF643" i="6"/>
  <c r="AG643" i="6"/>
  <c r="AH643" i="6"/>
  <c r="AI643" i="6"/>
  <c r="AF644" i="6"/>
  <c r="AG644" i="6" s="1"/>
  <c r="AH644" i="6"/>
  <c r="AI644" i="6" s="1"/>
  <c r="AF645" i="6"/>
  <c r="AG645" i="6"/>
  <c r="AH645" i="6"/>
  <c r="AI645" i="6"/>
  <c r="AF646" i="6"/>
  <c r="AG646" i="6" s="1"/>
  <c r="AH646" i="6"/>
  <c r="AI646" i="6" s="1"/>
  <c r="AF647" i="6"/>
  <c r="AG647" i="6"/>
  <c r="AH647" i="6"/>
  <c r="AI647" i="6"/>
  <c r="AF648" i="6"/>
  <c r="AG648" i="6" s="1"/>
  <c r="AH648" i="6"/>
  <c r="AI648" i="6" s="1"/>
  <c r="AF649" i="6"/>
  <c r="AG649" i="6"/>
  <c r="AH649" i="6"/>
  <c r="AI649" i="6"/>
  <c r="AF650" i="6"/>
  <c r="AG650" i="6" s="1"/>
  <c r="AH650" i="6"/>
  <c r="AI650" i="6" s="1"/>
  <c r="AF651" i="6"/>
  <c r="AG651" i="6"/>
  <c r="AH651" i="6"/>
  <c r="AI651" i="6"/>
  <c r="AF652" i="6"/>
  <c r="AG652" i="6" s="1"/>
  <c r="AH652" i="6"/>
  <c r="AI652" i="6" s="1"/>
  <c r="AF653" i="6"/>
  <c r="AG653" i="6"/>
  <c r="AH653" i="6"/>
  <c r="AI653" i="6"/>
  <c r="AF654" i="6"/>
  <c r="AG654" i="6" s="1"/>
  <c r="AH654" i="6"/>
  <c r="AI654" i="6" s="1"/>
  <c r="AF655" i="6"/>
  <c r="AG655" i="6"/>
  <c r="AH655" i="6"/>
  <c r="AI655" i="6"/>
  <c r="AF656" i="6"/>
  <c r="AG656" i="6" s="1"/>
  <c r="AH656" i="6"/>
  <c r="AI656" i="6" s="1"/>
  <c r="AF657" i="6"/>
  <c r="AG657" i="6"/>
  <c r="AH657" i="6"/>
  <c r="AI657" i="6"/>
  <c r="AF658" i="6"/>
  <c r="AG658" i="6" s="1"/>
  <c r="AH658" i="6"/>
  <c r="AI658" i="6" s="1"/>
  <c r="AF659" i="6"/>
  <c r="AG659" i="6"/>
  <c r="AH659" i="6"/>
  <c r="AI659" i="6"/>
  <c r="AF660" i="6"/>
  <c r="AG660" i="6" s="1"/>
  <c r="AH660" i="6"/>
  <c r="AI660" i="6" s="1"/>
  <c r="AF661" i="6"/>
  <c r="AG661" i="6"/>
  <c r="AH661" i="6"/>
  <c r="AI661" i="6"/>
  <c r="AF662" i="6"/>
  <c r="AG662" i="6" s="1"/>
  <c r="AH662" i="6"/>
  <c r="AI662" i="6" s="1"/>
  <c r="AF663" i="6"/>
  <c r="AG663" i="6"/>
  <c r="AH663" i="6"/>
  <c r="AI663" i="6"/>
  <c r="AF664" i="6"/>
  <c r="AG664" i="6" s="1"/>
  <c r="AH664" i="6"/>
  <c r="AI664" i="6" s="1"/>
  <c r="AF665" i="6"/>
  <c r="AG665" i="6"/>
  <c r="AH665" i="6"/>
  <c r="AI665" i="6"/>
  <c r="AF666" i="6"/>
  <c r="AG666" i="6" s="1"/>
  <c r="AH666" i="6"/>
  <c r="AI666" i="6" s="1"/>
  <c r="AF667" i="6"/>
  <c r="AG667" i="6"/>
  <c r="AH667" i="6"/>
  <c r="AI667" i="6"/>
  <c r="AF668" i="6"/>
  <c r="AG668" i="6" s="1"/>
  <c r="AH668" i="6"/>
  <c r="AI668" i="6" s="1"/>
  <c r="AF669" i="6"/>
  <c r="AG669" i="6"/>
  <c r="AH669" i="6"/>
  <c r="AI669" i="6"/>
  <c r="AF670" i="6"/>
  <c r="AG670" i="6" s="1"/>
  <c r="AH670" i="6"/>
  <c r="AI670" i="6" s="1"/>
  <c r="AF671" i="6"/>
  <c r="AG671" i="6"/>
  <c r="AH671" i="6"/>
  <c r="AI671" i="6"/>
  <c r="AF672" i="6"/>
  <c r="AG672" i="6" s="1"/>
  <c r="AH672" i="6"/>
  <c r="AI672" i="6" s="1"/>
  <c r="AF673" i="6"/>
  <c r="AG673" i="6"/>
  <c r="AH673" i="6"/>
  <c r="AI673" i="6"/>
  <c r="AF674" i="6"/>
  <c r="AG674" i="6" s="1"/>
  <c r="AH674" i="6"/>
  <c r="AI674" i="6" s="1"/>
  <c r="AF675" i="6"/>
  <c r="AG675" i="6"/>
  <c r="AH675" i="6"/>
  <c r="AI675" i="6"/>
  <c r="AF676" i="6"/>
  <c r="AG676" i="6" s="1"/>
  <c r="AH676" i="6"/>
  <c r="AI676" i="6" s="1"/>
  <c r="AF677" i="6"/>
  <c r="AG677" i="6"/>
  <c r="AH677" i="6"/>
  <c r="AI677" i="6"/>
  <c r="AF678" i="6"/>
  <c r="AG678" i="6" s="1"/>
  <c r="AH678" i="6"/>
  <c r="AI678" i="6" s="1"/>
  <c r="AF679" i="6"/>
  <c r="AG679" i="6"/>
  <c r="AH679" i="6"/>
  <c r="AI679" i="6"/>
  <c r="AF680" i="6"/>
  <c r="AG680" i="6" s="1"/>
  <c r="AH680" i="6"/>
  <c r="AI680" i="6" s="1"/>
  <c r="AF681" i="6"/>
  <c r="AG681" i="6"/>
  <c r="AH681" i="6"/>
  <c r="AI681" i="6"/>
  <c r="AF682" i="6"/>
  <c r="AG682" i="6" s="1"/>
  <c r="AH682" i="6"/>
  <c r="AI682" i="6" s="1"/>
  <c r="V8" i="6"/>
  <c r="W8" i="6"/>
  <c r="V9" i="6"/>
  <c r="W9" i="6"/>
  <c r="V10" i="6"/>
  <c r="W10" i="6"/>
  <c r="V11" i="6"/>
  <c r="W11" i="6"/>
  <c r="V12" i="6"/>
  <c r="W12" i="6"/>
  <c r="V13" i="6"/>
  <c r="W13" i="6"/>
  <c r="V14" i="6"/>
  <c r="W14" i="6"/>
  <c r="V15" i="6"/>
  <c r="W15" i="6"/>
  <c r="V16" i="6"/>
  <c r="W16" i="6"/>
  <c r="V17" i="6"/>
  <c r="W17" i="6"/>
  <c r="V18" i="6"/>
  <c r="W18" i="6"/>
  <c r="V19" i="6"/>
  <c r="W19" i="6"/>
  <c r="V20" i="6"/>
  <c r="W20" i="6"/>
  <c r="V21" i="6"/>
  <c r="W21" i="6"/>
  <c r="V22" i="6"/>
  <c r="W22" i="6"/>
  <c r="V23" i="6"/>
  <c r="W23" i="6"/>
  <c r="V24" i="6"/>
  <c r="W24" i="6"/>
  <c r="V25" i="6"/>
  <c r="W25" i="6"/>
  <c r="V26" i="6"/>
  <c r="W26" i="6"/>
  <c r="V27" i="6"/>
  <c r="W27" i="6"/>
  <c r="V28" i="6"/>
  <c r="W28" i="6"/>
  <c r="V29" i="6"/>
  <c r="W29" i="6"/>
  <c r="V30" i="6"/>
  <c r="W30" i="6"/>
  <c r="V31" i="6"/>
  <c r="W31" i="6"/>
  <c r="V32" i="6"/>
  <c r="W32" i="6"/>
  <c r="V33" i="6"/>
  <c r="W33" i="6"/>
  <c r="V34" i="6"/>
  <c r="W34" i="6"/>
  <c r="V35" i="6"/>
  <c r="W35" i="6"/>
  <c r="V36" i="6"/>
  <c r="W36" i="6"/>
  <c r="V37" i="6"/>
  <c r="W37" i="6"/>
  <c r="V38" i="6"/>
  <c r="W38" i="6"/>
  <c r="V39" i="6"/>
  <c r="W39" i="6"/>
  <c r="V40" i="6"/>
  <c r="W40" i="6"/>
  <c r="V41" i="6"/>
  <c r="W41" i="6"/>
  <c r="V42" i="6"/>
  <c r="W42" i="6"/>
  <c r="V43" i="6"/>
  <c r="W43" i="6"/>
  <c r="V44" i="6"/>
  <c r="W44" i="6"/>
  <c r="V45" i="6"/>
  <c r="W45" i="6"/>
  <c r="V46" i="6"/>
  <c r="W46" i="6"/>
  <c r="V47" i="6"/>
  <c r="W47" i="6"/>
  <c r="V48" i="6"/>
  <c r="W48" i="6"/>
  <c r="V49" i="6"/>
  <c r="W49" i="6"/>
  <c r="V50" i="6"/>
  <c r="W50" i="6"/>
  <c r="V51" i="6"/>
  <c r="W51" i="6"/>
  <c r="V52" i="6"/>
  <c r="W52" i="6"/>
  <c r="V53" i="6"/>
  <c r="W53" i="6"/>
  <c r="V54" i="6"/>
  <c r="W54" i="6"/>
  <c r="V55" i="6"/>
  <c r="W55" i="6"/>
  <c r="V56" i="6"/>
  <c r="W56" i="6"/>
  <c r="V57" i="6"/>
  <c r="W57" i="6"/>
  <c r="V58" i="6"/>
  <c r="W58" i="6"/>
  <c r="V59" i="6"/>
  <c r="W59" i="6"/>
  <c r="V60" i="6"/>
  <c r="W60" i="6"/>
  <c r="V61" i="6"/>
  <c r="W61" i="6"/>
  <c r="V62" i="6"/>
  <c r="W62" i="6"/>
  <c r="V63" i="6"/>
  <c r="W63" i="6"/>
  <c r="V64" i="6"/>
  <c r="W64" i="6"/>
  <c r="V65" i="6"/>
  <c r="W65" i="6"/>
  <c r="V66" i="6"/>
  <c r="W66" i="6"/>
  <c r="V67" i="6"/>
  <c r="W67" i="6"/>
  <c r="V68" i="6"/>
  <c r="W68" i="6"/>
  <c r="V69" i="6"/>
  <c r="W69" i="6"/>
  <c r="V70" i="6"/>
  <c r="W70" i="6"/>
  <c r="V71" i="6"/>
  <c r="W71" i="6"/>
  <c r="V72" i="6"/>
  <c r="W72" i="6"/>
  <c r="V73" i="6"/>
  <c r="W73" i="6"/>
  <c r="V74" i="6"/>
  <c r="W74" i="6"/>
  <c r="V75" i="6"/>
  <c r="W75" i="6"/>
  <c r="V76" i="6"/>
  <c r="W76" i="6"/>
  <c r="V77" i="6"/>
  <c r="W77" i="6"/>
  <c r="V78" i="6"/>
  <c r="W78" i="6"/>
  <c r="V79" i="6"/>
  <c r="W79" i="6"/>
  <c r="V80" i="6"/>
  <c r="W80" i="6"/>
  <c r="V81" i="6"/>
  <c r="W81" i="6"/>
  <c r="V82" i="6"/>
  <c r="W82" i="6"/>
  <c r="V83" i="6"/>
  <c r="W83" i="6"/>
  <c r="V84" i="6"/>
  <c r="W84" i="6"/>
  <c r="V85" i="6"/>
  <c r="W85" i="6"/>
  <c r="V86" i="6"/>
  <c r="W86" i="6"/>
  <c r="V87" i="6"/>
  <c r="W87" i="6"/>
  <c r="V88" i="6"/>
  <c r="W88" i="6"/>
  <c r="V89" i="6"/>
  <c r="W89" i="6"/>
  <c r="V90" i="6"/>
  <c r="W90" i="6"/>
  <c r="V91" i="6"/>
  <c r="W91" i="6"/>
  <c r="V92" i="6"/>
  <c r="W92" i="6"/>
  <c r="V93" i="6"/>
  <c r="W93" i="6"/>
  <c r="V94" i="6"/>
  <c r="W94" i="6"/>
  <c r="V95" i="6"/>
  <c r="W95" i="6"/>
  <c r="V96" i="6"/>
  <c r="W96" i="6"/>
  <c r="V97" i="6"/>
  <c r="W97" i="6"/>
  <c r="V98" i="6"/>
  <c r="W98" i="6"/>
  <c r="V99" i="6"/>
  <c r="W99" i="6"/>
  <c r="V100" i="6"/>
  <c r="W100" i="6"/>
  <c r="V101" i="6"/>
  <c r="W101" i="6"/>
  <c r="V102" i="6"/>
  <c r="W102" i="6"/>
  <c r="V103" i="6"/>
  <c r="W103" i="6"/>
  <c r="V104" i="6"/>
  <c r="W104" i="6"/>
  <c r="V105" i="6"/>
  <c r="W105" i="6"/>
  <c r="V106" i="6"/>
  <c r="W106" i="6"/>
  <c r="V107" i="6"/>
  <c r="W107" i="6"/>
  <c r="V108" i="6"/>
  <c r="W108" i="6"/>
  <c r="V109" i="6"/>
  <c r="W109" i="6"/>
  <c r="V110" i="6"/>
  <c r="W110" i="6"/>
  <c r="V111" i="6"/>
  <c r="W111" i="6"/>
  <c r="V112" i="6"/>
  <c r="W112" i="6"/>
  <c r="V113" i="6"/>
  <c r="W113" i="6"/>
  <c r="V114" i="6"/>
  <c r="W114" i="6"/>
  <c r="V115" i="6"/>
  <c r="W115" i="6"/>
  <c r="V116" i="6"/>
  <c r="W116" i="6"/>
  <c r="V117" i="6"/>
  <c r="W117" i="6"/>
  <c r="V118" i="6"/>
  <c r="W118" i="6"/>
  <c r="V119" i="6"/>
  <c r="W119" i="6"/>
  <c r="V120" i="6"/>
  <c r="W120" i="6"/>
  <c r="V121" i="6"/>
  <c r="W121" i="6"/>
  <c r="V122" i="6"/>
  <c r="W122" i="6"/>
  <c r="V123" i="6"/>
  <c r="W123" i="6"/>
  <c r="V124" i="6"/>
  <c r="W124" i="6"/>
  <c r="V125" i="6"/>
  <c r="W125" i="6"/>
  <c r="V126" i="6"/>
  <c r="W126" i="6"/>
  <c r="V127" i="6"/>
  <c r="W127" i="6"/>
  <c r="V128" i="6"/>
  <c r="W128" i="6"/>
  <c r="V129" i="6"/>
  <c r="W129" i="6"/>
  <c r="V130" i="6"/>
  <c r="W130" i="6"/>
  <c r="V131" i="6"/>
  <c r="W131" i="6"/>
  <c r="V132" i="6"/>
  <c r="W132" i="6"/>
  <c r="V133" i="6"/>
  <c r="W133" i="6"/>
  <c r="V134" i="6"/>
  <c r="W134" i="6"/>
  <c r="V135" i="6"/>
  <c r="W135" i="6"/>
  <c r="V136" i="6"/>
  <c r="W136" i="6"/>
  <c r="V137" i="6"/>
  <c r="W137" i="6"/>
  <c r="V138" i="6"/>
  <c r="W138" i="6"/>
  <c r="V139" i="6"/>
  <c r="W139" i="6"/>
  <c r="V140" i="6"/>
  <c r="W140" i="6"/>
  <c r="V141" i="6"/>
  <c r="W141" i="6"/>
  <c r="V142" i="6"/>
  <c r="W142" i="6"/>
  <c r="V143" i="6"/>
  <c r="W143" i="6"/>
  <c r="V144" i="6"/>
  <c r="W144" i="6"/>
  <c r="V145" i="6"/>
  <c r="W145" i="6"/>
  <c r="V146" i="6"/>
  <c r="W146" i="6"/>
  <c r="V147" i="6"/>
  <c r="W147" i="6"/>
  <c r="V148" i="6"/>
  <c r="W148" i="6"/>
  <c r="V149" i="6"/>
  <c r="W149" i="6"/>
  <c r="V150" i="6"/>
  <c r="W150" i="6"/>
  <c r="V151" i="6"/>
  <c r="W151" i="6"/>
  <c r="V152" i="6"/>
  <c r="W152" i="6"/>
  <c r="V153" i="6"/>
  <c r="W153" i="6"/>
  <c r="V154" i="6"/>
  <c r="W154" i="6"/>
  <c r="V155" i="6"/>
  <c r="W155" i="6"/>
  <c r="V156" i="6"/>
  <c r="W156" i="6"/>
  <c r="V157" i="6"/>
  <c r="W157" i="6"/>
  <c r="V158" i="6"/>
  <c r="W158" i="6"/>
  <c r="V159" i="6"/>
  <c r="W159" i="6"/>
  <c r="V160" i="6"/>
  <c r="W160" i="6"/>
  <c r="V161" i="6"/>
  <c r="W161" i="6"/>
  <c r="V162" i="6"/>
  <c r="W162" i="6"/>
  <c r="V163" i="6"/>
  <c r="W163" i="6"/>
  <c r="V164" i="6"/>
  <c r="W164" i="6"/>
  <c r="V165" i="6"/>
  <c r="W165" i="6"/>
  <c r="V166" i="6"/>
  <c r="W166" i="6"/>
  <c r="V167" i="6"/>
  <c r="W167" i="6"/>
  <c r="V168" i="6"/>
  <c r="W168" i="6"/>
  <c r="V169" i="6"/>
  <c r="W169" i="6"/>
  <c r="V170" i="6"/>
  <c r="W170" i="6"/>
  <c r="V171" i="6"/>
  <c r="W171" i="6"/>
  <c r="V172" i="6"/>
  <c r="W172" i="6"/>
  <c r="V173" i="6"/>
  <c r="W173" i="6"/>
  <c r="V174" i="6"/>
  <c r="W174" i="6"/>
  <c r="V175" i="6"/>
  <c r="W175" i="6"/>
  <c r="V176" i="6"/>
  <c r="W176" i="6"/>
  <c r="V177" i="6"/>
  <c r="W177" i="6"/>
  <c r="V178" i="6"/>
  <c r="W178" i="6"/>
  <c r="V179" i="6"/>
  <c r="W179" i="6"/>
  <c r="V180" i="6"/>
  <c r="W180" i="6"/>
  <c r="V181" i="6"/>
  <c r="W181" i="6"/>
  <c r="V182" i="6"/>
  <c r="W182" i="6"/>
  <c r="V183" i="6"/>
  <c r="W183" i="6"/>
  <c r="V184" i="6"/>
  <c r="W184" i="6"/>
  <c r="V185" i="6"/>
  <c r="W185" i="6"/>
  <c r="V186" i="6"/>
  <c r="W186" i="6"/>
  <c r="V187" i="6"/>
  <c r="W187" i="6"/>
  <c r="V188" i="6"/>
  <c r="W188" i="6"/>
  <c r="V189" i="6"/>
  <c r="W189" i="6"/>
  <c r="V190" i="6"/>
  <c r="W190" i="6"/>
  <c r="V191" i="6"/>
  <c r="W191" i="6"/>
  <c r="V192" i="6"/>
  <c r="W192" i="6"/>
  <c r="V193" i="6"/>
  <c r="W193" i="6"/>
  <c r="V194" i="6"/>
  <c r="W194" i="6"/>
  <c r="V195" i="6"/>
  <c r="W195" i="6"/>
  <c r="V196" i="6"/>
  <c r="W196" i="6"/>
  <c r="V197" i="6"/>
  <c r="W197" i="6"/>
  <c r="V198" i="6"/>
  <c r="W198" i="6"/>
  <c r="V199" i="6"/>
  <c r="W199" i="6"/>
  <c r="V200" i="6"/>
  <c r="W200" i="6"/>
  <c r="V201" i="6"/>
  <c r="W201" i="6"/>
  <c r="V202" i="6"/>
  <c r="W202" i="6"/>
  <c r="V203" i="6"/>
  <c r="W203" i="6"/>
  <c r="V204" i="6"/>
  <c r="W204" i="6"/>
  <c r="V205" i="6"/>
  <c r="W205" i="6"/>
  <c r="V206" i="6"/>
  <c r="W206" i="6"/>
  <c r="V207" i="6"/>
  <c r="W207" i="6"/>
  <c r="V208" i="6"/>
  <c r="W208" i="6"/>
  <c r="V209" i="6"/>
  <c r="W209" i="6"/>
  <c r="V210" i="6"/>
  <c r="W210" i="6"/>
  <c r="V211" i="6"/>
  <c r="W211" i="6"/>
  <c r="V212" i="6"/>
  <c r="W212" i="6"/>
  <c r="V213" i="6"/>
  <c r="W213" i="6"/>
  <c r="V214" i="6"/>
  <c r="W214" i="6"/>
  <c r="V215" i="6"/>
  <c r="W215" i="6"/>
  <c r="V216" i="6"/>
  <c r="W216" i="6"/>
  <c r="V217" i="6"/>
  <c r="W217" i="6"/>
  <c r="V218" i="6"/>
  <c r="W218" i="6"/>
  <c r="V219" i="6"/>
  <c r="W219" i="6"/>
  <c r="V220" i="6"/>
  <c r="W220" i="6"/>
  <c r="V221" i="6"/>
  <c r="W221" i="6"/>
  <c r="V222" i="6"/>
  <c r="W222" i="6"/>
  <c r="V223" i="6"/>
  <c r="W223" i="6"/>
  <c r="V224" i="6"/>
  <c r="W224" i="6"/>
  <c r="V225" i="6"/>
  <c r="W225" i="6"/>
  <c r="V226" i="6"/>
  <c r="W226" i="6"/>
  <c r="V227" i="6"/>
  <c r="W227" i="6"/>
  <c r="V228" i="6"/>
  <c r="W228" i="6"/>
  <c r="V229" i="6"/>
  <c r="W229" i="6"/>
  <c r="V230" i="6"/>
  <c r="W230" i="6"/>
  <c r="V231" i="6"/>
  <c r="W231" i="6"/>
  <c r="V232" i="6"/>
  <c r="W232" i="6"/>
  <c r="V233" i="6"/>
  <c r="W233" i="6"/>
  <c r="V234" i="6"/>
  <c r="W234" i="6"/>
  <c r="V235" i="6"/>
  <c r="W235" i="6"/>
  <c r="V236" i="6"/>
  <c r="W236" i="6"/>
  <c r="V237" i="6"/>
  <c r="W237" i="6"/>
  <c r="V238" i="6"/>
  <c r="W238" i="6"/>
  <c r="V239" i="6"/>
  <c r="W239" i="6"/>
  <c r="V240" i="6"/>
  <c r="W240" i="6"/>
  <c r="V241" i="6"/>
  <c r="W241" i="6"/>
  <c r="V242" i="6"/>
  <c r="W242" i="6"/>
  <c r="V243" i="6"/>
  <c r="W243" i="6"/>
  <c r="V244" i="6"/>
  <c r="W244" i="6"/>
  <c r="V245" i="6"/>
  <c r="W245" i="6"/>
  <c r="V246" i="6"/>
  <c r="W246" i="6"/>
  <c r="V247" i="6"/>
  <c r="W247" i="6"/>
  <c r="V248" i="6"/>
  <c r="W248" i="6"/>
  <c r="V249" i="6"/>
  <c r="W249" i="6"/>
  <c r="V250" i="6"/>
  <c r="W250" i="6"/>
  <c r="V251" i="6"/>
  <c r="W251" i="6"/>
  <c r="V252" i="6"/>
  <c r="W252" i="6"/>
  <c r="V253" i="6"/>
  <c r="W253" i="6"/>
  <c r="V254" i="6"/>
  <c r="W254" i="6"/>
  <c r="V255" i="6"/>
  <c r="W255" i="6"/>
  <c r="V256" i="6"/>
  <c r="W256" i="6"/>
  <c r="V257" i="6"/>
  <c r="W257" i="6"/>
  <c r="V258" i="6"/>
  <c r="W258" i="6"/>
  <c r="V259" i="6"/>
  <c r="W259" i="6"/>
  <c r="V260" i="6"/>
  <c r="W260" i="6"/>
  <c r="V261" i="6"/>
  <c r="W261" i="6"/>
  <c r="V262" i="6"/>
  <c r="W262" i="6"/>
  <c r="V263" i="6"/>
  <c r="W263" i="6"/>
  <c r="V264" i="6"/>
  <c r="W264" i="6"/>
  <c r="V265" i="6"/>
  <c r="W265" i="6"/>
  <c r="V266" i="6"/>
  <c r="W266" i="6"/>
  <c r="V267" i="6"/>
  <c r="W267" i="6"/>
  <c r="V268" i="6"/>
  <c r="W268" i="6"/>
  <c r="V269" i="6"/>
  <c r="W269" i="6"/>
  <c r="V270" i="6"/>
  <c r="W270" i="6"/>
  <c r="V271" i="6"/>
  <c r="W271" i="6"/>
  <c r="V272" i="6"/>
  <c r="W272" i="6"/>
  <c r="V273" i="6"/>
  <c r="W273" i="6"/>
  <c r="V274" i="6"/>
  <c r="W274" i="6"/>
  <c r="V275" i="6"/>
  <c r="W275" i="6"/>
  <c r="V276" i="6"/>
  <c r="W276" i="6"/>
  <c r="V277" i="6"/>
  <c r="W277" i="6"/>
  <c r="V278" i="6"/>
  <c r="W278" i="6"/>
  <c r="V279" i="6"/>
  <c r="W279" i="6"/>
  <c r="V280" i="6"/>
  <c r="W280" i="6"/>
  <c r="V281" i="6"/>
  <c r="W281" i="6"/>
  <c r="V282" i="6"/>
  <c r="W282" i="6"/>
  <c r="V283" i="6"/>
  <c r="W283" i="6"/>
  <c r="V284" i="6"/>
  <c r="W284" i="6"/>
  <c r="V285" i="6"/>
  <c r="W285" i="6"/>
  <c r="V286" i="6"/>
  <c r="W286" i="6"/>
  <c r="V287" i="6"/>
  <c r="W287" i="6"/>
  <c r="V288" i="6"/>
  <c r="W288" i="6"/>
  <c r="V289" i="6"/>
  <c r="W289" i="6"/>
  <c r="V290" i="6"/>
  <c r="W290" i="6"/>
  <c r="V291" i="6"/>
  <c r="W291" i="6"/>
  <c r="V292" i="6"/>
  <c r="W292" i="6"/>
  <c r="V293" i="6"/>
  <c r="W293" i="6"/>
  <c r="V294" i="6"/>
  <c r="W294" i="6"/>
  <c r="V295" i="6"/>
  <c r="W295" i="6"/>
  <c r="V296" i="6"/>
  <c r="W296" i="6"/>
  <c r="V297" i="6"/>
  <c r="W297" i="6"/>
  <c r="V298" i="6"/>
  <c r="W298" i="6"/>
  <c r="V299" i="6"/>
  <c r="W299" i="6"/>
  <c r="V300" i="6"/>
  <c r="W300" i="6"/>
  <c r="V301" i="6"/>
  <c r="W301" i="6"/>
  <c r="V302" i="6"/>
  <c r="W302" i="6"/>
  <c r="V303" i="6"/>
  <c r="W303" i="6"/>
  <c r="V304" i="6"/>
  <c r="W304" i="6"/>
  <c r="V305" i="6"/>
  <c r="W305" i="6"/>
  <c r="V306" i="6"/>
  <c r="W306" i="6"/>
  <c r="V307" i="6"/>
  <c r="W307" i="6"/>
  <c r="V308" i="6"/>
  <c r="W308" i="6"/>
  <c r="V309" i="6"/>
  <c r="W309" i="6"/>
  <c r="V310" i="6"/>
  <c r="W310" i="6"/>
  <c r="V311" i="6"/>
  <c r="W311" i="6"/>
  <c r="V312" i="6"/>
  <c r="W312" i="6"/>
  <c r="V313" i="6"/>
  <c r="W313" i="6"/>
  <c r="V314" i="6"/>
  <c r="W314" i="6"/>
  <c r="V315" i="6"/>
  <c r="W315" i="6"/>
  <c r="V316" i="6"/>
  <c r="W316" i="6"/>
  <c r="V317" i="6"/>
  <c r="W317" i="6"/>
  <c r="V318" i="6"/>
  <c r="W318" i="6"/>
  <c r="V319" i="6"/>
  <c r="W319" i="6"/>
  <c r="V320" i="6"/>
  <c r="W320" i="6"/>
  <c r="V321" i="6"/>
  <c r="W321" i="6"/>
  <c r="V322" i="6"/>
  <c r="W322" i="6"/>
  <c r="V323" i="6"/>
  <c r="W323" i="6"/>
  <c r="V324" i="6"/>
  <c r="W324" i="6"/>
  <c r="V325" i="6"/>
  <c r="W325" i="6"/>
  <c r="V326" i="6"/>
  <c r="W326" i="6"/>
  <c r="V327" i="6"/>
  <c r="W327" i="6"/>
  <c r="V328" i="6"/>
  <c r="W328" i="6"/>
  <c r="V329" i="6"/>
  <c r="W329" i="6"/>
  <c r="V330" i="6"/>
  <c r="W330" i="6"/>
  <c r="V331" i="6"/>
  <c r="W331" i="6"/>
  <c r="V332" i="6"/>
  <c r="W332" i="6"/>
  <c r="V333" i="6"/>
  <c r="W333" i="6"/>
  <c r="V334" i="6"/>
  <c r="W334" i="6"/>
  <c r="V335" i="6"/>
  <c r="W335" i="6"/>
  <c r="V336" i="6"/>
  <c r="W336" i="6"/>
  <c r="V337" i="6"/>
  <c r="W337" i="6"/>
  <c r="V338" i="6"/>
  <c r="W338" i="6"/>
  <c r="V339" i="6"/>
  <c r="W339" i="6"/>
  <c r="V340" i="6"/>
  <c r="W340" i="6"/>
  <c r="V341" i="6"/>
  <c r="W341" i="6"/>
  <c r="V342" i="6"/>
  <c r="W342" i="6"/>
  <c r="V343" i="6"/>
  <c r="W343" i="6"/>
  <c r="V344" i="6"/>
  <c r="W344" i="6"/>
  <c r="V345" i="6"/>
  <c r="W345" i="6"/>
  <c r="V346" i="6"/>
  <c r="W346" i="6"/>
  <c r="V347" i="6"/>
  <c r="W347" i="6"/>
  <c r="V348" i="6"/>
  <c r="W348" i="6"/>
  <c r="V349" i="6"/>
  <c r="W349" i="6"/>
  <c r="V350" i="6"/>
  <c r="W350" i="6"/>
  <c r="V351" i="6"/>
  <c r="W351" i="6"/>
  <c r="V352" i="6"/>
  <c r="W352" i="6"/>
  <c r="V353" i="6"/>
  <c r="W353" i="6"/>
  <c r="V354" i="6"/>
  <c r="W354" i="6"/>
  <c r="V355" i="6"/>
  <c r="W355" i="6"/>
  <c r="V356" i="6"/>
  <c r="W356" i="6"/>
  <c r="V357" i="6"/>
  <c r="W357" i="6"/>
  <c r="V358" i="6"/>
  <c r="W358" i="6"/>
  <c r="V359" i="6"/>
  <c r="W359" i="6"/>
  <c r="V360" i="6"/>
  <c r="W360" i="6"/>
  <c r="V361" i="6"/>
  <c r="W361" i="6"/>
  <c r="V362" i="6"/>
  <c r="W362" i="6"/>
  <c r="V363" i="6"/>
  <c r="W363" i="6"/>
  <c r="V364" i="6"/>
  <c r="W364" i="6"/>
  <c r="V365" i="6"/>
  <c r="W365" i="6"/>
  <c r="V366" i="6"/>
  <c r="W366" i="6"/>
  <c r="V367" i="6"/>
  <c r="W367" i="6"/>
  <c r="V368" i="6"/>
  <c r="W368" i="6"/>
  <c r="V369" i="6"/>
  <c r="W369" i="6"/>
  <c r="V370" i="6"/>
  <c r="W370" i="6"/>
  <c r="V371" i="6"/>
  <c r="W371" i="6"/>
  <c r="V372" i="6"/>
  <c r="W372" i="6"/>
  <c r="V373" i="6"/>
  <c r="W373" i="6"/>
  <c r="V374" i="6"/>
  <c r="W374" i="6"/>
  <c r="V375" i="6"/>
  <c r="W375" i="6"/>
  <c r="V376" i="6"/>
  <c r="W376" i="6"/>
  <c r="V377" i="6"/>
  <c r="W377" i="6"/>
  <c r="V378" i="6"/>
  <c r="W378" i="6"/>
  <c r="V379" i="6"/>
  <c r="W379" i="6"/>
  <c r="V380" i="6"/>
  <c r="W380" i="6"/>
  <c r="V381" i="6"/>
  <c r="W381" i="6"/>
  <c r="V382" i="6"/>
  <c r="W382" i="6"/>
  <c r="V383" i="6"/>
  <c r="W383" i="6"/>
  <c r="V384" i="6"/>
  <c r="W384" i="6"/>
  <c r="V385" i="6"/>
  <c r="W385" i="6"/>
  <c r="V386" i="6"/>
  <c r="W386" i="6"/>
  <c r="V387" i="6"/>
  <c r="W387" i="6"/>
  <c r="V388" i="6"/>
  <c r="W388" i="6"/>
  <c r="V389" i="6"/>
  <c r="W389" i="6"/>
  <c r="V390" i="6"/>
  <c r="W390" i="6"/>
  <c r="V391" i="6"/>
  <c r="W391" i="6"/>
  <c r="V392" i="6"/>
  <c r="W392" i="6"/>
  <c r="V393" i="6"/>
  <c r="W393" i="6"/>
  <c r="V394" i="6"/>
  <c r="W394" i="6"/>
  <c r="V395" i="6"/>
  <c r="W395" i="6"/>
  <c r="V396" i="6"/>
  <c r="W396" i="6"/>
  <c r="V397" i="6"/>
  <c r="W397" i="6"/>
  <c r="V398" i="6"/>
  <c r="W398" i="6"/>
  <c r="V399" i="6"/>
  <c r="W399" i="6"/>
  <c r="V400" i="6"/>
  <c r="W400" i="6"/>
  <c r="V401" i="6"/>
  <c r="W401" i="6"/>
  <c r="V402" i="6"/>
  <c r="W402" i="6"/>
  <c r="V403" i="6"/>
  <c r="W403" i="6"/>
  <c r="V404" i="6"/>
  <c r="W404" i="6"/>
  <c r="V405" i="6"/>
  <c r="W405" i="6"/>
  <c r="V406" i="6"/>
  <c r="W406" i="6"/>
  <c r="V407" i="6"/>
  <c r="W407" i="6"/>
  <c r="V408" i="6"/>
  <c r="W408" i="6"/>
  <c r="V409" i="6"/>
  <c r="W409" i="6"/>
  <c r="V410" i="6"/>
  <c r="W410" i="6"/>
  <c r="V411" i="6"/>
  <c r="W411" i="6"/>
  <c r="V412" i="6"/>
  <c r="W412" i="6"/>
  <c r="V413" i="6"/>
  <c r="W413" i="6"/>
  <c r="V414" i="6"/>
  <c r="W414" i="6"/>
  <c r="V415" i="6"/>
  <c r="W415" i="6"/>
  <c r="V416" i="6"/>
  <c r="W416" i="6"/>
  <c r="V417" i="6"/>
  <c r="W417" i="6"/>
  <c r="V418" i="6"/>
  <c r="W418" i="6"/>
  <c r="V419" i="6"/>
  <c r="W419" i="6"/>
  <c r="V420" i="6"/>
  <c r="W420" i="6"/>
  <c r="V421" i="6"/>
  <c r="W421" i="6"/>
  <c r="V422" i="6"/>
  <c r="W422" i="6"/>
  <c r="V423" i="6"/>
  <c r="W423" i="6"/>
  <c r="V424" i="6"/>
  <c r="W424" i="6"/>
  <c r="V425" i="6"/>
  <c r="W425" i="6"/>
  <c r="V426" i="6"/>
  <c r="W426" i="6"/>
  <c r="V427" i="6"/>
  <c r="W427" i="6"/>
  <c r="V428" i="6"/>
  <c r="W428" i="6"/>
  <c r="V429" i="6"/>
  <c r="W429" i="6"/>
  <c r="V430" i="6"/>
  <c r="W430" i="6"/>
  <c r="V431" i="6"/>
  <c r="W431" i="6"/>
  <c r="V432" i="6"/>
  <c r="W432" i="6"/>
  <c r="V433" i="6"/>
  <c r="W433" i="6"/>
  <c r="V434" i="6"/>
  <c r="W434" i="6"/>
  <c r="V435" i="6"/>
  <c r="W435" i="6"/>
  <c r="V436" i="6"/>
  <c r="W436" i="6"/>
  <c r="V437" i="6"/>
  <c r="W437" i="6"/>
  <c r="V438" i="6"/>
  <c r="W438" i="6"/>
  <c r="V439" i="6"/>
  <c r="W439" i="6"/>
  <c r="V440" i="6"/>
  <c r="W440" i="6"/>
  <c r="V441" i="6"/>
  <c r="W441" i="6"/>
  <c r="V442" i="6"/>
  <c r="W442" i="6"/>
  <c r="V443" i="6"/>
  <c r="W443" i="6"/>
  <c r="V444" i="6"/>
  <c r="W444" i="6"/>
  <c r="V445" i="6"/>
  <c r="W445" i="6"/>
  <c r="V446" i="6"/>
  <c r="W446" i="6"/>
  <c r="V447" i="6"/>
  <c r="W447" i="6"/>
  <c r="V448" i="6"/>
  <c r="W448" i="6"/>
  <c r="V449" i="6"/>
  <c r="W449" i="6"/>
  <c r="V450" i="6"/>
  <c r="W450" i="6"/>
  <c r="V451" i="6"/>
  <c r="W451" i="6"/>
  <c r="V452" i="6"/>
  <c r="W452" i="6"/>
  <c r="V453" i="6"/>
  <c r="W453" i="6"/>
  <c r="V454" i="6"/>
  <c r="W454" i="6"/>
  <c r="V455" i="6"/>
  <c r="W455" i="6"/>
  <c r="V456" i="6"/>
  <c r="W456" i="6"/>
  <c r="V457" i="6"/>
  <c r="W457" i="6"/>
  <c r="V458" i="6"/>
  <c r="W458" i="6"/>
  <c r="V459" i="6"/>
  <c r="W459" i="6"/>
  <c r="V460" i="6"/>
  <c r="W460" i="6"/>
  <c r="V461" i="6"/>
  <c r="W461" i="6"/>
  <c r="V462" i="6"/>
  <c r="W462" i="6"/>
  <c r="V463" i="6"/>
  <c r="W463" i="6"/>
  <c r="V464" i="6"/>
  <c r="W464" i="6"/>
  <c r="V465" i="6"/>
  <c r="W465" i="6"/>
  <c r="V466" i="6"/>
  <c r="W466" i="6"/>
  <c r="V467" i="6"/>
  <c r="W467" i="6"/>
  <c r="V468" i="6"/>
  <c r="W468" i="6"/>
  <c r="V469" i="6"/>
  <c r="W469" i="6"/>
  <c r="V470" i="6"/>
  <c r="W470" i="6"/>
  <c r="V471" i="6"/>
  <c r="W471" i="6"/>
  <c r="V472" i="6"/>
  <c r="W472" i="6"/>
  <c r="V473" i="6"/>
  <c r="W473" i="6"/>
  <c r="V474" i="6"/>
  <c r="W474" i="6"/>
  <c r="V475" i="6"/>
  <c r="W475" i="6"/>
  <c r="V476" i="6"/>
  <c r="W476" i="6"/>
  <c r="V477" i="6"/>
  <c r="W477" i="6"/>
  <c r="V478" i="6"/>
  <c r="W478" i="6"/>
  <c r="V479" i="6"/>
  <c r="W479" i="6"/>
  <c r="V480" i="6"/>
  <c r="W480" i="6"/>
  <c r="V481" i="6"/>
  <c r="W481" i="6"/>
  <c r="V482" i="6"/>
  <c r="W482" i="6"/>
  <c r="V483" i="6"/>
  <c r="W483" i="6"/>
  <c r="V484" i="6"/>
  <c r="W484" i="6"/>
  <c r="V485" i="6"/>
  <c r="W485" i="6"/>
  <c r="V486" i="6"/>
  <c r="W486" i="6"/>
  <c r="V487" i="6"/>
  <c r="W487" i="6"/>
  <c r="V488" i="6"/>
  <c r="W488" i="6"/>
  <c r="V489" i="6"/>
  <c r="W489" i="6"/>
  <c r="V490" i="6"/>
  <c r="W490" i="6"/>
  <c r="V491" i="6"/>
  <c r="W491" i="6"/>
  <c r="V492" i="6"/>
  <c r="W492" i="6"/>
  <c r="V493" i="6"/>
  <c r="W493" i="6"/>
  <c r="V494" i="6"/>
  <c r="W494" i="6"/>
  <c r="V495" i="6"/>
  <c r="W495" i="6"/>
  <c r="V496" i="6"/>
  <c r="W496" i="6"/>
  <c r="V497" i="6"/>
  <c r="W497" i="6"/>
  <c r="V498" i="6"/>
  <c r="W498" i="6"/>
  <c r="V499" i="6"/>
  <c r="W499" i="6"/>
  <c r="V500" i="6"/>
  <c r="W500" i="6"/>
  <c r="V501" i="6"/>
  <c r="W501" i="6"/>
  <c r="V502" i="6"/>
  <c r="W502" i="6"/>
  <c r="V503" i="6"/>
  <c r="W503" i="6"/>
  <c r="V504" i="6"/>
  <c r="W504" i="6"/>
  <c r="V505" i="6"/>
  <c r="W505" i="6"/>
  <c r="V506" i="6"/>
  <c r="W506" i="6"/>
  <c r="V507" i="6"/>
  <c r="W507" i="6"/>
  <c r="V508" i="6"/>
  <c r="W508" i="6"/>
  <c r="V509" i="6"/>
  <c r="W509" i="6"/>
  <c r="V510" i="6"/>
  <c r="W510" i="6"/>
  <c r="V511" i="6"/>
  <c r="W511" i="6"/>
  <c r="V512" i="6"/>
  <c r="W512" i="6"/>
  <c r="V513" i="6"/>
  <c r="W513" i="6"/>
  <c r="V514" i="6"/>
  <c r="W514" i="6"/>
  <c r="V515" i="6"/>
  <c r="W515" i="6"/>
  <c r="V516" i="6"/>
  <c r="W516" i="6"/>
  <c r="V517" i="6"/>
  <c r="W517" i="6"/>
  <c r="V518" i="6"/>
  <c r="W518" i="6"/>
  <c r="V519" i="6"/>
  <c r="W519" i="6"/>
  <c r="V520" i="6"/>
  <c r="W520" i="6"/>
  <c r="V521" i="6"/>
  <c r="W521" i="6"/>
  <c r="V522" i="6"/>
  <c r="W522" i="6"/>
  <c r="V523" i="6"/>
  <c r="W523" i="6"/>
  <c r="V524" i="6"/>
  <c r="W524" i="6"/>
  <c r="V525" i="6"/>
  <c r="W525" i="6"/>
  <c r="V526" i="6"/>
  <c r="W526" i="6"/>
  <c r="V527" i="6"/>
  <c r="W527" i="6"/>
  <c r="V528" i="6"/>
  <c r="W528" i="6"/>
  <c r="V529" i="6"/>
  <c r="W529" i="6"/>
  <c r="V530" i="6"/>
  <c r="W530" i="6"/>
  <c r="V531" i="6"/>
  <c r="W531" i="6"/>
  <c r="V532" i="6"/>
  <c r="W532" i="6"/>
  <c r="V533" i="6"/>
  <c r="W533" i="6"/>
  <c r="V534" i="6"/>
  <c r="W534" i="6"/>
  <c r="V535" i="6"/>
  <c r="W535" i="6"/>
  <c r="V536" i="6"/>
  <c r="W536" i="6"/>
  <c r="V537" i="6"/>
  <c r="W537" i="6"/>
  <c r="V538" i="6"/>
  <c r="W538" i="6"/>
  <c r="V539" i="6"/>
  <c r="W539" i="6"/>
  <c r="V540" i="6"/>
  <c r="W540" i="6"/>
  <c r="V541" i="6"/>
  <c r="W541" i="6"/>
  <c r="V542" i="6"/>
  <c r="W542" i="6"/>
  <c r="V543" i="6"/>
  <c r="W543" i="6"/>
  <c r="V544" i="6"/>
  <c r="W544" i="6"/>
  <c r="V545" i="6"/>
  <c r="W545" i="6"/>
  <c r="V546" i="6"/>
  <c r="W546" i="6"/>
  <c r="V547" i="6"/>
  <c r="W547" i="6"/>
  <c r="V548" i="6"/>
  <c r="W548" i="6"/>
  <c r="V549" i="6"/>
  <c r="W549" i="6"/>
  <c r="V550" i="6"/>
  <c r="W550" i="6"/>
  <c r="V551" i="6"/>
  <c r="W551" i="6"/>
  <c r="V552" i="6"/>
  <c r="W552" i="6"/>
  <c r="V553" i="6"/>
  <c r="W553" i="6"/>
  <c r="V554" i="6"/>
  <c r="W554" i="6"/>
  <c r="V555" i="6"/>
  <c r="W555" i="6"/>
  <c r="V556" i="6"/>
  <c r="W556" i="6"/>
  <c r="V557" i="6"/>
  <c r="W557" i="6"/>
  <c r="V558" i="6"/>
  <c r="W558" i="6"/>
  <c r="V559" i="6"/>
  <c r="W559" i="6"/>
  <c r="V560" i="6"/>
  <c r="W560" i="6"/>
  <c r="V561" i="6"/>
  <c r="W561" i="6"/>
  <c r="V562" i="6"/>
  <c r="W562" i="6"/>
  <c r="V563" i="6"/>
  <c r="W563" i="6"/>
  <c r="V564" i="6"/>
  <c r="W564" i="6"/>
  <c r="V565" i="6"/>
  <c r="W565" i="6"/>
  <c r="V566" i="6"/>
  <c r="W566" i="6"/>
  <c r="V567" i="6"/>
  <c r="W567" i="6"/>
  <c r="V568" i="6"/>
  <c r="W568" i="6"/>
  <c r="V569" i="6"/>
  <c r="W569" i="6"/>
  <c r="V570" i="6"/>
  <c r="W570" i="6"/>
  <c r="V571" i="6"/>
  <c r="W571" i="6"/>
  <c r="V572" i="6"/>
  <c r="W572" i="6"/>
  <c r="V573" i="6"/>
  <c r="W573" i="6"/>
  <c r="V574" i="6"/>
  <c r="W574" i="6"/>
  <c r="V575" i="6"/>
  <c r="W575" i="6"/>
  <c r="V576" i="6"/>
  <c r="W576" i="6"/>
  <c r="V577" i="6"/>
  <c r="W577" i="6"/>
  <c r="V578" i="6"/>
  <c r="W578" i="6"/>
  <c r="V579" i="6"/>
  <c r="W579" i="6"/>
  <c r="V580" i="6"/>
  <c r="W580" i="6"/>
  <c r="V581" i="6"/>
  <c r="W581" i="6"/>
  <c r="V582" i="6"/>
  <c r="W582" i="6"/>
  <c r="V583" i="6"/>
  <c r="W583" i="6"/>
  <c r="V584" i="6"/>
  <c r="W584" i="6"/>
  <c r="V585" i="6"/>
  <c r="W585" i="6"/>
  <c r="V586" i="6"/>
  <c r="W586" i="6"/>
  <c r="V587" i="6"/>
  <c r="W587" i="6"/>
  <c r="V588" i="6"/>
  <c r="W588" i="6"/>
  <c r="V589" i="6"/>
  <c r="W589" i="6"/>
  <c r="V590" i="6"/>
  <c r="W590" i="6"/>
  <c r="V591" i="6"/>
  <c r="W591" i="6"/>
  <c r="V592" i="6"/>
  <c r="W592" i="6"/>
  <c r="V593" i="6"/>
  <c r="W593" i="6"/>
  <c r="V594" i="6"/>
  <c r="W594" i="6"/>
  <c r="V595" i="6"/>
  <c r="W595" i="6"/>
  <c r="V596" i="6"/>
  <c r="W596" i="6"/>
  <c r="V597" i="6"/>
  <c r="W597" i="6"/>
  <c r="V598" i="6"/>
  <c r="W598" i="6"/>
  <c r="V599" i="6"/>
  <c r="W599" i="6"/>
  <c r="V600" i="6"/>
  <c r="W600" i="6"/>
  <c r="V601" i="6"/>
  <c r="W601" i="6"/>
  <c r="V602" i="6"/>
  <c r="W602" i="6"/>
  <c r="V603" i="6"/>
  <c r="W603" i="6"/>
  <c r="V604" i="6"/>
  <c r="W604" i="6"/>
  <c r="V605" i="6"/>
  <c r="W605" i="6"/>
  <c r="V606" i="6"/>
  <c r="W606" i="6"/>
  <c r="V607" i="6"/>
  <c r="W607" i="6"/>
  <c r="V608" i="6"/>
  <c r="W608" i="6"/>
  <c r="V609" i="6"/>
  <c r="W609" i="6"/>
  <c r="V610" i="6"/>
  <c r="W610" i="6"/>
  <c r="V611" i="6"/>
  <c r="W611" i="6"/>
  <c r="V612" i="6"/>
  <c r="W612" i="6"/>
  <c r="V613" i="6"/>
  <c r="W613" i="6"/>
  <c r="V614" i="6"/>
  <c r="W614" i="6"/>
  <c r="V615" i="6"/>
  <c r="W615" i="6"/>
  <c r="V616" i="6"/>
  <c r="W616" i="6"/>
  <c r="V617" i="6"/>
  <c r="W617" i="6"/>
  <c r="V618" i="6"/>
  <c r="W618" i="6"/>
  <c r="V619" i="6"/>
  <c r="W619" i="6"/>
  <c r="V620" i="6"/>
  <c r="W620" i="6"/>
  <c r="V621" i="6"/>
  <c r="W621" i="6"/>
  <c r="V622" i="6"/>
  <c r="W622" i="6"/>
  <c r="V623" i="6"/>
  <c r="W623" i="6"/>
  <c r="V624" i="6"/>
  <c r="W624" i="6"/>
  <c r="V625" i="6"/>
  <c r="W625" i="6"/>
  <c r="V626" i="6"/>
  <c r="W626" i="6"/>
  <c r="V627" i="6"/>
  <c r="W627" i="6"/>
  <c r="V628" i="6"/>
  <c r="W628" i="6"/>
  <c r="V629" i="6"/>
  <c r="W629" i="6"/>
  <c r="V630" i="6"/>
  <c r="W630" i="6"/>
  <c r="V631" i="6"/>
  <c r="W631" i="6"/>
  <c r="V632" i="6"/>
  <c r="W632" i="6"/>
  <c r="V633" i="6"/>
  <c r="W633" i="6"/>
  <c r="V634" i="6"/>
  <c r="W634" i="6"/>
  <c r="V635" i="6"/>
  <c r="W635" i="6"/>
  <c r="V636" i="6"/>
  <c r="W636" i="6"/>
  <c r="V637" i="6"/>
  <c r="W637" i="6"/>
  <c r="V638" i="6"/>
  <c r="W638" i="6"/>
  <c r="V639" i="6"/>
  <c r="W639" i="6"/>
  <c r="V640" i="6"/>
  <c r="W640" i="6"/>
  <c r="V641" i="6"/>
  <c r="W641" i="6"/>
  <c r="V642" i="6"/>
  <c r="W642" i="6"/>
  <c r="V643" i="6"/>
  <c r="W643" i="6"/>
  <c r="V644" i="6"/>
  <c r="W644" i="6"/>
  <c r="V645" i="6"/>
  <c r="W645" i="6"/>
  <c r="V646" i="6"/>
  <c r="W646" i="6"/>
  <c r="V647" i="6"/>
  <c r="W647" i="6"/>
  <c r="V648" i="6"/>
  <c r="W648" i="6"/>
  <c r="V649" i="6"/>
  <c r="W649" i="6"/>
  <c r="V650" i="6"/>
  <c r="W650" i="6"/>
  <c r="V651" i="6"/>
  <c r="W651" i="6"/>
  <c r="V652" i="6"/>
  <c r="W652" i="6"/>
  <c r="V653" i="6"/>
  <c r="W653" i="6"/>
  <c r="V654" i="6"/>
  <c r="W654" i="6"/>
  <c r="V655" i="6"/>
  <c r="W655" i="6"/>
  <c r="V656" i="6"/>
  <c r="W656" i="6"/>
  <c r="V657" i="6"/>
  <c r="W657" i="6"/>
  <c r="V658" i="6"/>
  <c r="W658" i="6"/>
  <c r="V659" i="6"/>
  <c r="W659" i="6"/>
  <c r="V660" i="6"/>
  <c r="W660" i="6"/>
  <c r="V661" i="6"/>
  <c r="W661" i="6"/>
  <c r="V662" i="6"/>
  <c r="W662" i="6"/>
  <c r="V663" i="6"/>
  <c r="W663" i="6"/>
  <c r="V664" i="6"/>
  <c r="W664" i="6"/>
  <c r="V665" i="6"/>
  <c r="W665" i="6"/>
  <c r="V666" i="6"/>
  <c r="W666" i="6"/>
  <c r="V667" i="6"/>
  <c r="W667" i="6"/>
  <c r="V668" i="6"/>
  <c r="W668" i="6"/>
  <c r="V669" i="6"/>
  <c r="W669" i="6"/>
  <c r="V670" i="6"/>
  <c r="W670" i="6"/>
  <c r="V671" i="6"/>
  <c r="W671" i="6"/>
  <c r="V672" i="6"/>
  <c r="W672" i="6"/>
  <c r="V673" i="6"/>
  <c r="W673" i="6"/>
  <c r="V674" i="6"/>
  <c r="W674" i="6"/>
  <c r="V675" i="6"/>
  <c r="W675" i="6"/>
  <c r="V676" i="6"/>
  <c r="W676" i="6"/>
  <c r="V677" i="6"/>
  <c r="W677" i="6"/>
  <c r="V678" i="6"/>
  <c r="W678" i="6"/>
  <c r="V679" i="6"/>
  <c r="W679" i="6"/>
  <c r="V680" i="6"/>
  <c r="W680" i="6"/>
  <c r="V681" i="6"/>
  <c r="W681" i="6"/>
  <c r="V682" i="6"/>
  <c r="W682" i="6"/>
  <c r="P8" i="6"/>
  <c r="Q8" i="6" s="1"/>
  <c r="R8" i="6"/>
  <c r="S8" i="6"/>
  <c r="P9" i="6"/>
  <c r="Q9" i="6"/>
  <c r="R9" i="6"/>
  <c r="S9" i="6"/>
  <c r="P10" i="6"/>
  <c r="Q10" i="6" s="1"/>
  <c r="R10" i="6"/>
  <c r="S10" i="6"/>
  <c r="P11" i="6"/>
  <c r="Q11" i="6"/>
  <c r="R11" i="6"/>
  <c r="S11" i="6"/>
  <c r="P12" i="6"/>
  <c r="Q12" i="6" s="1"/>
  <c r="R12" i="6"/>
  <c r="S12" i="6"/>
  <c r="P13" i="6"/>
  <c r="Q13" i="6" s="1"/>
  <c r="R13" i="6"/>
  <c r="S13" i="6"/>
  <c r="P14" i="6"/>
  <c r="Q14" i="6" s="1"/>
  <c r="R14" i="6"/>
  <c r="S14" i="6"/>
  <c r="P15" i="6"/>
  <c r="Q15" i="6"/>
  <c r="R15" i="6"/>
  <c r="S15" i="6"/>
  <c r="P16" i="6"/>
  <c r="Q16" i="6" s="1"/>
  <c r="R16" i="6"/>
  <c r="S16" i="6"/>
  <c r="P17" i="6"/>
  <c r="Q17" i="6" s="1"/>
  <c r="R17" i="6"/>
  <c r="S17" i="6"/>
  <c r="P18" i="6"/>
  <c r="Q18" i="6" s="1"/>
  <c r="R18" i="6"/>
  <c r="S18" i="6"/>
  <c r="P19" i="6"/>
  <c r="Q19" i="6" s="1"/>
  <c r="R19" i="6"/>
  <c r="S19" i="6"/>
  <c r="P20" i="6"/>
  <c r="Q20" i="6" s="1"/>
  <c r="R20" i="6"/>
  <c r="S20" i="6"/>
  <c r="P21" i="6"/>
  <c r="Q21" i="6"/>
  <c r="R21" i="6"/>
  <c r="S21" i="6"/>
  <c r="P22" i="6"/>
  <c r="Q22" i="6" s="1"/>
  <c r="R22" i="6"/>
  <c r="S22" i="6"/>
  <c r="P23" i="6"/>
  <c r="Q23" i="6" s="1"/>
  <c r="R23" i="6"/>
  <c r="S23" i="6"/>
  <c r="P24" i="6"/>
  <c r="Q24" i="6" s="1"/>
  <c r="R24" i="6"/>
  <c r="S24" i="6"/>
  <c r="P25" i="6"/>
  <c r="Q25" i="6" s="1"/>
  <c r="R25" i="6"/>
  <c r="S25" i="6"/>
  <c r="P26" i="6"/>
  <c r="Q26" i="6" s="1"/>
  <c r="R26" i="6"/>
  <c r="S26" i="6"/>
  <c r="P27" i="6"/>
  <c r="Q27" i="6"/>
  <c r="R27" i="6"/>
  <c r="S27" i="6"/>
  <c r="P28" i="6"/>
  <c r="Q28" i="6" s="1"/>
  <c r="R28" i="6"/>
  <c r="S28" i="6"/>
  <c r="P29" i="6"/>
  <c r="Q29" i="6" s="1"/>
  <c r="R29" i="6"/>
  <c r="S29" i="6"/>
  <c r="P30" i="6"/>
  <c r="Q30" i="6" s="1"/>
  <c r="R30" i="6"/>
  <c r="S30" i="6"/>
  <c r="P31" i="6"/>
  <c r="Q31" i="6"/>
  <c r="R31" i="6"/>
  <c r="S31" i="6"/>
  <c r="P32" i="6"/>
  <c r="Q32" i="6" s="1"/>
  <c r="R32" i="6"/>
  <c r="S32" i="6"/>
  <c r="P33" i="6"/>
  <c r="Q33" i="6" s="1"/>
  <c r="R33" i="6"/>
  <c r="S33" i="6"/>
  <c r="P34" i="6"/>
  <c r="Q34" i="6" s="1"/>
  <c r="R34" i="6"/>
  <c r="S34" i="6"/>
  <c r="P35" i="6"/>
  <c r="Q35" i="6" s="1"/>
  <c r="R35" i="6"/>
  <c r="S35" i="6"/>
  <c r="P36" i="6"/>
  <c r="Q36" i="6" s="1"/>
  <c r="R36" i="6"/>
  <c r="S36" i="6"/>
  <c r="P37" i="6"/>
  <c r="Q37" i="6"/>
  <c r="R37" i="6"/>
  <c r="S37" i="6"/>
  <c r="P38" i="6"/>
  <c r="Q38" i="6" s="1"/>
  <c r="R38" i="6"/>
  <c r="S38" i="6"/>
  <c r="P39" i="6"/>
  <c r="Q39" i="6" s="1"/>
  <c r="R39" i="6"/>
  <c r="S39" i="6"/>
  <c r="P40" i="6"/>
  <c r="Q40" i="6" s="1"/>
  <c r="R40" i="6"/>
  <c r="S40" i="6"/>
  <c r="P41" i="6"/>
  <c r="Q41" i="6"/>
  <c r="R41" i="6"/>
  <c r="S41" i="6"/>
  <c r="P42" i="6"/>
  <c r="Q42" i="6" s="1"/>
  <c r="R42" i="6"/>
  <c r="S42" i="6"/>
  <c r="P43" i="6"/>
  <c r="Q43" i="6"/>
  <c r="R43" i="6"/>
  <c r="S43" i="6"/>
  <c r="P44" i="6"/>
  <c r="Q44" i="6" s="1"/>
  <c r="R44" i="6"/>
  <c r="S44" i="6"/>
  <c r="P45" i="6"/>
  <c r="Q45" i="6" s="1"/>
  <c r="R45" i="6"/>
  <c r="S45" i="6"/>
  <c r="P46" i="6"/>
  <c r="Q46" i="6" s="1"/>
  <c r="R46" i="6"/>
  <c r="S46" i="6"/>
  <c r="P47" i="6"/>
  <c r="Q47" i="6"/>
  <c r="R47" i="6"/>
  <c r="S47" i="6"/>
  <c r="P48" i="6"/>
  <c r="Q48" i="6" s="1"/>
  <c r="R48" i="6"/>
  <c r="S48" i="6"/>
  <c r="P49" i="6"/>
  <c r="Q49" i="6" s="1"/>
  <c r="R49" i="6"/>
  <c r="S49" i="6" s="1"/>
  <c r="P50" i="6"/>
  <c r="Q50" i="6" s="1"/>
  <c r="R50" i="6"/>
  <c r="S50" i="6"/>
  <c r="P51" i="6"/>
  <c r="Q51" i="6"/>
  <c r="R51" i="6"/>
  <c r="S51" i="6"/>
  <c r="P52" i="6"/>
  <c r="Q52" i="6" s="1"/>
  <c r="R52" i="6"/>
  <c r="S52" i="6"/>
  <c r="P53" i="6"/>
  <c r="Q53" i="6"/>
  <c r="R53" i="6"/>
  <c r="S53" i="6" s="1"/>
  <c r="P54" i="6"/>
  <c r="Q54" i="6" s="1"/>
  <c r="R54" i="6"/>
  <c r="S54" i="6"/>
  <c r="P55" i="6"/>
  <c r="Q55" i="6" s="1"/>
  <c r="R55" i="6"/>
  <c r="S55" i="6"/>
  <c r="P56" i="6"/>
  <c r="Q56" i="6" s="1"/>
  <c r="R56" i="6"/>
  <c r="S56" i="6"/>
  <c r="P57" i="6"/>
  <c r="Q57" i="6" s="1"/>
  <c r="R57" i="6"/>
  <c r="S57" i="6"/>
  <c r="P58" i="6"/>
  <c r="Q58" i="6" s="1"/>
  <c r="R58" i="6"/>
  <c r="S58" i="6"/>
  <c r="P59" i="6"/>
  <c r="Q59" i="6"/>
  <c r="R59" i="6"/>
  <c r="S59" i="6" s="1"/>
  <c r="P60" i="6"/>
  <c r="Q60" i="6" s="1"/>
  <c r="R60" i="6"/>
  <c r="S60" i="6"/>
  <c r="P61" i="6"/>
  <c r="Q61" i="6" s="1"/>
  <c r="R61" i="6"/>
  <c r="S61" i="6"/>
  <c r="P62" i="6"/>
  <c r="Q62" i="6" s="1"/>
  <c r="R62" i="6"/>
  <c r="S62" i="6"/>
  <c r="P63" i="6"/>
  <c r="Q63" i="6"/>
  <c r="R63" i="6"/>
  <c r="S63" i="6"/>
  <c r="P64" i="6"/>
  <c r="Q64" i="6" s="1"/>
  <c r="R64" i="6"/>
  <c r="S64" i="6"/>
  <c r="P65" i="6"/>
  <c r="Q65" i="6" s="1"/>
  <c r="R65" i="6"/>
  <c r="S65" i="6" s="1"/>
  <c r="P66" i="6"/>
  <c r="Q66" i="6" s="1"/>
  <c r="R66" i="6"/>
  <c r="S66" i="6"/>
  <c r="P67" i="6"/>
  <c r="Q67" i="6" s="1"/>
  <c r="R67" i="6"/>
  <c r="S67" i="6"/>
  <c r="P68" i="6"/>
  <c r="Q68" i="6" s="1"/>
  <c r="R68" i="6"/>
  <c r="S68" i="6"/>
  <c r="P69" i="6"/>
  <c r="Q69" i="6"/>
  <c r="R69" i="6"/>
  <c r="S69" i="6" s="1"/>
  <c r="P70" i="6"/>
  <c r="Q70" i="6" s="1"/>
  <c r="R70" i="6"/>
  <c r="S70" i="6"/>
  <c r="P71" i="6"/>
  <c r="Q71" i="6" s="1"/>
  <c r="R71" i="6"/>
  <c r="S71" i="6" s="1"/>
  <c r="P72" i="6"/>
  <c r="Q72" i="6" s="1"/>
  <c r="R72" i="6"/>
  <c r="S72" i="6"/>
  <c r="P73" i="6"/>
  <c r="Q73" i="6"/>
  <c r="R73" i="6"/>
  <c r="S73" i="6"/>
  <c r="P74" i="6"/>
  <c r="Q74" i="6" s="1"/>
  <c r="R74" i="6"/>
  <c r="S74" i="6"/>
  <c r="P75" i="6"/>
  <c r="Q75" i="6"/>
  <c r="R75" i="6"/>
  <c r="S75" i="6" s="1"/>
  <c r="P76" i="6"/>
  <c r="Q76" i="6" s="1"/>
  <c r="R76" i="6"/>
  <c r="S76" i="6"/>
  <c r="P77" i="6"/>
  <c r="Q77" i="6" s="1"/>
  <c r="R77" i="6"/>
  <c r="S77" i="6" s="1"/>
  <c r="P78" i="6"/>
  <c r="Q78" i="6" s="1"/>
  <c r="R78" i="6"/>
  <c r="S78" i="6"/>
  <c r="P79" i="6"/>
  <c r="Q79" i="6"/>
  <c r="R79" i="6"/>
  <c r="S79" i="6"/>
  <c r="P80" i="6"/>
  <c r="Q80" i="6" s="1"/>
  <c r="R80" i="6"/>
  <c r="S80" i="6"/>
  <c r="P81" i="6"/>
  <c r="Q81" i="6" s="1"/>
  <c r="R81" i="6"/>
  <c r="S81" i="6" s="1"/>
  <c r="P82" i="6"/>
  <c r="Q82" i="6" s="1"/>
  <c r="R82" i="6"/>
  <c r="S82" i="6"/>
  <c r="P83" i="6"/>
  <c r="Q83" i="6" s="1"/>
  <c r="R83" i="6"/>
  <c r="S83" i="6"/>
  <c r="P84" i="6"/>
  <c r="Q84" i="6" s="1"/>
  <c r="R84" i="6"/>
  <c r="S84" i="6"/>
  <c r="P85" i="6"/>
  <c r="Q85" i="6"/>
  <c r="R85" i="6"/>
  <c r="S85" i="6" s="1"/>
  <c r="P86" i="6"/>
  <c r="Q86" i="6" s="1"/>
  <c r="R86" i="6"/>
  <c r="S86" i="6"/>
  <c r="P87" i="6"/>
  <c r="Q87" i="6" s="1"/>
  <c r="R87" i="6"/>
  <c r="S87" i="6" s="1"/>
  <c r="P88" i="6"/>
  <c r="Q88" i="6" s="1"/>
  <c r="R88" i="6"/>
  <c r="S88" i="6"/>
  <c r="P89" i="6"/>
  <c r="Q89" i="6" s="1"/>
  <c r="R89" i="6"/>
  <c r="S89" i="6"/>
  <c r="P90" i="6"/>
  <c r="Q90" i="6" s="1"/>
  <c r="R90" i="6"/>
  <c r="S90" i="6"/>
  <c r="P91" i="6"/>
  <c r="Q91" i="6"/>
  <c r="R91" i="6"/>
  <c r="S91" i="6" s="1"/>
  <c r="P92" i="6"/>
  <c r="Q92" i="6" s="1"/>
  <c r="R92" i="6"/>
  <c r="S92" i="6"/>
  <c r="P93" i="6"/>
  <c r="Q93" i="6" s="1"/>
  <c r="R93" i="6"/>
  <c r="S93" i="6"/>
  <c r="P94" i="6"/>
  <c r="Q94" i="6" s="1"/>
  <c r="R94" i="6"/>
  <c r="S94" i="6"/>
  <c r="P95" i="6"/>
  <c r="Q95" i="6"/>
  <c r="R95" i="6"/>
  <c r="S95" i="6"/>
  <c r="P96" i="6"/>
  <c r="Q96" i="6" s="1"/>
  <c r="R96" i="6"/>
  <c r="S96" i="6"/>
  <c r="P97" i="6"/>
  <c r="Q97" i="6" s="1"/>
  <c r="R97" i="6"/>
  <c r="S97" i="6" s="1"/>
  <c r="P98" i="6"/>
  <c r="Q98" i="6" s="1"/>
  <c r="R98" i="6"/>
  <c r="S98" i="6"/>
  <c r="P99" i="6"/>
  <c r="Q99" i="6"/>
  <c r="R99" i="6"/>
  <c r="S99" i="6"/>
  <c r="P100" i="6"/>
  <c r="Q100" i="6" s="1"/>
  <c r="R100" i="6"/>
  <c r="S100" i="6"/>
  <c r="P101" i="6"/>
  <c r="Q101" i="6"/>
  <c r="R101" i="6"/>
  <c r="S101" i="6" s="1"/>
  <c r="P102" i="6"/>
  <c r="Q102" i="6" s="1"/>
  <c r="R102" i="6"/>
  <c r="S102" i="6"/>
  <c r="P103" i="6"/>
  <c r="Q103" i="6" s="1"/>
  <c r="R103" i="6"/>
  <c r="S103" i="6" s="1"/>
  <c r="P104" i="6"/>
  <c r="Q104" i="6" s="1"/>
  <c r="R104" i="6"/>
  <c r="S104" i="6"/>
  <c r="P105" i="6"/>
  <c r="Q105" i="6"/>
  <c r="R105" i="6"/>
  <c r="S105" i="6"/>
  <c r="P106" i="6"/>
  <c r="Q106" i="6" s="1"/>
  <c r="R106" i="6"/>
  <c r="S106" i="6"/>
  <c r="P107" i="6"/>
  <c r="Q107" i="6"/>
  <c r="R107" i="6"/>
  <c r="S107" i="6" s="1"/>
  <c r="P108" i="6"/>
  <c r="Q108" i="6" s="1"/>
  <c r="R108" i="6"/>
  <c r="S108" i="6"/>
  <c r="P109" i="6"/>
  <c r="Q109" i="6" s="1"/>
  <c r="R109" i="6"/>
  <c r="S109" i="6"/>
  <c r="P110" i="6"/>
  <c r="Q110" i="6" s="1"/>
  <c r="R110" i="6"/>
  <c r="S110" i="6"/>
  <c r="P111" i="6"/>
  <c r="Q111" i="6"/>
  <c r="R111" i="6"/>
  <c r="S111" i="6"/>
  <c r="P112" i="6"/>
  <c r="Q112" i="6" s="1"/>
  <c r="R112" i="6"/>
  <c r="S112" i="6"/>
  <c r="P113" i="6"/>
  <c r="Q113" i="6" s="1"/>
  <c r="R113" i="6"/>
  <c r="S113" i="6" s="1"/>
  <c r="P114" i="6"/>
  <c r="Q114" i="6" s="1"/>
  <c r="R114" i="6"/>
  <c r="S114" i="6"/>
  <c r="P115" i="6"/>
  <c r="Q115" i="6" s="1"/>
  <c r="R115" i="6"/>
  <c r="S115" i="6"/>
  <c r="P116" i="6"/>
  <c r="Q116" i="6" s="1"/>
  <c r="R116" i="6"/>
  <c r="S116" i="6"/>
  <c r="P117" i="6"/>
  <c r="Q117" i="6"/>
  <c r="R117" i="6"/>
  <c r="S117" i="6" s="1"/>
  <c r="P118" i="6"/>
  <c r="Q118" i="6" s="1"/>
  <c r="R118" i="6"/>
  <c r="S118" i="6"/>
  <c r="P119" i="6"/>
  <c r="Q119" i="6" s="1"/>
  <c r="R119" i="6"/>
  <c r="S119" i="6"/>
  <c r="P120" i="6"/>
  <c r="Q120" i="6" s="1"/>
  <c r="R120" i="6"/>
  <c r="S120" i="6"/>
  <c r="P121" i="6"/>
  <c r="Q121" i="6" s="1"/>
  <c r="R121" i="6"/>
  <c r="S121" i="6"/>
  <c r="P122" i="6"/>
  <c r="Q122" i="6" s="1"/>
  <c r="R122" i="6"/>
  <c r="S122" i="6"/>
  <c r="P123" i="6"/>
  <c r="Q123" i="6"/>
  <c r="R123" i="6"/>
  <c r="S123" i="6" s="1"/>
  <c r="P124" i="6"/>
  <c r="Q124" i="6" s="1"/>
  <c r="R124" i="6"/>
  <c r="S124" i="6" s="1"/>
  <c r="P125" i="6"/>
  <c r="Q125" i="6" s="1"/>
  <c r="R125" i="6"/>
  <c r="S125" i="6"/>
  <c r="P126" i="6"/>
  <c r="Q126" i="6" s="1"/>
  <c r="R126" i="6"/>
  <c r="S126" i="6" s="1"/>
  <c r="P127" i="6"/>
  <c r="Q127" i="6"/>
  <c r="R127" i="6"/>
  <c r="S127" i="6"/>
  <c r="P128" i="6"/>
  <c r="Q128" i="6" s="1"/>
  <c r="R128" i="6"/>
  <c r="S128" i="6"/>
  <c r="P129" i="6"/>
  <c r="Q129" i="6" s="1"/>
  <c r="R129" i="6"/>
  <c r="S129" i="6" s="1"/>
  <c r="P130" i="6"/>
  <c r="Q130" i="6" s="1"/>
  <c r="R130" i="6"/>
  <c r="S130" i="6" s="1"/>
  <c r="P131" i="6"/>
  <c r="Q131" i="6"/>
  <c r="R131" i="6"/>
  <c r="S131" i="6"/>
  <c r="P132" i="6"/>
  <c r="Q132" i="6" s="1"/>
  <c r="R132" i="6"/>
  <c r="S132" i="6"/>
  <c r="P133" i="6"/>
  <c r="Q133" i="6"/>
  <c r="R133" i="6"/>
  <c r="S133" i="6" s="1"/>
  <c r="P134" i="6"/>
  <c r="Q134" i="6" s="1"/>
  <c r="R134" i="6"/>
  <c r="S134" i="6"/>
  <c r="P135" i="6"/>
  <c r="Q135" i="6" s="1"/>
  <c r="R135" i="6"/>
  <c r="S135" i="6" s="1"/>
  <c r="P136" i="6"/>
  <c r="Q136" i="6" s="1"/>
  <c r="R136" i="6"/>
  <c r="S136" i="6" s="1"/>
  <c r="P137" i="6"/>
  <c r="Q137" i="6" s="1"/>
  <c r="R137" i="6"/>
  <c r="S137" i="6"/>
  <c r="P138" i="6"/>
  <c r="Q138" i="6" s="1"/>
  <c r="R138" i="6"/>
  <c r="S138" i="6"/>
  <c r="P139" i="6"/>
  <c r="Q139" i="6"/>
  <c r="R139" i="6"/>
  <c r="S139" i="6" s="1"/>
  <c r="P140" i="6"/>
  <c r="Q140" i="6" s="1"/>
  <c r="R140" i="6"/>
  <c r="S140" i="6" s="1"/>
  <c r="P141" i="6"/>
  <c r="Q141" i="6" s="1"/>
  <c r="R141" i="6"/>
  <c r="S141" i="6" s="1"/>
  <c r="P142" i="6"/>
  <c r="Q142" i="6" s="1"/>
  <c r="R142" i="6"/>
  <c r="S142" i="6" s="1"/>
  <c r="P143" i="6"/>
  <c r="Q143" i="6"/>
  <c r="R143" i="6"/>
  <c r="S143" i="6"/>
  <c r="P144" i="6"/>
  <c r="Q144" i="6" s="1"/>
  <c r="R144" i="6"/>
  <c r="S144" i="6"/>
  <c r="P145" i="6"/>
  <c r="Q145" i="6" s="1"/>
  <c r="R145" i="6"/>
  <c r="S145" i="6" s="1"/>
  <c r="P146" i="6"/>
  <c r="Q146" i="6" s="1"/>
  <c r="R146" i="6"/>
  <c r="S146" i="6" s="1"/>
  <c r="P147" i="6"/>
  <c r="Q147" i="6" s="1"/>
  <c r="R147" i="6"/>
  <c r="S147" i="6"/>
  <c r="P148" i="6"/>
  <c r="Q148" i="6" s="1"/>
  <c r="R148" i="6"/>
  <c r="S148" i="6" s="1"/>
  <c r="P149" i="6"/>
  <c r="Q149" i="6"/>
  <c r="R149" i="6"/>
  <c r="S149" i="6" s="1"/>
  <c r="P150" i="6"/>
  <c r="Q150" i="6" s="1"/>
  <c r="R150" i="6"/>
  <c r="S150" i="6"/>
  <c r="P151" i="6"/>
  <c r="Q151" i="6" s="1"/>
  <c r="R151" i="6"/>
  <c r="S151" i="6"/>
  <c r="P152" i="6"/>
  <c r="Q152" i="6" s="1"/>
  <c r="R152" i="6"/>
  <c r="S152" i="6" s="1"/>
  <c r="P153" i="6"/>
  <c r="Q153" i="6" s="1"/>
  <c r="R153" i="6"/>
  <c r="S153" i="6"/>
  <c r="P154" i="6"/>
  <c r="Q154" i="6" s="1"/>
  <c r="R154" i="6"/>
  <c r="S154" i="6"/>
  <c r="P155" i="6"/>
  <c r="Q155" i="6"/>
  <c r="R155" i="6"/>
  <c r="S155" i="6" s="1"/>
  <c r="P156" i="6"/>
  <c r="Q156" i="6" s="1"/>
  <c r="R156" i="6"/>
  <c r="S156" i="6" s="1"/>
  <c r="P157" i="6"/>
  <c r="Q157" i="6" s="1"/>
  <c r="R157" i="6"/>
  <c r="S157" i="6" s="1"/>
  <c r="P158" i="6"/>
  <c r="Q158" i="6" s="1"/>
  <c r="R158" i="6"/>
  <c r="S158" i="6" s="1"/>
  <c r="P159" i="6"/>
  <c r="Q159" i="6"/>
  <c r="R159" i="6"/>
  <c r="S159" i="6"/>
  <c r="P160" i="6"/>
  <c r="Q160" i="6" s="1"/>
  <c r="R160" i="6"/>
  <c r="S160" i="6"/>
  <c r="P161" i="6"/>
  <c r="Q161" i="6" s="1"/>
  <c r="R161" i="6"/>
  <c r="S161" i="6" s="1"/>
  <c r="P162" i="6"/>
  <c r="Q162" i="6" s="1"/>
  <c r="R162" i="6"/>
  <c r="S162" i="6" s="1"/>
  <c r="P163" i="6"/>
  <c r="Q163" i="6"/>
  <c r="R163" i="6"/>
  <c r="S163" i="6"/>
  <c r="P164" i="6"/>
  <c r="Q164" i="6" s="1"/>
  <c r="R164" i="6"/>
  <c r="S164" i="6" s="1"/>
  <c r="P165" i="6"/>
  <c r="Q165" i="6"/>
  <c r="R165" i="6"/>
  <c r="S165" i="6" s="1"/>
  <c r="P166" i="6"/>
  <c r="Q166" i="6" s="1"/>
  <c r="R166" i="6"/>
  <c r="S166" i="6"/>
  <c r="P167" i="6"/>
  <c r="Q167" i="6" s="1"/>
  <c r="R167" i="6"/>
  <c r="S167" i="6" s="1"/>
  <c r="P168" i="6"/>
  <c r="Q168" i="6" s="1"/>
  <c r="R168" i="6"/>
  <c r="S168" i="6" s="1"/>
  <c r="P169" i="6"/>
  <c r="Q169" i="6"/>
  <c r="R169" i="6"/>
  <c r="S169" i="6"/>
  <c r="P170" i="6"/>
  <c r="Q170" i="6" s="1"/>
  <c r="R170" i="6"/>
  <c r="S170" i="6"/>
  <c r="P171" i="6"/>
  <c r="Q171" i="6"/>
  <c r="R171" i="6"/>
  <c r="S171" i="6" s="1"/>
  <c r="P172" i="6"/>
  <c r="Q172" i="6" s="1"/>
  <c r="R172" i="6"/>
  <c r="S172" i="6" s="1"/>
  <c r="P173" i="6"/>
  <c r="Q173" i="6" s="1"/>
  <c r="R173" i="6"/>
  <c r="S173" i="6"/>
  <c r="P174" i="6"/>
  <c r="Q174" i="6" s="1"/>
  <c r="R174" i="6"/>
  <c r="S174" i="6"/>
  <c r="P175" i="6"/>
  <c r="Q175" i="6"/>
  <c r="R175" i="6"/>
  <c r="S175" i="6"/>
  <c r="P176" i="6"/>
  <c r="Q176" i="6" s="1"/>
  <c r="R176" i="6"/>
  <c r="S176" i="6"/>
  <c r="P177" i="6"/>
  <c r="Q177" i="6" s="1"/>
  <c r="R177" i="6"/>
  <c r="S177" i="6" s="1"/>
  <c r="P178" i="6"/>
  <c r="Q178" i="6" s="1"/>
  <c r="R178" i="6"/>
  <c r="S178" i="6"/>
  <c r="P179" i="6"/>
  <c r="Q179" i="6" s="1"/>
  <c r="R179" i="6"/>
  <c r="S179" i="6" s="1"/>
  <c r="P180" i="6"/>
  <c r="Q180" i="6"/>
  <c r="R180" i="6"/>
  <c r="S180" i="6"/>
  <c r="P181" i="6"/>
  <c r="Q181" i="6" s="1"/>
  <c r="R181" i="6"/>
  <c r="S181" i="6" s="1"/>
  <c r="P182" i="6"/>
  <c r="Q182" i="6"/>
  <c r="R182" i="6"/>
  <c r="S182" i="6"/>
  <c r="P183" i="6"/>
  <c r="Q183" i="6" s="1"/>
  <c r="R183" i="6"/>
  <c r="S183" i="6" s="1"/>
  <c r="P184" i="6"/>
  <c r="Q184" i="6"/>
  <c r="R184" i="6"/>
  <c r="S184" i="6"/>
  <c r="P185" i="6"/>
  <c r="Q185" i="6" s="1"/>
  <c r="R185" i="6"/>
  <c r="S185" i="6" s="1"/>
  <c r="P186" i="6"/>
  <c r="Q186" i="6" s="1"/>
  <c r="R186" i="6"/>
  <c r="S186" i="6"/>
  <c r="P187" i="6"/>
  <c r="Q187" i="6" s="1"/>
  <c r="R187" i="6"/>
  <c r="S187" i="6" s="1"/>
  <c r="P188" i="6"/>
  <c r="Q188" i="6" s="1"/>
  <c r="R188" i="6"/>
  <c r="S188" i="6"/>
  <c r="P189" i="6"/>
  <c r="Q189" i="6" s="1"/>
  <c r="R189" i="6"/>
  <c r="S189" i="6" s="1"/>
  <c r="P190" i="6"/>
  <c r="Q190" i="6"/>
  <c r="R190" i="6"/>
  <c r="S190" i="6"/>
  <c r="P191" i="6"/>
  <c r="Q191" i="6" s="1"/>
  <c r="R191" i="6"/>
  <c r="S191" i="6" s="1"/>
  <c r="P192" i="6"/>
  <c r="Q192" i="6"/>
  <c r="R192" i="6"/>
  <c r="S192" i="6"/>
  <c r="P193" i="6"/>
  <c r="Q193" i="6" s="1"/>
  <c r="R193" i="6"/>
  <c r="S193" i="6" s="1"/>
  <c r="P194" i="6"/>
  <c r="Q194" i="6" s="1"/>
  <c r="R194" i="6"/>
  <c r="S194" i="6"/>
  <c r="P195" i="6"/>
  <c r="Q195" i="6" s="1"/>
  <c r="R195" i="6"/>
  <c r="S195" i="6" s="1"/>
  <c r="P196" i="6"/>
  <c r="Q196" i="6"/>
  <c r="R196" i="6"/>
  <c r="S196" i="6"/>
  <c r="P197" i="6"/>
  <c r="Q197" i="6" s="1"/>
  <c r="R197" i="6"/>
  <c r="S197" i="6" s="1"/>
  <c r="P198" i="6"/>
  <c r="Q198" i="6"/>
  <c r="R198" i="6"/>
  <c r="S198" i="6"/>
  <c r="P199" i="6"/>
  <c r="Q199" i="6" s="1"/>
  <c r="R199" i="6"/>
  <c r="S199" i="6" s="1"/>
  <c r="P200" i="6"/>
  <c r="Q200" i="6"/>
  <c r="R200" i="6"/>
  <c r="S200" i="6"/>
  <c r="P201" i="6"/>
  <c r="Q201" i="6" s="1"/>
  <c r="R201" i="6"/>
  <c r="S201" i="6" s="1"/>
  <c r="P202" i="6"/>
  <c r="Q202" i="6" s="1"/>
  <c r="R202" i="6"/>
  <c r="S202" i="6"/>
  <c r="P203" i="6"/>
  <c r="Q203" i="6" s="1"/>
  <c r="R203" i="6"/>
  <c r="S203" i="6" s="1"/>
  <c r="P204" i="6"/>
  <c r="Q204" i="6"/>
  <c r="R204" i="6"/>
  <c r="S204" i="6"/>
  <c r="P205" i="6"/>
  <c r="Q205" i="6" s="1"/>
  <c r="R205" i="6"/>
  <c r="S205" i="6" s="1"/>
  <c r="P206" i="6"/>
  <c r="Q206" i="6" s="1"/>
  <c r="R206" i="6"/>
  <c r="S206" i="6"/>
  <c r="P207" i="6"/>
  <c r="Q207" i="6" s="1"/>
  <c r="R207" i="6"/>
  <c r="S207" i="6" s="1"/>
  <c r="P208" i="6"/>
  <c r="Q208" i="6"/>
  <c r="R208" i="6"/>
  <c r="S208" i="6"/>
  <c r="P209" i="6"/>
  <c r="Q209" i="6" s="1"/>
  <c r="R209" i="6"/>
  <c r="S209" i="6" s="1"/>
  <c r="P210" i="6"/>
  <c r="Q210" i="6" s="1"/>
  <c r="R210" i="6"/>
  <c r="S210" i="6"/>
  <c r="P211" i="6"/>
  <c r="Q211" i="6" s="1"/>
  <c r="R211" i="6"/>
  <c r="S211" i="6" s="1"/>
  <c r="P212" i="6"/>
  <c r="Q212" i="6"/>
  <c r="R212" i="6"/>
  <c r="S212" i="6"/>
  <c r="P213" i="6"/>
  <c r="Q213" i="6" s="1"/>
  <c r="R213" i="6"/>
  <c r="S213" i="6" s="1"/>
  <c r="P214" i="6"/>
  <c r="Q214" i="6" s="1"/>
  <c r="R214" i="6"/>
  <c r="S214" i="6"/>
  <c r="P215" i="6"/>
  <c r="Q215" i="6" s="1"/>
  <c r="R215" i="6"/>
  <c r="S215" i="6" s="1"/>
  <c r="P216" i="6"/>
  <c r="Q216" i="6"/>
  <c r="R216" i="6"/>
  <c r="S216" i="6"/>
  <c r="P217" i="6"/>
  <c r="Q217" i="6" s="1"/>
  <c r="R217" i="6"/>
  <c r="S217" i="6" s="1"/>
  <c r="P218" i="6"/>
  <c r="Q218" i="6" s="1"/>
  <c r="R218" i="6"/>
  <c r="S218" i="6"/>
  <c r="P219" i="6"/>
  <c r="Q219" i="6" s="1"/>
  <c r="R219" i="6"/>
  <c r="S219" i="6" s="1"/>
  <c r="P220" i="6"/>
  <c r="Q220" i="6" s="1"/>
  <c r="R220" i="6"/>
  <c r="S220" i="6"/>
  <c r="P221" i="6"/>
  <c r="Q221" i="6" s="1"/>
  <c r="R221" i="6"/>
  <c r="S221" i="6" s="1"/>
  <c r="P222" i="6"/>
  <c r="Q222" i="6" s="1"/>
  <c r="R222" i="6"/>
  <c r="S222" i="6"/>
  <c r="P223" i="6"/>
  <c r="Q223" i="6" s="1"/>
  <c r="R223" i="6"/>
  <c r="S223" i="6" s="1"/>
  <c r="P224" i="6"/>
  <c r="Q224" i="6"/>
  <c r="R224" i="6"/>
  <c r="S224" i="6"/>
  <c r="P225" i="6"/>
  <c r="Q225" i="6" s="1"/>
  <c r="R225" i="6"/>
  <c r="S225" i="6" s="1"/>
  <c r="P226" i="6"/>
  <c r="Q226" i="6" s="1"/>
  <c r="R226" i="6"/>
  <c r="S226" i="6"/>
  <c r="P227" i="6"/>
  <c r="Q227" i="6" s="1"/>
  <c r="R227" i="6"/>
  <c r="S227" i="6" s="1"/>
  <c r="P228" i="6"/>
  <c r="Q228" i="6" s="1"/>
  <c r="R228" i="6"/>
  <c r="S228" i="6"/>
  <c r="P229" i="6"/>
  <c r="Q229" i="6" s="1"/>
  <c r="R229" i="6"/>
  <c r="S229" i="6" s="1"/>
  <c r="P230" i="6"/>
  <c r="Q230" i="6"/>
  <c r="R230" i="6"/>
  <c r="S230" i="6"/>
  <c r="P231" i="6"/>
  <c r="Q231" i="6" s="1"/>
  <c r="R231" i="6"/>
  <c r="S231" i="6" s="1"/>
  <c r="P232" i="6"/>
  <c r="Q232" i="6"/>
  <c r="R232" i="6"/>
  <c r="S232" i="6"/>
  <c r="P233" i="6"/>
  <c r="Q233" i="6" s="1"/>
  <c r="R233" i="6"/>
  <c r="S233" i="6" s="1"/>
  <c r="P234" i="6"/>
  <c r="Q234" i="6" s="1"/>
  <c r="R234" i="6"/>
  <c r="S234" i="6"/>
  <c r="P235" i="6"/>
  <c r="Q235" i="6" s="1"/>
  <c r="R235" i="6"/>
  <c r="S235" i="6" s="1"/>
  <c r="P236" i="6"/>
  <c r="Q236" i="6" s="1"/>
  <c r="R236" i="6"/>
  <c r="S236" i="6"/>
  <c r="P237" i="6"/>
  <c r="Q237" i="6" s="1"/>
  <c r="R237" i="6"/>
  <c r="S237" i="6" s="1"/>
  <c r="P238" i="6"/>
  <c r="Q238" i="6" s="1"/>
  <c r="R238" i="6"/>
  <c r="S238" i="6"/>
  <c r="P239" i="6"/>
  <c r="Q239" i="6" s="1"/>
  <c r="R239" i="6"/>
  <c r="S239" i="6" s="1"/>
  <c r="P240" i="6"/>
  <c r="Q240" i="6"/>
  <c r="R240" i="6"/>
  <c r="S240" i="6"/>
  <c r="P241" i="6"/>
  <c r="Q241" i="6" s="1"/>
  <c r="R241" i="6"/>
  <c r="S241" i="6" s="1"/>
  <c r="P242" i="6"/>
  <c r="Q242" i="6" s="1"/>
  <c r="R242" i="6"/>
  <c r="S242" i="6"/>
  <c r="P243" i="6"/>
  <c r="Q243" i="6" s="1"/>
  <c r="R243" i="6"/>
  <c r="S243" i="6" s="1"/>
  <c r="P244" i="6"/>
  <c r="Q244" i="6"/>
  <c r="R244" i="6"/>
  <c r="S244" i="6"/>
  <c r="P245" i="6"/>
  <c r="Q245" i="6" s="1"/>
  <c r="R245" i="6"/>
  <c r="S245" i="6" s="1"/>
  <c r="P246" i="6"/>
  <c r="Q246" i="6"/>
  <c r="R246" i="6"/>
  <c r="S246" i="6"/>
  <c r="P247" i="6"/>
  <c r="Q247" i="6" s="1"/>
  <c r="R247" i="6"/>
  <c r="S247" i="6" s="1"/>
  <c r="P248" i="6"/>
  <c r="Q248" i="6"/>
  <c r="R248" i="6"/>
  <c r="S248" i="6"/>
  <c r="P249" i="6"/>
  <c r="Q249" i="6" s="1"/>
  <c r="R249" i="6"/>
  <c r="S249" i="6" s="1"/>
  <c r="P250" i="6"/>
  <c r="Q250" i="6" s="1"/>
  <c r="R250" i="6"/>
  <c r="S250" i="6"/>
  <c r="P251" i="6"/>
  <c r="Q251" i="6" s="1"/>
  <c r="R251" i="6"/>
  <c r="S251" i="6" s="1"/>
  <c r="P252" i="6"/>
  <c r="Q252" i="6" s="1"/>
  <c r="R252" i="6"/>
  <c r="S252" i="6" s="1"/>
  <c r="P253" i="6"/>
  <c r="Q253" i="6" s="1"/>
  <c r="R253" i="6"/>
  <c r="S253" i="6" s="1"/>
  <c r="P254" i="6"/>
  <c r="Q254" i="6"/>
  <c r="R254" i="6"/>
  <c r="S254" i="6"/>
  <c r="P255" i="6"/>
  <c r="Q255" i="6" s="1"/>
  <c r="R255" i="6"/>
  <c r="S255" i="6" s="1"/>
  <c r="P256" i="6"/>
  <c r="Q256" i="6"/>
  <c r="R256" i="6"/>
  <c r="S256" i="6"/>
  <c r="P257" i="6"/>
  <c r="Q257" i="6" s="1"/>
  <c r="R257" i="6"/>
  <c r="S257" i="6" s="1"/>
  <c r="P258" i="6"/>
  <c r="Q258" i="6" s="1"/>
  <c r="R258" i="6"/>
  <c r="S258" i="6"/>
  <c r="P259" i="6"/>
  <c r="Q259" i="6" s="1"/>
  <c r="R259" i="6"/>
  <c r="S259" i="6" s="1"/>
  <c r="P260" i="6"/>
  <c r="Q260" i="6" s="1"/>
  <c r="R260" i="6"/>
  <c r="S260" i="6" s="1"/>
  <c r="P261" i="6"/>
  <c r="Q261" i="6" s="1"/>
  <c r="R261" i="6"/>
  <c r="S261" i="6" s="1"/>
  <c r="P262" i="6"/>
  <c r="Q262" i="6" s="1"/>
  <c r="R262" i="6"/>
  <c r="S262" i="6"/>
  <c r="P263" i="6"/>
  <c r="Q263" i="6" s="1"/>
  <c r="R263" i="6"/>
  <c r="S263" i="6" s="1"/>
  <c r="P264" i="6"/>
  <c r="Q264" i="6"/>
  <c r="R264" i="6"/>
  <c r="S264" i="6" s="1"/>
  <c r="P265" i="6"/>
  <c r="Q265" i="6" s="1"/>
  <c r="R265" i="6"/>
  <c r="S265" i="6" s="1"/>
  <c r="P266" i="6"/>
  <c r="Q266" i="6" s="1"/>
  <c r="R266" i="6"/>
  <c r="S266" i="6"/>
  <c r="P267" i="6"/>
  <c r="Q267" i="6" s="1"/>
  <c r="R267" i="6"/>
  <c r="S267" i="6" s="1"/>
  <c r="P268" i="6"/>
  <c r="Q268" i="6" s="1"/>
  <c r="R268" i="6"/>
  <c r="S268" i="6" s="1"/>
  <c r="P269" i="6"/>
  <c r="Q269" i="6" s="1"/>
  <c r="R269" i="6"/>
  <c r="S269" i="6" s="1"/>
  <c r="P270" i="6"/>
  <c r="Q270" i="6" s="1"/>
  <c r="R270" i="6"/>
  <c r="S270" i="6" s="1"/>
  <c r="P271" i="6"/>
  <c r="Q271" i="6" s="1"/>
  <c r="R271" i="6"/>
  <c r="S271" i="6" s="1"/>
  <c r="P272" i="6"/>
  <c r="Q272" i="6"/>
  <c r="R272" i="6"/>
  <c r="S272" i="6"/>
  <c r="P273" i="6"/>
  <c r="Q273" i="6" s="1"/>
  <c r="R273" i="6"/>
  <c r="S273" i="6" s="1"/>
  <c r="P274" i="6"/>
  <c r="Q274" i="6" s="1"/>
  <c r="R274" i="6"/>
  <c r="S274" i="6"/>
  <c r="P275" i="6"/>
  <c r="Q275" i="6" s="1"/>
  <c r="R275" i="6"/>
  <c r="S275" i="6" s="1"/>
  <c r="P276" i="6"/>
  <c r="Q276" i="6" s="1"/>
  <c r="R276" i="6"/>
  <c r="S276" i="6" s="1"/>
  <c r="P277" i="6"/>
  <c r="Q277" i="6" s="1"/>
  <c r="R277" i="6"/>
  <c r="S277" i="6" s="1"/>
  <c r="P278" i="6"/>
  <c r="Q278" i="6"/>
  <c r="R278" i="6"/>
  <c r="S278" i="6"/>
  <c r="P279" i="6"/>
  <c r="Q279" i="6" s="1"/>
  <c r="R279" i="6"/>
  <c r="S279" i="6" s="1"/>
  <c r="P280" i="6"/>
  <c r="Q280" i="6"/>
  <c r="R280" i="6"/>
  <c r="S280" i="6"/>
  <c r="P281" i="6"/>
  <c r="Q281" i="6" s="1"/>
  <c r="R281" i="6"/>
  <c r="S281" i="6" s="1"/>
  <c r="P282" i="6"/>
  <c r="Q282" i="6" s="1"/>
  <c r="R282" i="6"/>
  <c r="S282" i="6"/>
  <c r="P283" i="6"/>
  <c r="Q283" i="6" s="1"/>
  <c r="R283" i="6"/>
  <c r="S283" i="6" s="1"/>
  <c r="P284" i="6"/>
  <c r="Q284" i="6" s="1"/>
  <c r="R284" i="6"/>
  <c r="S284" i="6" s="1"/>
  <c r="P285" i="6"/>
  <c r="Q285" i="6" s="1"/>
  <c r="R285" i="6"/>
  <c r="S285" i="6" s="1"/>
  <c r="P286" i="6"/>
  <c r="Q286" i="6"/>
  <c r="R286" i="6"/>
  <c r="S286" i="6"/>
  <c r="P287" i="6"/>
  <c r="Q287" i="6" s="1"/>
  <c r="R287" i="6"/>
  <c r="S287" i="6" s="1"/>
  <c r="P288" i="6"/>
  <c r="Q288" i="6"/>
  <c r="R288" i="6"/>
  <c r="S288" i="6"/>
  <c r="P289" i="6"/>
  <c r="Q289" i="6" s="1"/>
  <c r="R289" i="6"/>
  <c r="S289" i="6" s="1"/>
  <c r="P290" i="6"/>
  <c r="Q290" i="6" s="1"/>
  <c r="R290" i="6"/>
  <c r="S290" i="6"/>
  <c r="P291" i="6"/>
  <c r="Q291" i="6" s="1"/>
  <c r="R291" i="6"/>
  <c r="S291" i="6" s="1"/>
  <c r="P292" i="6"/>
  <c r="Q292" i="6"/>
  <c r="R292" i="6"/>
  <c r="S292" i="6" s="1"/>
  <c r="P293" i="6"/>
  <c r="Q293" i="6" s="1"/>
  <c r="R293" i="6"/>
  <c r="S293" i="6" s="1"/>
  <c r="P294" i="6"/>
  <c r="Q294" i="6" s="1"/>
  <c r="R294" i="6"/>
  <c r="S294" i="6"/>
  <c r="P295" i="6"/>
  <c r="Q295" i="6" s="1"/>
  <c r="R295" i="6"/>
  <c r="S295" i="6" s="1"/>
  <c r="P296" i="6"/>
  <c r="Q296" i="6"/>
  <c r="R296" i="6"/>
  <c r="S296" i="6" s="1"/>
  <c r="P297" i="6"/>
  <c r="Q297" i="6" s="1"/>
  <c r="R297" i="6"/>
  <c r="S297" i="6" s="1"/>
  <c r="P298" i="6"/>
  <c r="Q298" i="6" s="1"/>
  <c r="R298" i="6"/>
  <c r="S298" i="6"/>
  <c r="P299" i="6"/>
  <c r="Q299" i="6" s="1"/>
  <c r="R299" i="6"/>
  <c r="S299" i="6" s="1"/>
  <c r="P300" i="6"/>
  <c r="Q300" i="6" s="1"/>
  <c r="R300" i="6"/>
  <c r="S300" i="6" s="1"/>
  <c r="P301" i="6"/>
  <c r="Q301" i="6" s="1"/>
  <c r="R301" i="6"/>
  <c r="S301" i="6" s="1"/>
  <c r="P302" i="6"/>
  <c r="Q302" i="6"/>
  <c r="R302" i="6"/>
  <c r="S302" i="6" s="1"/>
  <c r="P303" i="6"/>
  <c r="Q303" i="6" s="1"/>
  <c r="R303" i="6"/>
  <c r="S303" i="6"/>
  <c r="P304" i="6"/>
  <c r="Q304" i="6"/>
  <c r="R304" i="6"/>
  <c r="S304" i="6" s="1"/>
  <c r="P305" i="6"/>
  <c r="Q305" i="6" s="1"/>
  <c r="R305" i="6"/>
  <c r="S305" i="6"/>
  <c r="P306" i="6"/>
  <c r="Q306" i="6"/>
  <c r="R306" i="6"/>
  <c r="S306" i="6"/>
  <c r="P307" i="6"/>
  <c r="Q307" i="6" s="1"/>
  <c r="R307" i="6"/>
  <c r="S307" i="6"/>
  <c r="P308" i="6"/>
  <c r="Q308" i="6"/>
  <c r="R308" i="6"/>
  <c r="S308" i="6" s="1"/>
  <c r="P309" i="6"/>
  <c r="Q309" i="6" s="1"/>
  <c r="R309" i="6"/>
  <c r="S309" i="6"/>
  <c r="P310" i="6"/>
  <c r="Q310" i="6"/>
  <c r="R310" i="6"/>
  <c r="S310" i="6"/>
  <c r="P311" i="6"/>
  <c r="Q311" i="6" s="1"/>
  <c r="R311" i="6"/>
  <c r="S311" i="6"/>
  <c r="P312" i="6"/>
  <c r="Q312" i="6" s="1"/>
  <c r="R312" i="6"/>
  <c r="S312" i="6" s="1"/>
  <c r="P313" i="6"/>
  <c r="Q313" i="6" s="1"/>
  <c r="R313" i="6"/>
  <c r="S313" i="6"/>
  <c r="P314" i="6"/>
  <c r="Q314" i="6" s="1"/>
  <c r="R314" i="6"/>
  <c r="S314" i="6"/>
  <c r="P315" i="6"/>
  <c r="Q315" i="6" s="1"/>
  <c r="R315" i="6"/>
  <c r="S315" i="6"/>
  <c r="P316" i="6"/>
  <c r="Q316" i="6" s="1"/>
  <c r="R316" i="6"/>
  <c r="S316" i="6" s="1"/>
  <c r="P317" i="6"/>
  <c r="Q317" i="6" s="1"/>
  <c r="R317" i="6"/>
  <c r="S317" i="6"/>
  <c r="P318" i="6"/>
  <c r="Q318" i="6" s="1"/>
  <c r="R318" i="6"/>
  <c r="S318" i="6" s="1"/>
  <c r="P319" i="6"/>
  <c r="Q319" i="6" s="1"/>
  <c r="R319" i="6"/>
  <c r="S319" i="6"/>
  <c r="P320" i="6"/>
  <c r="Q320" i="6"/>
  <c r="R320" i="6"/>
  <c r="S320" i="6" s="1"/>
  <c r="P321" i="6"/>
  <c r="Q321" i="6" s="1"/>
  <c r="R321" i="6"/>
  <c r="S321" i="6"/>
  <c r="P322" i="6"/>
  <c r="Q322" i="6"/>
  <c r="R322" i="6"/>
  <c r="S322" i="6"/>
  <c r="P323" i="6"/>
  <c r="Q323" i="6" s="1"/>
  <c r="R323" i="6"/>
  <c r="S323" i="6"/>
  <c r="P324" i="6"/>
  <c r="Q324" i="6" s="1"/>
  <c r="R324" i="6"/>
  <c r="S324" i="6" s="1"/>
  <c r="P325" i="6"/>
  <c r="Q325" i="6" s="1"/>
  <c r="R325" i="6"/>
  <c r="S325" i="6"/>
  <c r="P326" i="6"/>
  <c r="Q326" i="6"/>
  <c r="R326" i="6"/>
  <c r="S326" i="6"/>
  <c r="P327" i="6"/>
  <c r="Q327" i="6" s="1"/>
  <c r="R327" i="6"/>
  <c r="S327" i="6"/>
  <c r="P328" i="6"/>
  <c r="Q328" i="6" s="1"/>
  <c r="R328" i="6"/>
  <c r="S328" i="6"/>
  <c r="P329" i="6"/>
  <c r="Q329" i="6" s="1"/>
  <c r="R329" i="6"/>
  <c r="S329" i="6"/>
  <c r="P330" i="6"/>
  <c r="Q330" i="6" s="1"/>
  <c r="R330" i="6"/>
  <c r="S330" i="6"/>
  <c r="P331" i="6"/>
  <c r="Q331" i="6" s="1"/>
  <c r="R331" i="6"/>
  <c r="S331" i="6"/>
  <c r="P332" i="6"/>
  <c r="Q332" i="6" s="1"/>
  <c r="R332" i="6"/>
  <c r="S332" i="6" s="1"/>
  <c r="P333" i="6"/>
  <c r="Q333" i="6" s="1"/>
  <c r="R333" i="6"/>
  <c r="S333" i="6"/>
  <c r="P334" i="6"/>
  <c r="Q334" i="6"/>
  <c r="R334" i="6"/>
  <c r="S334" i="6" s="1"/>
  <c r="P335" i="6"/>
  <c r="Q335" i="6" s="1"/>
  <c r="R335" i="6"/>
  <c r="S335" i="6"/>
  <c r="P336" i="6"/>
  <c r="Q336" i="6" s="1"/>
  <c r="R336" i="6"/>
  <c r="S336" i="6" s="1"/>
  <c r="P337" i="6"/>
  <c r="Q337" i="6" s="1"/>
  <c r="R337" i="6"/>
  <c r="S337" i="6"/>
  <c r="P338" i="6"/>
  <c r="Q338" i="6"/>
  <c r="R338" i="6"/>
  <c r="S338" i="6" s="1"/>
  <c r="P339" i="6"/>
  <c r="Q339" i="6" s="1"/>
  <c r="R339" i="6"/>
  <c r="S339" i="6"/>
  <c r="P340" i="6"/>
  <c r="Q340" i="6" s="1"/>
  <c r="R340" i="6"/>
  <c r="S340" i="6"/>
  <c r="P341" i="6"/>
  <c r="Q341" i="6" s="1"/>
  <c r="R341" i="6"/>
  <c r="S341" i="6"/>
  <c r="P342" i="6"/>
  <c r="Q342" i="6"/>
  <c r="R342" i="6"/>
  <c r="S342" i="6"/>
  <c r="P343" i="6"/>
  <c r="Q343" i="6" s="1"/>
  <c r="R343" i="6"/>
  <c r="S343" i="6"/>
  <c r="P344" i="6"/>
  <c r="Q344" i="6" s="1"/>
  <c r="R344" i="6"/>
  <c r="S344" i="6"/>
  <c r="P345" i="6"/>
  <c r="Q345" i="6" s="1"/>
  <c r="R345" i="6"/>
  <c r="S345" i="6"/>
  <c r="P346" i="6"/>
  <c r="Q346" i="6" s="1"/>
  <c r="R346" i="6"/>
  <c r="S346" i="6"/>
  <c r="P347" i="6"/>
  <c r="Q347" i="6" s="1"/>
  <c r="R347" i="6"/>
  <c r="S347" i="6"/>
  <c r="P348" i="6"/>
  <c r="Q348" i="6" s="1"/>
  <c r="R348" i="6"/>
  <c r="S348" i="6" s="1"/>
  <c r="P349" i="6"/>
  <c r="Q349" i="6" s="1"/>
  <c r="R349" i="6"/>
  <c r="S349" i="6"/>
  <c r="P350" i="6"/>
  <c r="Q350" i="6"/>
  <c r="R350" i="6"/>
  <c r="S350" i="6" s="1"/>
  <c r="P351" i="6"/>
  <c r="Q351" i="6" s="1"/>
  <c r="R351" i="6"/>
  <c r="S351" i="6"/>
  <c r="P352" i="6"/>
  <c r="Q352" i="6"/>
  <c r="R352" i="6"/>
  <c r="S352" i="6" s="1"/>
  <c r="P353" i="6"/>
  <c r="Q353" i="6" s="1"/>
  <c r="R353" i="6"/>
  <c r="S353" i="6"/>
  <c r="P354" i="6"/>
  <c r="Q354" i="6" s="1"/>
  <c r="R354" i="6"/>
  <c r="S354" i="6"/>
  <c r="P355" i="6"/>
  <c r="Q355" i="6" s="1"/>
  <c r="R355" i="6"/>
  <c r="S355" i="6"/>
  <c r="P356" i="6"/>
  <c r="Q356" i="6"/>
  <c r="R356" i="6"/>
  <c r="S356" i="6"/>
  <c r="P357" i="6"/>
  <c r="Q357" i="6" s="1"/>
  <c r="R357" i="6"/>
  <c r="S357" i="6"/>
  <c r="P358" i="6"/>
  <c r="Q358" i="6"/>
  <c r="R358" i="6"/>
  <c r="S358" i="6" s="1"/>
  <c r="P359" i="6"/>
  <c r="Q359" i="6" s="1"/>
  <c r="R359" i="6"/>
  <c r="S359" i="6"/>
  <c r="P360" i="6"/>
  <c r="Q360" i="6" s="1"/>
  <c r="R360" i="6"/>
  <c r="S360" i="6"/>
  <c r="P361" i="6"/>
  <c r="Q361" i="6" s="1"/>
  <c r="R361" i="6"/>
  <c r="S361" i="6"/>
  <c r="P362" i="6"/>
  <c r="Q362" i="6" s="1"/>
  <c r="R362" i="6"/>
  <c r="S362" i="6"/>
  <c r="P363" i="6"/>
  <c r="Q363" i="6" s="1"/>
  <c r="R363" i="6"/>
  <c r="S363" i="6"/>
  <c r="P364" i="6"/>
  <c r="Q364" i="6" s="1"/>
  <c r="R364" i="6"/>
  <c r="S364" i="6" s="1"/>
  <c r="P365" i="6"/>
  <c r="Q365" i="6" s="1"/>
  <c r="R365" i="6"/>
  <c r="S365" i="6"/>
  <c r="P366" i="6"/>
  <c r="Q366" i="6"/>
  <c r="R366" i="6"/>
  <c r="S366" i="6" s="1"/>
  <c r="P367" i="6"/>
  <c r="Q367" i="6" s="1"/>
  <c r="R367" i="6"/>
  <c r="S367" i="6"/>
  <c r="P368" i="6"/>
  <c r="Q368" i="6"/>
  <c r="R368" i="6"/>
  <c r="S368" i="6" s="1"/>
  <c r="P369" i="6"/>
  <c r="Q369" i="6" s="1"/>
  <c r="R369" i="6"/>
  <c r="S369" i="6"/>
  <c r="P370" i="6"/>
  <c r="Q370" i="6"/>
  <c r="R370" i="6"/>
  <c r="S370" i="6"/>
  <c r="P371" i="6"/>
  <c r="Q371" i="6" s="1"/>
  <c r="R371" i="6"/>
  <c r="S371" i="6"/>
  <c r="P372" i="6"/>
  <c r="Q372" i="6"/>
  <c r="R372" i="6"/>
  <c r="S372" i="6" s="1"/>
  <c r="P373" i="6"/>
  <c r="Q373" i="6" s="1"/>
  <c r="R373" i="6"/>
  <c r="S373" i="6"/>
  <c r="P374" i="6"/>
  <c r="Q374" i="6"/>
  <c r="R374" i="6"/>
  <c r="S374" i="6"/>
  <c r="P375" i="6"/>
  <c r="Q375" i="6" s="1"/>
  <c r="R375" i="6"/>
  <c r="S375" i="6"/>
  <c r="P376" i="6"/>
  <c r="Q376" i="6" s="1"/>
  <c r="R376" i="6"/>
  <c r="S376" i="6" s="1"/>
  <c r="P377" i="6"/>
  <c r="Q377" i="6" s="1"/>
  <c r="R377" i="6"/>
  <c r="S377" i="6"/>
  <c r="P378" i="6"/>
  <c r="Q378" i="6" s="1"/>
  <c r="R378" i="6"/>
  <c r="S378" i="6"/>
  <c r="P379" i="6"/>
  <c r="Q379" i="6" s="1"/>
  <c r="R379" i="6"/>
  <c r="S379" i="6"/>
  <c r="P380" i="6"/>
  <c r="Q380" i="6" s="1"/>
  <c r="R380" i="6"/>
  <c r="S380" i="6" s="1"/>
  <c r="P381" i="6"/>
  <c r="Q381" i="6" s="1"/>
  <c r="R381" i="6"/>
  <c r="S381" i="6"/>
  <c r="P382" i="6"/>
  <c r="Q382" i="6" s="1"/>
  <c r="R382" i="6"/>
  <c r="S382" i="6" s="1"/>
  <c r="P383" i="6"/>
  <c r="Q383" i="6" s="1"/>
  <c r="R383" i="6"/>
  <c r="S383" i="6"/>
  <c r="P384" i="6"/>
  <c r="Q384" i="6"/>
  <c r="R384" i="6"/>
  <c r="S384" i="6" s="1"/>
  <c r="P385" i="6"/>
  <c r="Q385" i="6" s="1"/>
  <c r="R385" i="6"/>
  <c r="S385" i="6"/>
  <c r="P386" i="6"/>
  <c r="Q386" i="6"/>
  <c r="R386" i="6"/>
  <c r="S386" i="6"/>
  <c r="P387" i="6"/>
  <c r="Q387" i="6" s="1"/>
  <c r="R387" i="6"/>
  <c r="S387" i="6"/>
  <c r="P388" i="6"/>
  <c r="Q388" i="6" s="1"/>
  <c r="R388" i="6"/>
  <c r="S388" i="6" s="1"/>
  <c r="P389" i="6"/>
  <c r="Q389" i="6" s="1"/>
  <c r="R389" i="6"/>
  <c r="S389" i="6"/>
  <c r="P390" i="6"/>
  <c r="Q390" i="6"/>
  <c r="R390" i="6"/>
  <c r="S390" i="6"/>
  <c r="P391" i="6"/>
  <c r="Q391" i="6" s="1"/>
  <c r="R391" i="6"/>
  <c r="S391" i="6"/>
  <c r="P392" i="6"/>
  <c r="Q392" i="6" s="1"/>
  <c r="R392" i="6"/>
  <c r="S392" i="6"/>
  <c r="P393" i="6"/>
  <c r="Q393" i="6" s="1"/>
  <c r="R393" i="6"/>
  <c r="S393" i="6"/>
  <c r="P394" i="6"/>
  <c r="Q394" i="6" s="1"/>
  <c r="R394" i="6"/>
  <c r="S394" i="6"/>
  <c r="P395" i="6"/>
  <c r="Q395" i="6" s="1"/>
  <c r="R395" i="6"/>
  <c r="S395" i="6"/>
  <c r="P396" i="6"/>
  <c r="Q396" i="6" s="1"/>
  <c r="R396" i="6"/>
  <c r="S396" i="6" s="1"/>
  <c r="P397" i="6"/>
  <c r="Q397" i="6" s="1"/>
  <c r="R397" i="6"/>
  <c r="S397" i="6"/>
  <c r="P398" i="6"/>
  <c r="Q398" i="6"/>
  <c r="R398" i="6"/>
  <c r="S398" i="6" s="1"/>
  <c r="P399" i="6"/>
  <c r="Q399" i="6" s="1"/>
  <c r="R399" i="6"/>
  <c r="S399" i="6"/>
  <c r="P400" i="6"/>
  <c r="Q400" i="6" s="1"/>
  <c r="R400" i="6"/>
  <c r="S400" i="6" s="1"/>
  <c r="P401" i="6"/>
  <c r="Q401" i="6" s="1"/>
  <c r="R401" i="6"/>
  <c r="S401" i="6"/>
  <c r="P402" i="6"/>
  <c r="Q402" i="6"/>
  <c r="R402" i="6"/>
  <c r="S402" i="6" s="1"/>
  <c r="P403" i="6"/>
  <c r="Q403" i="6" s="1"/>
  <c r="R403" i="6"/>
  <c r="S403" i="6"/>
  <c r="P404" i="6"/>
  <c r="Q404" i="6" s="1"/>
  <c r="R404" i="6"/>
  <c r="S404" i="6"/>
  <c r="P405" i="6"/>
  <c r="Q405" i="6" s="1"/>
  <c r="R405" i="6"/>
  <c r="S405" i="6"/>
  <c r="P406" i="6"/>
  <c r="Q406" i="6"/>
  <c r="R406" i="6"/>
  <c r="S406" i="6"/>
  <c r="P407" i="6"/>
  <c r="Q407" i="6" s="1"/>
  <c r="R407" i="6"/>
  <c r="S407" i="6"/>
  <c r="P408" i="6"/>
  <c r="Q408" i="6" s="1"/>
  <c r="R408" i="6"/>
  <c r="S408" i="6"/>
  <c r="P409" i="6"/>
  <c r="Q409" i="6" s="1"/>
  <c r="R409" i="6"/>
  <c r="S409" i="6"/>
  <c r="P410" i="6"/>
  <c r="Q410" i="6" s="1"/>
  <c r="R410" i="6"/>
  <c r="S410" i="6"/>
  <c r="P411" i="6"/>
  <c r="Q411" i="6" s="1"/>
  <c r="R411" i="6"/>
  <c r="S411" i="6"/>
  <c r="P412" i="6"/>
  <c r="Q412" i="6" s="1"/>
  <c r="R412" i="6"/>
  <c r="S412" i="6" s="1"/>
  <c r="P413" i="6"/>
  <c r="Q413" i="6" s="1"/>
  <c r="R413" i="6"/>
  <c r="S413" i="6"/>
  <c r="P414" i="6"/>
  <c r="Q414" i="6"/>
  <c r="R414" i="6"/>
  <c r="S414" i="6" s="1"/>
  <c r="P415" i="6"/>
  <c r="Q415" i="6" s="1"/>
  <c r="R415" i="6"/>
  <c r="S415" i="6"/>
  <c r="P416" i="6"/>
  <c r="Q416" i="6"/>
  <c r="R416" i="6"/>
  <c r="S416" i="6" s="1"/>
  <c r="P417" i="6"/>
  <c r="Q417" i="6" s="1"/>
  <c r="R417" i="6"/>
  <c r="S417" i="6"/>
  <c r="P418" i="6"/>
  <c r="Q418" i="6" s="1"/>
  <c r="R418" i="6"/>
  <c r="S418" i="6"/>
  <c r="P419" i="6"/>
  <c r="Q419" i="6" s="1"/>
  <c r="R419" i="6"/>
  <c r="S419" i="6"/>
  <c r="P420" i="6"/>
  <c r="Q420" i="6"/>
  <c r="R420" i="6"/>
  <c r="S420" i="6"/>
  <c r="P421" i="6"/>
  <c r="Q421" i="6" s="1"/>
  <c r="R421" i="6"/>
  <c r="S421" i="6"/>
  <c r="P422" i="6"/>
  <c r="Q422" i="6"/>
  <c r="R422" i="6"/>
  <c r="S422" i="6" s="1"/>
  <c r="P423" i="6"/>
  <c r="Q423" i="6" s="1"/>
  <c r="R423" i="6"/>
  <c r="S423" i="6"/>
  <c r="P424" i="6"/>
  <c r="Q424" i="6" s="1"/>
  <c r="R424" i="6"/>
  <c r="S424" i="6"/>
  <c r="P425" i="6"/>
  <c r="Q425" i="6" s="1"/>
  <c r="R425" i="6"/>
  <c r="S425" i="6"/>
  <c r="P426" i="6"/>
  <c r="Q426" i="6" s="1"/>
  <c r="R426" i="6"/>
  <c r="S426" i="6"/>
  <c r="P427" i="6"/>
  <c r="Q427" i="6" s="1"/>
  <c r="R427" i="6"/>
  <c r="S427" i="6"/>
  <c r="P428" i="6"/>
  <c r="Q428" i="6" s="1"/>
  <c r="R428" i="6"/>
  <c r="S428" i="6" s="1"/>
  <c r="P429" i="6"/>
  <c r="Q429" i="6" s="1"/>
  <c r="R429" i="6"/>
  <c r="S429" i="6"/>
  <c r="P430" i="6"/>
  <c r="Q430" i="6"/>
  <c r="R430" i="6"/>
  <c r="S430" i="6" s="1"/>
  <c r="P431" i="6"/>
  <c r="Q431" i="6" s="1"/>
  <c r="R431" i="6"/>
  <c r="S431" i="6"/>
  <c r="P432" i="6"/>
  <c r="Q432" i="6"/>
  <c r="R432" i="6"/>
  <c r="S432" i="6" s="1"/>
  <c r="P433" i="6"/>
  <c r="Q433" i="6" s="1"/>
  <c r="R433" i="6"/>
  <c r="S433" i="6"/>
  <c r="P434" i="6"/>
  <c r="Q434" i="6"/>
  <c r="R434" i="6"/>
  <c r="S434" i="6"/>
  <c r="P435" i="6"/>
  <c r="Q435" i="6" s="1"/>
  <c r="R435" i="6"/>
  <c r="S435" i="6"/>
  <c r="P436" i="6"/>
  <c r="Q436" i="6"/>
  <c r="R436" i="6"/>
  <c r="S436" i="6" s="1"/>
  <c r="P437" i="6"/>
  <c r="Q437" i="6" s="1"/>
  <c r="R437" i="6"/>
  <c r="S437" i="6"/>
  <c r="P438" i="6"/>
  <c r="Q438" i="6"/>
  <c r="R438" i="6"/>
  <c r="S438" i="6"/>
  <c r="P439" i="6"/>
  <c r="Q439" i="6" s="1"/>
  <c r="R439" i="6"/>
  <c r="S439" i="6"/>
  <c r="P440" i="6"/>
  <c r="Q440" i="6" s="1"/>
  <c r="R440" i="6"/>
  <c r="S440" i="6" s="1"/>
  <c r="P441" i="6"/>
  <c r="Q441" i="6" s="1"/>
  <c r="R441" i="6"/>
  <c r="S441" i="6"/>
  <c r="P442" i="6"/>
  <c r="Q442" i="6" s="1"/>
  <c r="R442" i="6"/>
  <c r="S442" i="6"/>
  <c r="P443" i="6"/>
  <c r="Q443" i="6" s="1"/>
  <c r="R443" i="6"/>
  <c r="S443" i="6"/>
  <c r="P444" i="6"/>
  <c r="Q444" i="6" s="1"/>
  <c r="R444" i="6"/>
  <c r="S444" i="6" s="1"/>
  <c r="P445" i="6"/>
  <c r="Q445" i="6" s="1"/>
  <c r="R445" i="6"/>
  <c r="S445" i="6"/>
  <c r="P446" i="6"/>
  <c r="Q446" i="6" s="1"/>
  <c r="R446" i="6"/>
  <c r="S446" i="6" s="1"/>
  <c r="P447" i="6"/>
  <c r="Q447" i="6" s="1"/>
  <c r="R447" i="6"/>
  <c r="S447" i="6"/>
  <c r="P448" i="6"/>
  <c r="Q448" i="6"/>
  <c r="R448" i="6"/>
  <c r="S448" i="6" s="1"/>
  <c r="P449" i="6"/>
  <c r="Q449" i="6" s="1"/>
  <c r="R449" i="6"/>
  <c r="S449" i="6"/>
  <c r="P450" i="6"/>
  <c r="Q450" i="6"/>
  <c r="R450" i="6"/>
  <c r="S450" i="6"/>
  <c r="P451" i="6"/>
  <c r="Q451" i="6" s="1"/>
  <c r="R451" i="6"/>
  <c r="S451" i="6"/>
  <c r="P452" i="6"/>
  <c r="Q452" i="6" s="1"/>
  <c r="R452" i="6"/>
  <c r="S452" i="6" s="1"/>
  <c r="P453" i="6"/>
  <c r="Q453" i="6" s="1"/>
  <c r="R453" i="6"/>
  <c r="S453" i="6"/>
  <c r="P454" i="6"/>
  <c r="Q454" i="6"/>
  <c r="R454" i="6"/>
  <c r="S454" i="6"/>
  <c r="P455" i="6"/>
  <c r="Q455" i="6" s="1"/>
  <c r="R455" i="6"/>
  <c r="S455" i="6"/>
  <c r="P456" i="6"/>
  <c r="Q456" i="6" s="1"/>
  <c r="R456" i="6"/>
  <c r="S456" i="6"/>
  <c r="P457" i="6"/>
  <c r="Q457" i="6" s="1"/>
  <c r="R457" i="6"/>
  <c r="S457" i="6"/>
  <c r="P458" i="6"/>
  <c r="Q458" i="6" s="1"/>
  <c r="R458" i="6"/>
  <c r="S458" i="6"/>
  <c r="P459" i="6"/>
  <c r="Q459" i="6" s="1"/>
  <c r="R459" i="6"/>
  <c r="S459" i="6"/>
  <c r="P460" i="6"/>
  <c r="Q460" i="6" s="1"/>
  <c r="R460" i="6"/>
  <c r="S460" i="6" s="1"/>
  <c r="P461" i="6"/>
  <c r="Q461" i="6" s="1"/>
  <c r="R461" i="6"/>
  <c r="S461" i="6" s="1"/>
  <c r="P462" i="6"/>
  <c r="Q462" i="6"/>
  <c r="R462" i="6"/>
  <c r="S462" i="6" s="1"/>
  <c r="P463" i="6"/>
  <c r="Q463" i="6" s="1"/>
  <c r="R463" i="6"/>
  <c r="S463" i="6"/>
  <c r="P464" i="6"/>
  <c r="Q464" i="6" s="1"/>
  <c r="R464" i="6"/>
  <c r="S464" i="6" s="1"/>
  <c r="P465" i="6"/>
  <c r="Q465" i="6" s="1"/>
  <c r="R465" i="6"/>
  <c r="S465" i="6"/>
  <c r="P466" i="6"/>
  <c r="Q466" i="6"/>
  <c r="R466" i="6"/>
  <c r="S466" i="6" s="1"/>
  <c r="P467" i="6"/>
  <c r="Q467" i="6" s="1"/>
  <c r="R467" i="6"/>
  <c r="S467" i="6" s="1"/>
  <c r="P468" i="6"/>
  <c r="Q468" i="6"/>
  <c r="R468" i="6"/>
  <c r="S468" i="6"/>
  <c r="P469" i="6"/>
  <c r="Q469" i="6" s="1"/>
  <c r="R469" i="6"/>
  <c r="S469" i="6" s="1"/>
  <c r="P470" i="6"/>
  <c r="Q470" i="6"/>
  <c r="R470" i="6"/>
  <c r="S470" i="6"/>
  <c r="P471" i="6"/>
  <c r="Q471" i="6" s="1"/>
  <c r="R471" i="6"/>
  <c r="S471" i="6" s="1"/>
  <c r="P472" i="6"/>
  <c r="Q472" i="6" s="1"/>
  <c r="R472" i="6"/>
  <c r="S472" i="6"/>
  <c r="P473" i="6"/>
  <c r="Q473" i="6" s="1"/>
  <c r="R473" i="6"/>
  <c r="S473" i="6"/>
  <c r="P474" i="6"/>
  <c r="Q474" i="6" s="1"/>
  <c r="R474" i="6"/>
  <c r="S474" i="6"/>
  <c r="P475" i="6"/>
  <c r="Q475" i="6" s="1"/>
  <c r="R475" i="6"/>
  <c r="S475" i="6"/>
  <c r="P476" i="6"/>
  <c r="Q476" i="6" s="1"/>
  <c r="R476" i="6"/>
  <c r="S476" i="6" s="1"/>
  <c r="P477" i="6"/>
  <c r="Q477" i="6" s="1"/>
  <c r="R477" i="6"/>
  <c r="S477" i="6"/>
  <c r="P478" i="6"/>
  <c r="Q478" i="6"/>
  <c r="R478" i="6"/>
  <c r="S478" i="6" s="1"/>
  <c r="P479" i="6"/>
  <c r="Q479" i="6" s="1"/>
  <c r="R479" i="6"/>
  <c r="S479" i="6" s="1"/>
  <c r="P480" i="6"/>
  <c r="Q480" i="6"/>
  <c r="R480" i="6"/>
  <c r="S480" i="6" s="1"/>
  <c r="P481" i="6"/>
  <c r="Q481" i="6" s="1"/>
  <c r="R481" i="6"/>
  <c r="S481" i="6"/>
  <c r="P482" i="6"/>
  <c r="Q482" i="6" s="1"/>
  <c r="R482" i="6"/>
  <c r="S482" i="6"/>
  <c r="P483" i="6"/>
  <c r="Q483" i="6" s="1"/>
  <c r="R483" i="6"/>
  <c r="S483" i="6" s="1"/>
  <c r="P484" i="6"/>
  <c r="Q484" i="6" s="1"/>
  <c r="R484" i="6"/>
  <c r="S484" i="6" s="1"/>
  <c r="P485" i="6"/>
  <c r="Q485" i="6" s="1"/>
  <c r="R485" i="6"/>
  <c r="S485" i="6" s="1"/>
  <c r="P486" i="6"/>
  <c r="Q486" i="6"/>
  <c r="R486" i="6"/>
  <c r="S486" i="6" s="1"/>
  <c r="P487" i="6"/>
  <c r="Q487" i="6" s="1"/>
  <c r="R487" i="6"/>
  <c r="S487" i="6" s="1"/>
  <c r="P488" i="6"/>
  <c r="Q488" i="6" s="1"/>
  <c r="R488" i="6"/>
  <c r="S488" i="6" s="1"/>
  <c r="P489" i="6"/>
  <c r="Q489" i="6" s="1"/>
  <c r="R489" i="6"/>
  <c r="S489" i="6" s="1"/>
  <c r="P490" i="6"/>
  <c r="Q490" i="6" s="1"/>
  <c r="R490" i="6"/>
  <c r="S490" i="6"/>
  <c r="P491" i="6"/>
  <c r="Q491" i="6" s="1"/>
  <c r="R491" i="6"/>
  <c r="S491" i="6"/>
  <c r="P492" i="6"/>
  <c r="Q492" i="6" s="1"/>
  <c r="R492" i="6"/>
  <c r="S492" i="6" s="1"/>
  <c r="P493" i="6"/>
  <c r="Q493" i="6" s="1"/>
  <c r="R493" i="6"/>
  <c r="S493" i="6"/>
  <c r="P494" i="6"/>
  <c r="Q494" i="6" s="1"/>
  <c r="R494" i="6"/>
  <c r="S494" i="6" s="1"/>
  <c r="P495" i="6"/>
  <c r="Q495" i="6" s="1"/>
  <c r="R495" i="6"/>
  <c r="S495" i="6"/>
  <c r="P496" i="6"/>
  <c r="Q496" i="6"/>
  <c r="R496" i="6"/>
  <c r="S496" i="6" s="1"/>
  <c r="P497" i="6"/>
  <c r="Q497" i="6" s="1"/>
  <c r="R497" i="6"/>
  <c r="S497" i="6"/>
  <c r="P498" i="6"/>
  <c r="Q498" i="6"/>
  <c r="R498" i="6"/>
  <c r="S498" i="6"/>
  <c r="P499" i="6"/>
  <c r="Q499" i="6" s="1"/>
  <c r="R499" i="6"/>
  <c r="S499" i="6" s="1"/>
  <c r="P500" i="6"/>
  <c r="Q500" i="6"/>
  <c r="R500" i="6"/>
  <c r="S500" i="6"/>
  <c r="P501" i="6"/>
  <c r="Q501" i="6" s="1"/>
  <c r="R501" i="6"/>
  <c r="S501" i="6" s="1"/>
  <c r="P502" i="6"/>
  <c r="Q502" i="6"/>
  <c r="R502" i="6"/>
  <c r="S502" i="6"/>
  <c r="P503" i="6"/>
  <c r="Q503" i="6" s="1"/>
  <c r="R503" i="6"/>
  <c r="S503" i="6" s="1"/>
  <c r="P504" i="6"/>
  <c r="Q504" i="6" s="1"/>
  <c r="R504" i="6"/>
  <c r="S504" i="6"/>
  <c r="P505" i="6"/>
  <c r="Q505" i="6" s="1"/>
  <c r="R505" i="6"/>
  <c r="S505" i="6"/>
  <c r="P506" i="6"/>
  <c r="Q506" i="6" s="1"/>
  <c r="R506" i="6"/>
  <c r="S506" i="6"/>
  <c r="P507" i="6"/>
  <c r="Q507" i="6" s="1"/>
  <c r="R507" i="6"/>
  <c r="S507" i="6" s="1"/>
  <c r="P508" i="6"/>
  <c r="Q508" i="6" s="1"/>
  <c r="R508" i="6"/>
  <c r="S508" i="6"/>
  <c r="P509" i="6"/>
  <c r="Q509" i="6" s="1"/>
  <c r="R509" i="6"/>
  <c r="S509" i="6"/>
  <c r="P510" i="6"/>
  <c r="Q510" i="6" s="1"/>
  <c r="R510" i="6"/>
  <c r="S510" i="6" s="1"/>
  <c r="P511" i="6"/>
  <c r="Q511" i="6" s="1"/>
  <c r="R511" i="6"/>
  <c r="S511" i="6"/>
  <c r="P512" i="6"/>
  <c r="Q512" i="6"/>
  <c r="R512" i="6"/>
  <c r="S512" i="6" s="1"/>
  <c r="P513" i="6"/>
  <c r="Q513" i="6" s="1"/>
  <c r="R513" i="6"/>
  <c r="S513" i="6"/>
  <c r="P514" i="6"/>
  <c r="Q514" i="6"/>
  <c r="R514" i="6"/>
  <c r="S514" i="6"/>
  <c r="P515" i="6"/>
  <c r="Q515" i="6" s="1"/>
  <c r="R515" i="6"/>
  <c r="S515" i="6"/>
  <c r="P516" i="6"/>
  <c r="Q516" i="6" s="1"/>
  <c r="R516" i="6"/>
  <c r="S516" i="6" s="1"/>
  <c r="P517" i="6"/>
  <c r="Q517" i="6" s="1"/>
  <c r="R517" i="6"/>
  <c r="S517" i="6" s="1"/>
  <c r="P518" i="6"/>
  <c r="Q518" i="6"/>
  <c r="R518" i="6"/>
  <c r="S518" i="6" s="1"/>
  <c r="P519" i="6"/>
  <c r="Q519" i="6" s="1"/>
  <c r="R519" i="6"/>
  <c r="S519" i="6" s="1"/>
  <c r="P520" i="6"/>
  <c r="Q520" i="6"/>
  <c r="R520" i="6"/>
  <c r="S520" i="6"/>
  <c r="P521" i="6"/>
  <c r="Q521" i="6" s="1"/>
  <c r="R521" i="6"/>
  <c r="S521" i="6"/>
  <c r="P522" i="6"/>
  <c r="Q522" i="6" s="1"/>
  <c r="R522" i="6"/>
  <c r="S522" i="6"/>
  <c r="P523" i="6"/>
  <c r="Q523" i="6" s="1"/>
  <c r="R523" i="6"/>
  <c r="S523" i="6"/>
  <c r="P524" i="6"/>
  <c r="Q524" i="6" s="1"/>
  <c r="R524" i="6"/>
  <c r="S524" i="6"/>
  <c r="P525" i="6"/>
  <c r="Q525" i="6" s="1"/>
  <c r="R525" i="6"/>
  <c r="S525" i="6" s="1"/>
  <c r="P526" i="6"/>
  <c r="Q526" i="6"/>
  <c r="R526" i="6"/>
  <c r="S526" i="6" s="1"/>
  <c r="P527" i="6"/>
  <c r="Q527" i="6" s="1"/>
  <c r="R527" i="6"/>
  <c r="S527" i="6"/>
  <c r="P528" i="6"/>
  <c r="Q528" i="6" s="1"/>
  <c r="R528" i="6"/>
  <c r="S528" i="6" s="1"/>
  <c r="P529" i="6"/>
  <c r="Q529" i="6" s="1"/>
  <c r="R529" i="6"/>
  <c r="S529" i="6"/>
  <c r="P530" i="6"/>
  <c r="Q530" i="6"/>
  <c r="R530" i="6"/>
  <c r="S530" i="6" s="1"/>
  <c r="P531" i="6"/>
  <c r="Q531" i="6" s="1"/>
  <c r="R531" i="6"/>
  <c r="S531" i="6"/>
  <c r="P532" i="6"/>
  <c r="Q532" i="6" s="1"/>
  <c r="R532" i="6"/>
  <c r="S532" i="6"/>
  <c r="P533" i="6"/>
  <c r="Q533" i="6" s="1"/>
  <c r="R533" i="6"/>
  <c r="S533" i="6" s="1"/>
  <c r="P534" i="6"/>
  <c r="Q534" i="6"/>
  <c r="R534" i="6"/>
  <c r="S534" i="6" s="1"/>
  <c r="P535" i="6"/>
  <c r="Q535" i="6" s="1"/>
  <c r="R535" i="6"/>
  <c r="S535" i="6" s="1"/>
  <c r="P536" i="6"/>
  <c r="Q536" i="6"/>
  <c r="R536" i="6"/>
  <c r="S536" i="6" s="1"/>
  <c r="P537" i="6"/>
  <c r="Q537" i="6" s="1"/>
  <c r="R537" i="6"/>
  <c r="S537" i="6"/>
  <c r="P538" i="6"/>
  <c r="Q538" i="6" s="1"/>
  <c r="R538" i="6"/>
  <c r="S538" i="6"/>
  <c r="P539" i="6"/>
  <c r="Q539" i="6" s="1"/>
  <c r="R539" i="6"/>
  <c r="S539" i="6"/>
  <c r="P540" i="6"/>
  <c r="Q540" i="6" s="1"/>
  <c r="R540" i="6"/>
  <c r="S540" i="6"/>
  <c r="P541" i="6"/>
  <c r="Q541" i="6" s="1"/>
  <c r="R541" i="6"/>
  <c r="S541" i="6"/>
  <c r="P542" i="6"/>
  <c r="Q542" i="6"/>
  <c r="R542" i="6"/>
  <c r="S542" i="6" s="1"/>
  <c r="P543" i="6"/>
  <c r="Q543" i="6" s="1"/>
  <c r="R543" i="6"/>
  <c r="S543" i="6" s="1"/>
  <c r="P544" i="6"/>
  <c r="Q544" i="6"/>
  <c r="R544" i="6"/>
  <c r="S544" i="6" s="1"/>
  <c r="P545" i="6"/>
  <c r="Q545" i="6" s="1"/>
  <c r="R545" i="6"/>
  <c r="S545" i="6"/>
  <c r="P546" i="6"/>
  <c r="Q546" i="6" s="1"/>
  <c r="R546" i="6"/>
  <c r="S546" i="6"/>
  <c r="P547" i="6"/>
  <c r="Q547" i="6" s="1"/>
  <c r="R547" i="6"/>
  <c r="S547" i="6"/>
  <c r="P548" i="6"/>
  <c r="Q548" i="6"/>
  <c r="R548" i="6"/>
  <c r="S548" i="6"/>
  <c r="P549" i="6"/>
  <c r="Q549" i="6" s="1"/>
  <c r="R549" i="6"/>
  <c r="S549" i="6" s="1"/>
  <c r="P550" i="6"/>
  <c r="Q550" i="6"/>
  <c r="R550" i="6"/>
  <c r="S550" i="6"/>
  <c r="P551" i="6"/>
  <c r="Q551" i="6" s="1"/>
  <c r="R551" i="6"/>
  <c r="S551" i="6" s="1"/>
  <c r="P552" i="6"/>
  <c r="Q552" i="6"/>
  <c r="R552" i="6"/>
  <c r="S552" i="6" s="1"/>
  <c r="P553" i="6"/>
  <c r="Q553" i="6" s="1"/>
  <c r="R553" i="6"/>
  <c r="S553" i="6" s="1"/>
  <c r="P554" i="6"/>
  <c r="Q554" i="6" s="1"/>
  <c r="R554" i="6"/>
  <c r="S554" i="6"/>
  <c r="P555" i="6"/>
  <c r="Q555" i="6" s="1"/>
  <c r="R555" i="6"/>
  <c r="S555" i="6"/>
  <c r="P556" i="6"/>
  <c r="Q556" i="6" s="1"/>
  <c r="R556" i="6"/>
  <c r="S556" i="6"/>
  <c r="P557" i="6"/>
  <c r="Q557" i="6" s="1"/>
  <c r="R557" i="6"/>
  <c r="S557" i="6"/>
  <c r="P558" i="6"/>
  <c r="Q558" i="6"/>
  <c r="R558" i="6"/>
  <c r="S558" i="6" s="1"/>
  <c r="P559" i="6"/>
  <c r="Q559" i="6" s="1"/>
  <c r="R559" i="6"/>
  <c r="S559" i="6"/>
  <c r="P560" i="6"/>
  <c r="Q560" i="6"/>
  <c r="R560" i="6"/>
  <c r="S560" i="6" s="1"/>
  <c r="P561" i="6"/>
  <c r="Q561" i="6" s="1"/>
  <c r="R561" i="6"/>
  <c r="S561" i="6"/>
  <c r="P562" i="6"/>
  <c r="Q562" i="6"/>
  <c r="R562" i="6"/>
  <c r="S562" i="6"/>
  <c r="P563" i="6"/>
  <c r="Q563" i="6" s="1"/>
  <c r="R563" i="6"/>
  <c r="S563" i="6"/>
  <c r="P564" i="6"/>
  <c r="Q564" i="6"/>
  <c r="R564" i="6"/>
  <c r="S564" i="6" s="1"/>
  <c r="P565" i="6"/>
  <c r="Q565" i="6" s="1"/>
  <c r="R565" i="6"/>
  <c r="S565" i="6" s="1"/>
  <c r="P566" i="6"/>
  <c r="Q566" i="6"/>
  <c r="R566" i="6"/>
  <c r="S566" i="6"/>
  <c r="P567" i="6"/>
  <c r="Q567" i="6" s="1"/>
  <c r="R567" i="6"/>
  <c r="S567" i="6"/>
  <c r="P568" i="6"/>
  <c r="Q568" i="6"/>
  <c r="R568" i="6"/>
  <c r="S568" i="6" s="1"/>
  <c r="P569" i="6"/>
  <c r="Q569" i="6" s="1"/>
  <c r="R569" i="6"/>
  <c r="S569" i="6" s="1"/>
  <c r="P570" i="6"/>
  <c r="Q570" i="6" s="1"/>
  <c r="R570" i="6"/>
  <c r="S570" i="6"/>
  <c r="P571" i="6"/>
  <c r="Q571" i="6" s="1"/>
  <c r="R571" i="6"/>
  <c r="S571" i="6"/>
  <c r="P572" i="6"/>
  <c r="Q572" i="6" s="1"/>
  <c r="R572" i="6"/>
  <c r="S572" i="6"/>
  <c r="P573" i="6"/>
  <c r="Q573" i="6" s="1"/>
  <c r="R573" i="6"/>
  <c r="S573" i="6" s="1"/>
  <c r="P574" i="6"/>
  <c r="Q574" i="6"/>
  <c r="R574" i="6"/>
  <c r="S574" i="6" s="1"/>
  <c r="P575" i="6"/>
  <c r="Q575" i="6" s="1"/>
  <c r="R575" i="6"/>
  <c r="S575" i="6"/>
  <c r="P576" i="6"/>
  <c r="Q576" i="6" s="1"/>
  <c r="R576" i="6"/>
  <c r="S576" i="6"/>
  <c r="P577" i="6"/>
  <c r="Q577" i="6" s="1"/>
  <c r="R577" i="6"/>
  <c r="S577" i="6"/>
  <c r="P578" i="6"/>
  <c r="Q578" i="6"/>
  <c r="R578" i="6"/>
  <c r="S578" i="6"/>
  <c r="P579" i="6"/>
  <c r="Q579" i="6" s="1"/>
  <c r="R579" i="6"/>
  <c r="S579" i="6"/>
  <c r="P580" i="6"/>
  <c r="Q580" i="6"/>
  <c r="R580" i="6"/>
  <c r="S580" i="6" s="1"/>
  <c r="P581" i="6"/>
  <c r="Q581" i="6" s="1"/>
  <c r="R581" i="6"/>
  <c r="S581" i="6" s="1"/>
  <c r="P582" i="6"/>
  <c r="Q582" i="6"/>
  <c r="R582" i="6"/>
  <c r="S582" i="6"/>
  <c r="P583" i="6"/>
  <c r="Q583" i="6" s="1"/>
  <c r="R583" i="6"/>
  <c r="S583" i="6"/>
  <c r="P584" i="6"/>
  <c r="Q584" i="6"/>
  <c r="R584" i="6"/>
  <c r="S584" i="6" s="1"/>
  <c r="P585" i="6"/>
  <c r="Q585" i="6"/>
  <c r="R585" i="6"/>
  <c r="S585" i="6"/>
  <c r="P586" i="6"/>
  <c r="Q586" i="6" s="1"/>
  <c r="R586" i="6"/>
  <c r="S586" i="6"/>
  <c r="P587" i="6"/>
  <c r="Q587" i="6"/>
  <c r="R587" i="6"/>
  <c r="S587" i="6" s="1"/>
  <c r="P588" i="6"/>
  <c r="Q588" i="6" s="1"/>
  <c r="R588" i="6"/>
  <c r="S588" i="6" s="1"/>
  <c r="P589" i="6"/>
  <c r="Q589" i="6" s="1"/>
  <c r="R589" i="6"/>
  <c r="S589" i="6"/>
  <c r="P590" i="6"/>
  <c r="Q590" i="6" s="1"/>
  <c r="R590" i="6"/>
  <c r="S590" i="6"/>
  <c r="P591" i="6"/>
  <c r="Q591" i="6"/>
  <c r="R591" i="6"/>
  <c r="S591" i="6"/>
  <c r="P592" i="6"/>
  <c r="Q592" i="6" s="1"/>
  <c r="R592" i="6"/>
  <c r="S592" i="6"/>
  <c r="P593" i="6"/>
  <c r="Q593" i="6" s="1"/>
  <c r="R593" i="6"/>
  <c r="S593" i="6" s="1"/>
  <c r="P594" i="6"/>
  <c r="Q594" i="6" s="1"/>
  <c r="R594" i="6"/>
  <c r="S594" i="6" s="1"/>
  <c r="P595" i="6"/>
  <c r="Q595" i="6"/>
  <c r="R595" i="6"/>
  <c r="S595" i="6"/>
  <c r="P596" i="6"/>
  <c r="Q596" i="6" s="1"/>
  <c r="R596" i="6"/>
  <c r="S596" i="6"/>
  <c r="P597" i="6"/>
  <c r="Q597" i="6"/>
  <c r="R597" i="6"/>
  <c r="S597" i="6" s="1"/>
  <c r="P598" i="6"/>
  <c r="Q598" i="6" s="1"/>
  <c r="R598" i="6"/>
  <c r="S598" i="6"/>
  <c r="P599" i="6"/>
  <c r="Q599" i="6" s="1"/>
  <c r="R599" i="6"/>
  <c r="S599" i="6"/>
  <c r="P600" i="6"/>
  <c r="Q600" i="6" s="1"/>
  <c r="R600" i="6"/>
  <c r="S600" i="6" s="1"/>
  <c r="P601" i="6"/>
  <c r="Q601" i="6"/>
  <c r="R601" i="6"/>
  <c r="S601" i="6"/>
  <c r="P602" i="6"/>
  <c r="Q602" i="6" s="1"/>
  <c r="R602" i="6"/>
  <c r="S602" i="6"/>
  <c r="P603" i="6"/>
  <c r="Q603" i="6"/>
  <c r="R603" i="6"/>
  <c r="S603" i="6" s="1"/>
  <c r="P604" i="6"/>
  <c r="Q604" i="6" s="1"/>
  <c r="R604" i="6"/>
  <c r="S604" i="6" s="1"/>
  <c r="P605" i="6"/>
  <c r="Q605" i="6" s="1"/>
  <c r="R605" i="6"/>
  <c r="S605" i="6"/>
  <c r="P606" i="6"/>
  <c r="Q606" i="6" s="1"/>
  <c r="R606" i="6"/>
  <c r="S606" i="6"/>
  <c r="P607" i="6"/>
  <c r="Q607" i="6"/>
  <c r="R607" i="6"/>
  <c r="S607" i="6"/>
  <c r="P608" i="6"/>
  <c r="Q608" i="6" s="1"/>
  <c r="R608" i="6"/>
  <c r="S608" i="6"/>
  <c r="P609" i="6"/>
  <c r="Q609" i="6" s="1"/>
  <c r="R609" i="6"/>
  <c r="S609" i="6" s="1"/>
  <c r="P610" i="6"/>
  <c r="Q610" i="6" s="1"/>
  <c r="R610" i="6"/>
  <c r="S610" i="6" s="1"/>
  <c r="P611" i="6"/>
  <c r="Q611" i="6"/>
  <c r="R611" i="6"/>
  <c r="S611" i="6"/>
  <c r="P612" i="6"/>
  <c r="Q612" i="6" s="1"/>
  <c r="R612" i="6"/>
  <c r="S612" i="6"/>
  <c r="P613" i="6"/>
  <c r="Q613" i="6"/>
  <c r="R613" i="6"/>
  <c r="S613" i="6" s="1"/>
  <c r="P614" i="6"/>
  <c r="Q614" i="6" s="1"/>
  <c r="R614" i="6"/>
  <c r="S614" i="6"/>
  <c r="P615" i="6"/>
  <c r="Q615" i="6" s="1"/>
  <c r="R615" i="6"/>
  <c r="S615" i="6"/>
  <c r="P616" i="6"/>
  <c r="Q616" i="6" s="1"/>
  <c r="R616" i="6"/>
  <c r="S616" i="6" s="1"/>
  <c r="P617" i="6"/>
  <c r="Q617" i="6"/>
  <c r="R617" i="6"/>
  <c r="S617" i="6"/>
  <c r="P618" i="6"/>
  <c r="Q618" i="6" s="1"/>
  <c r="R618" i="6"/>
  <c r="S618" i="6"/>
  <c r="P619" i="6"/>
  <c r="Q619" i="6"/>
  <c r="R619" i="6"/>
  <c r="S619" i="6" s="1"/>
  <c r="P620" i="6"/>
  <c r="Q620" i="6" s="1"/>
  <c r="R620" i="6"/>
  <c r="S620" i="6" s="1"/>
  <c r="P621" i="6"/>
  <c r="Q621" i="6" s="1"/>
  <c r="R621" i="6"/>
  <c r="S621" i="6"/>
  <c r="P622" i="6"/>
  <c r="Q622" i="6" s="1"/>
  <c r="R622" i="6"/>
  <c r="S622" i="6"/>
  <c r="P623" i="6"/>
  <c r="Q623" i="6"/>
  <c r="R623" i="6"/>
  <c r="S623" i="6"/>
  <c r="P624" i="6"/>
  <c r="Q624" i="6" s="1"/>
  <c r="R624" i="6"/>
  <c r="S624" i="6"/>
  <c r="P625" i="6"/>
  <c r="Q625" i="6" s="1"/>
  <c r="R625" i="6"/>
  <c r="S625" i="6" s="1"/>
  <c r="P626" i="6"/>
  <c r="Q626" i="6" s="1"/>
  <c r="R626" i="6"/>
  <c r="S626" i="6" s="1"/>
  <c r="P627" i="6"/>
  <c r="Q627" i="6"/>
  <c r="R627" i="6"/>
  <c r="S627" i="6"/>
  <c r="P628" i="6"/>
  <c r="Q628" i="6" s="1"/>
  <c r="R628" i="6"/>
  <c r="S628" i="6"/>
  <c r="P629" i="6"/>
  <c r="Q629" i="6"/>
  <c r="R629" i="6"/>
  <c r="S629" i="6" s="1"/>
  <c r="P630" i="6"/>
  <c r="Q630" i="6" s="1"/>
  <c r="R630" i="6"/>
  <c r="S630" i="6"/>
  <c r="P631" i="6"/>
  <c r="Q631" i="6" s="1"/>
  <c r="R631" i="6"/>
  <c r="S631" i="6"/>
  <c r="P632" i="6"/>
  <c r="Q632" i="6" s="1"/>
  <c r="R632" i="6"/>
  <c r="S632" i="6" s="1"/>
  <c r="P633" i="6"/>
  <c r="Q633" i="6"/>
  <c r="R633" i="6"/>
  <c r="S633" i="6"/>
  <c r="P634" i="6"/>
  <c r="Q634" i="6" s="1"/>
  <c r="R634" i="6"/>
  <c r="S634" i="6"/>
  <c r="P635" i="6"/>
  <c r="Q635" i="6"/>
  <c r="R635" i="6"/>
  <c r="S635" i="6" s="1"/>
  <c r="P636" i="6"/>
  <c r="Q636" i="6" s="1"/>
  <c r="R636" i="6"/>
  <c r="S636" i="6" s="1"/>
  <c r="P637" i="6"/>
  <c r="Q637" i="6" s="1"/>
  <c r="R637" i="6"/>
  <c r="S637" i="6"/>
  <c r="P638" i="6"/>
  <c r="Q638" i="6" s="1"/>
  <c r="R638" i="6"/>
  <c r="S638" i="6"/>
  <c r="P639" i="6"/>
  <c r="Q639" i="6"/>
  <c r="R639" i="6"/>
  <c r="S639" i="6"/>
  <c r="P640" i="6"/>
  <c r="Q640" i="6" s="1"/>
  <c r="R640" i="6"/>
  <c r="S640" i="6"/>
  <c r="P641" i="6"/>
  <c r="Q641" i="6" s="1"/>
  <c r="R641" i="6"/>
  <c r="S641" i="6" s="1"/>
  <c r="P642" i="6"/>
  <c r="Q642" i="6" s="1"/>
  <c r="R642" i="6"/>
  <c r="S642" i="6" s="1"/>
  <c r="P643" i="6"/>
  <c r="Q643" i="6"/>
  <c r="R643" i="6"/>
  <c r="S643" i="6"/>
  <c r="P644" i="6"/>
  <c r="Q644" i="6" s="1"/>
  <c r="R644" i="6"/>
  <c r="S644" i="6"/>
  <c r="P645" i="6"/>
  <c r="Q645" i="6"/>
  <c r="R645" i="6"/>
  <c r="S645" i="6" s="1"/>
  <c r="P646" i="6"/>
  <c r="Q646" i="6" s="1"/>
  <c r="R646" i="6"/>
  <c r="S646" i="6"/>
  <c r="P647" i="6"/>
  <c r="Q647" i="6" s="1"/>
  <c r="R647" i="6"/>
  <c r="S647" i="6"/>
  <c r="P648" i="6"/>
  <c r="Q648" i="6" s="1"/>
  <c r="R648" i="6"/>
  <c r="S648" i="6" s="1"/>
  <c r="P649" i="6"/>
  <c r="Q649" i="6"/>
  <c r="R649" i="6"/>
  <c r="S649" i="6"/>
  <c r="P650" i="6"/>
  <c r="Q650" i="6" s="1"/>
  <c r="R650" i="6"/>
  <c r="S650" i="6"/>
  <c r="P651" i="6"/>
  <c r="Q651" i="6"/>
  <c r="R651" i="6"/>
  <c r="S651" i="6" s="1"/>
  <c r="P652" i="6"/>
  <c r="Q652" i="6" s="1"/>
  <c r="R652" i="6"/>
  <c r="S652" i="6" s="1"/>
  <c r="P653" i="6"/>
  <c r="Q653" i="6" s="1"/>
  <c r="R653" i="6"/>
  <c r="S653" i="6"/>
  <c r="P654" i="6"/>
  <c r="Q654" i="6" s="1"/>
  <c r="R654" i="6"/>
  <c r="S654" i="6"/>
  <c r="P655" i="6"/>
  <c r="Q655" i="6"/>
  <c r="R655" i="6"/>
  <c r="S655" i="6"/>
  <c r="P656" i="6"/>
  <c r="Q656" i="6" s="1"/>
  <c r="R656" i="6"/>
  <c r="S656" i="6"/>
  <c r="P657" i="6"/>
  <c r="Q657" i="6" s="1"/>
  <c r="R657" i="6"/>
  <c r="S657" i="6" s="1"/>
  <c r="P658" i="6"/>
  <c r="Q658" i="6" s="1"/>
  <c r="R658" i="6"/>
  <c r="S658" i="6" s="1"/>
  <c r="P659" i="6"/>
  <c r="Q659" i="6"/>
  <c r="R659" i="6"/>
  <c r="S659" i="6"/>
  <c r="P660" i="6"/>
  <c r="Q660" i="6" s="1"/>
  <c r="R660" i="6"/>
  <c r="S660" i="6"/>
  <c r="P661" i="6"/>
  <c r="Q661" i="6"/>
  <c r="R661" i="6"/>
  <c r="S661" i="6" s="1"/>
  <c r="P662" i="6"/>
  <c r="Q662" i="6" s="1"/>
  <c r="R662" i="6"/>
  <c r="S662" i="6"/>
  <c r="P663" i="6"/>
  <c r="Q663" i="6" s="1"/>
  <c r="R663" i="6"/>
  <c r="S663" i="6"/>
  <c r="P664" i="6"/>
  <c r="Q664" i="6" s="1"/>
  <c r="R664" i="6"/>
  <c r="S664" i="6" s="1"/>
  <c r="P665" i="6"/>
  <c r="Q665" i="6"/>
  <c r="R665" i="6"/>
  <c r="S665" i="6"/>
  <c r="P666" i="6"/>
  <c r="Q666" i="6" s="1"/>
  <c r="R666" i="6"/>
  <c r="S666" i="6"/>
  <c r="P667" i="6"/>
  <c r="Q667" i="6"/>
  <c r="R667" i="6"/>
  <c r="S667" i="6" s="1"/>
  <c r="P668" i="6"/>
  <c r="Q668" i="6" s="1"/>
  <c r="R668" i="6"/>
  <c r="S668" i="6" s="1"/>
  <c r="P669" i="6"/>
  <c r="Q669" i="6" s="1"/>
  <c r="R669" i="6"/>
  <c r="S669" i="6"/>
  <c r="P670" i="6"/>
  <c r="Q670" i="6" s="1"/>
  <c r="R670" i="6"/>
  <c r="S670" i="6"/>
  <c r="P671" i="6"/>
  <c r="Q671" i="6"/>
  <c r="R671" i="6"/>
  <c r="S671" i="6"/>
  <c r="P672" i="6"/>
  <c r="Q672" i="6" s="1"/>
  <c r="R672" i="6"/>
  <c r="S672" i="6"/>
  <c r="P673" i="6"/>
  <c r="Q673" i="6" s="1"/>
  <c r="R673" i="6"/>
  <c r="S673" i="6" s="1"/>
  <c r="P674" i="6"/>
  <c r="Q674" i="6" s="1"/>
  <c r="R674" i="6"/>
  <c r="S674" i="6" s="1"/>
  <c r="P675" i="6"/>
  <c r="Q675" i="6"/>
  <c r="R675" i="6"/>
  <c r="S675" i="6"/>
  <c r="P676" i="6"/>
  <c r="Q676" i="6" s="1"/>
  <c r="R676" i="6"/>
  <c r="S676" i="6"/>
  <c r="P677" i="6"/>
  <c r="Q677" i="6"/>
  <c r="R677" i="6"/>
  <c r="S677" i="6" s="1"/>
  <c r="P678" i="6"/>
  <c r="Q678" i="6" s="1"/>
  <c r="R678" i="6"/>
  <c r="S678" i="6"/>
  <c r="P679" i="6"/>
  <c r="Q679" i="6" s="1"/>
  <c r="R679" i="6"/>
  <c r="S679" i="6"/>
  <c r="P680" i="6"/>
  <c r="Q680" i="6" s="1"/>
  <c r="R680" i="6"/>
  <c r="S680" i="6" s="1"/>
  <c r="P681" i="6"/>
  <c r="Q681" i="6"/>
  <c r="R681" i="6"/>
  <c r="S681" i="6"/>
  <c r="P682" i="6"/>
  <c r="Q682" i="6" s="1"/>
  <c r="R682" i="6"/>
  <c r="S682" i="6" s="1"/>
  <c r="AV7" i="6" l="1"/>
  <c r="AW7" i="6" s="1"/>
  <c r="AX7" i="6"/>
  <c r="AY7" i="6" s="1"/>
  <c r="AL7" i="6"/>
  <c r="AM7" i="6"/>
  <c r="AF7" i="6"/>
  <c r="AG7" i="6" s="1"/>
  <c r="AH7" i="6"/>
  <c r="AI7" i="6" s="1"/>
  <c r="V7" i="6"/>
  <c r="P7" i="6"/>
  <c r="Q7" i="6" s="1"/>
  <c r="R7" i="6"/>
  <c r="S7" i="6" s="1"/>
  <c r="BA7" i="6" l="1"/>
  <c r="W7" i="6"/>
  <c r="AZ7" i="6"/>
  <c r="M611" i="6"/>
  <c r="AC611" i="6" l="1"/>
  <c r="AE609" i="6"/>
  <c r="O611" i="6"/>
  <c r="M610" i="6"/>
  <c r="U609" i="6"/>
  <c r="U610" i="6"/>
  <c r="K610" i="6"/>
  <c r="I610" i="6"/>
  <c r="AE610" i="6"/>
  <c r="O610" i="6"/>
  <c r="K609" i="6"/>
  <c r="Y611" i="6"/>
  <c r="M609" i="6"/>
  <c r="K611" i="6"/>
  <c r="AC609" i="6"/>
  <c r="AA610" i="6"/>
  <c r="O609" i="6"/>
  <c r="Y609" i="6"/>
  <c r="I609" i="6"/>
  <c r="AC610" i="6"/>
  <c r="AE611" i="6"/>
  <c r="Y610" i="6"/>
  <c r="U611" i="6"/>
  <c r="AA609" i="6"/>
  <c r="I611" i="6"/>
  <c r="AA611" i="6"/>
  <c r="AX1" i="6" l="1"/>
  <c r="AY1" i="6" s="1"/>
  <c r="AV1" i="6"/>
  <c r="AW1" i="6" s="1"/>
  <c r="AM1" i="6"/>
  <c r="AL1" i="6"/>
  <c r="AH1" i="6"/>
  <c r="AI1" i="6" s="1"/>
  <c r="AF1" i="6"/>
  <c r="AG1" i="6" s="1"/>
  <c r="W1" i="6"/>
  <c r="V1" i="6"/>
  <c r="R1" i="6"/>
  <c r="S1" i="6" s="1"/>
  <c r="P1" i="6"/>
  <c r="Q1" i="6" s="1"/>
  <c r="K13" i="21"/>
  <c r="M13" i="14"/>
  <c r="C19" i="14"/>
  <c r="K13" i="14"/>
  <c r="AI182" i="9"/>
  <c r="AG171" i="9"/>
  <c r="AH170" i="9"/>
  <c r="AJ182" i="9"/>
  <c r="AF170" i="9"/>
  <c r="D232" i="14"/>
  <c r="AJ170" i="9"/>
  <c r="AH171" i="9"/>
  <c r="AJ171" i="9"/>
  <c r="AJ183" i="9"/>
  <c r="AI171" i="9"/>
  <c r="AG170" i="9"/>
  <c r="AF171" i="9"/>
  <c r="AI170" i="9"/>
  <c r="AI183" i="9"/>
  <c r="BA1" i="6" l="1"/>
  <c r="AZ1" i="6"/>
  <c r="AG180" i="14"/>
  <c r="AN180" i="14"/>
  <c r="AK182" i="9"/>
  <c r="AK171" i="9"/>
  <c r="AK183" i="9"/>
  <c r="AK170" i="9"/>
  <c r="AX15" i="14" l="1"/>
  <c r="AX20" i="14"/>
  <c r="AX25" i="14"/>
  <c r="AW15" i="14"/>
  <c r="AW20" i="14"/>
  <c r="AW25" i="14"/>
  <c r="AV15" i="14"/>
  <c r="AV20" i="14"/>
  <c r="AV25" i="14"/>
  <c r="AU15" i="14"/>
  <c r="AU20" i="14"/>
  <c r="AU25" i="14"/>
  <c r="AT15" i="14"/>
  <c r="AT20" i="14"/>
  <c r="AT25" i="14"/>
  <c r="AS15" i="14"/>
  <c r="AS20" i="14"/>
  <c r="AS25" i="14"/>
  <c r="AR15" i="14"/>
  <c r="AR20" i="14"/>
  <c r="AR25" i="14"/>
  <c r="BD167" i="14"/>
  <c r="BD172" i="14"/>
  <c r="BD177" i="14"/>
  <c r="BC167" i="14"/>
  <c r="BC172" i="14"/>
  <c r="BC177" i="14"/>
  <c r="BB167" i="14"/>
  <c r="BB172" i="14"/>
  <c r="BB177" i="14"/>
  <c r="BA167" i="14"/>
  <c r="BA172" i="14"/>
  <c r="BA177" i="14"/>
  <c r="AZ167" i="14"/>
  <c r="AZ172" i="14"/>
  <c r="AZ177" i="14"/>
  <c r="AW197" i="14"/>
  <c r="AW202" i="14"/>
  <c r="AW207" i="14"/>
  <c r="AV197" i="14"/>
  <c r="AV202" i="14"/>
  <c r="AV207" i="14"/>
  <c r="AU197" i="14"/>
  <c r="AU202" i="14"/>
  <c r="AU207" i="14"/>
  <c r="AR197" i="14"/>
  <c r="AR202" i="14"/>
  <c r="AR207" i="14"/>
  <c r="AQ197" i="14"/>
  <c r="AQ202" i="14"/>
  <c r="AQ207" i="14"/>
  <c r="AP197" i="14"/>
  <c r="AP202" i="14"/>
  <c r="AP207" i="14"/>
  <c r="AW167" i="14"/>
  <c r="AW172" i="14"/>
  <c r="AW177" i="14"/>
  <c r="AV167" i="14"/>
  <c r="AV172" i="14"/>
  <c r="AV177" i="14"/>
  <c r="AU167" i="14"/>
  <c r="AU172" i="14"/>
  <c r="AU177" i="14"/>
  <c r="AT167" i="14"/>
  <c r="AT172" i="14"/>
  <c r="AT177" i="14"/>
  <c r="AS167" i="14"/>
  <c r="AS172" i="14"/>
  <c r="AS177" i="14"/>
  <c r="AO15" i="14"/>
  <c r="AO20" i="14"/>
  <c r="AO25" i="14"/>
  <c r="AN15" i="14"/>
  <c r="AN20" i="14"/>
  <c r="AN25" i="14"/>
  <c r="AM15" i="14"/>
  <c r="AM20" i="14"/>
  <c r="AM25" i="14"/>
  <c r="AL15" i="14"/>
  <c r="AL20" i="14"/>
  <c r="AL25" i="14"/>
  <c r="AK15" i="14"/>
  <c r="AK20" i="14"/>
  <c r="AK25" i="14"/>
  <c r="AJ15" i="14"/>
  <c r="AJ20" i="14"/>
  <c r="AJ25" i="14"/>
  <c r="AI15" i="14"/>
  <c r="AI20" i="14"/>
  <c r="AI25" i="14"/>
  <c r="W207" i="14" l="1"/>
  <c r="U207" i="14"/>
  <c r="S207" i="14"/>
  <c r="M13" i="21"/>
  <c r="E23" i="14"/>
  <c r="E23" i="21"/>
  <c r="I13" i="21"/>
  <c r="M29" i="21"/>
  <c r="D226" i="14"/>
  <c r="D236" i="14"/>
  <c r="D234" i="14"/>
  <c r="D238" i="14"/>
  <c r="D229" i="14"/>
  <c r="D239" i="14"/>
  <c r="D228" i="14"/>
  <c r="D237" i="14"/>
  <c r="D227" i="14"/>
  <c r="D225" i="14"/>
  <c r="D222" i="14"/>
  <c r="D231" i="14"/>
  <c r="D224" i="14"/>
  <c r="D233" i="14"/>
  <c r="R236" i="14"/>
  <c r="D230" i="14"/>
  <c r="D235" i="14"/>
  <c r="AJ23" i="14" l="1"/>
  <c r="AE9" i="14"/>
  <c r="AC9" i="14"/>
  <c r="AA9" i="14"/>
  <c r="Y9" i="14"/>
  <c r="W9" i="14"/>
  <c r="U9" i="14"/>
  <c r="S9" i="14"/>
  <c r="W191" i="14" l="1"/>
  <c r="U191" i="14"/>
  <c r="S191" i="14"/>
  <c r="S161" i="14"/>
  <c r="U161" i="14"/>
  <c r="W161" i="14"/>
  <c r="Y161" i="14"/>
  <c r="AA161" i="14"/>
  <c r="AB29" i="14"/>
  <c r="V21" i="14"/>
  <c r="V18" i="14"/>
  <c r="V205" i="14"/>
  <c r="V28" i="14"/>
  <c r="V206" i="14"/>
  <c r="V193" i="14"/>
  <c r="V17" i="14"/>
  <c r="V211" i="14"/>
  <c r="V22" i="14"/>
  <c r="I13" i="14"/>
  <c r="V200" i="14"/>
  <c r="V209" i="14"/>
  <c r="V23" i="14"/>
  <c r="V13" i="14"/>
  <c r="V29" i="14"/>
  <c r="M29" i="14"/>
  <c r="V16" i="14"/>
  <c r="V194" i="14"/>
  <c r="V24" i="14"/>
  <c r="V12" i="14"/>
  <c r="V14" i="14"/>
  <c r="V198" i="14"/>
  <c r="V204" i="14"/>
  <c r="Z29" i="14"/>
  <c r="V27" i="14"/>
  <c r="V199" i="14"/>
  <c r="V11" i="14"/>
  <c r="V203" i="14"/>
  <c r="V208" i="14"/>
  <c r="V26" i="14"/>
  <c r="V210" i="14"/>
  <c r="V195" i="14"/>
  <c r="V19" i="14"/>
  <c r="V196" i="14"/>
  <c r="V201" i="14"/>
  <c r="I110" i="21"/>
  <c r="I140" i="21"/>
  <c r="I142" i="21"/>
  <c r="U106" i="14"/>
  <c r="I118" i="21"/>
  <c r="I145" i="21"/>
  <c r="I120" i="21"/>
  <c r="I134" i="21"/>
  <c r="I135" i="21"/>
  <c r="I107" i="21"/>
  <c r="L9" i="14"/>
  <c r="I108" i="21"/>
  <c r="I102" i="21"/>
  <c r="I100" i="21"/>
  <c r="I138" i="21"/>
  <c r="I113" i="21"/>
  <c r="I139" i="21"/>
  <c r="V106" i="14"/>
  <c r="H9" i="14"/>
  <c r="S106" i="14"/>
  <c r="I147" i="21"/>
  <c r="I104" i="21"/>
  <c r="S224" i="14"/>
  <c r="I144" i="21"/>
  <c r="N9" i="14"/>
  <c r="I133" i="21"/>
  <c r="I150" i="21"/>
  <c r="I109" i="21"/>
  <c r="I115" i="21"/>
  <c r="I148" i="21"/>
  <c r="I103" i="21"/>
  <c r="B9" i="14"/>
  <c r="T106" i="14"/>
  <c r="I143" i="21"/>
  <c r="I132" i="21"/>
  <c r="I117" i="21"/>
  <c r="R106" i="14"/>
  <c r="W106" i="14"/>
  <c r="Y106" i="14"/>
  <c r="I119" i="21"/>
  <c r="I137" i="21"/>
  <c r="X106" i="14"/>
  <c r="D9" i="14"/>
  <c r="J9" i="14"/>
  <c r="I130" i="21"/>
  <c r="I114" i="21"/>
  <c r="I112" i="21"/>
  <c r="F9" i="14"/>
  <c r="I149" i="21"/>
  <c r="I105" i="21"/>
  <c r="AT29" i="14" l="1"/>
  <c r="AV29" i="14"/>
  <c r="AT22" i="14"/>
  <c r="AW199" i="14"/>
  <c r="AT24" i="14"/>
  <c r="AW203" i="14"/>
  <c r="AW209" i="14"/>
  <c r="AW211" i="14"/>
  <c r="AW29" i="14"/>
  <c r="AW210" i="14"/>
  <c r="AW196" i="14"/>
  <c r="AW198" i="14"/>
  <c r="AT13" i="14"/>
  <c r="AW204" i="14"/>
  <c r="AT26" i="14"/>
  <c r="AW193" i="14"/>
  <c r="AT12" i="14"/>
  <c r="AT16" i="14"/>
  <c r="AW201" i="14"/>
  <c r="AT19" i="14"/>
  <c r="AT23" i="14"/>
  <c r="AT27" i="14"/>
  <c r="AW194" i="14"/>
  <c r="AW205" i="14"/>
  <c r="AT17" i="14"/>
  <c r="AT21" i="14"/>
  <c r="AW200" i="14"/>
  <c r="AT18" i="14"/>
  <c r="AW206" i="14"/>
  <c r="AT14" i="14"/>
  <c r="AW208" i="14"/>
  <c r="AW195" i="14"/>
  <c r="AT28" i="14"/>
  <c r="AT11" i="14"/>
  <c r="AL13" i="14"/>
  <c r="AN29" i="14"/>
  <c r="F190" i="21"/>
  <c r="AC29" i="14"/>
  <c r="F204" i="21"/>
  <c r="F208" i="21"/>
  <c r="F202" i="21"/>
  <c r="F210" i="21"/>
  <c r="F209" i="21"/>
  <c r="F207" i="21"/>
  <c r="F192" i="21"/>
  <c r="F200" i="21"/>
  <c r="F194" i="21"/>
  <c r="F205" i="21"/>
  <c r="F203" i="21"/>
  <c r="F198" i="21"/>
  <c r="F193" i="21"/>
  <c r="F199" i="21"/>
  <c r="F195" i="21"/>
  <c r="F197" i="21"/>
  <c r="G194" i="14"/>
  <c r="G205" i="14"/>
  <c r="G201" i="14"/>
  <c r="G198" i="14"/>
  <c r="G200" i="14"/>
  <c r="G199" i="14"/>
  <c r="G196" i="14"/>
  <c r="G209" i="14"/>
  <c r="G211" i="14"/>
  <c r="G206" i="14"/>
  <c r="G208" i="14"/>
  <c r="G210" i="14"/>
  <c r="G203" i="14"/>
  <c r="G195" i="14"/>
  <c r="G193" i="14"/>
  <c r="G204" i="14"/>
  <c r="X149" i="14"/>
  <c r="X140" i="14"/>
  <c r="X139" i="14"/>
  <c r="X148" i="14"/>
  <c r="Y111" i="14"/>
  <c r="X146" i="14"/>
  <c r="Y118" i="14"/>
  <c r="Y121" i="14"/>
  <c r="X141" i="14"/>
  <c r="X134" i="14"/>
  <c r="Y116" i="14"/>
  <c r="Y103" i="14"/>
  <c r="Y120" i="14"/>
  <c r="Y119" i="14"/>
  <c r="X135" i="14"/>
  <c r="X133" i="14"/>
  <c r="X131" i="14"/>
  <c r="X138" i="14"/>
  <c r="Y113" i="14"/>
  <c r="X143" i="14"/>
  <c r="Y114" i="14"/>
  <c r="Y108" i="14"/>
  <c r="X145" i="14"/>
  <c r="X144" i="14"/>
  <c r="X136" i="14"/>
  <c r="Y109" i="14"/>
  <c r="Y101" i="14"/>
  <c r="Y105" i="14"/>
  <c r="X150" i="14"/>
  <c r="X151" i="14"/>
  <c r="Y115" i="14"/>
  <c r="Y110" i="14"/>
  <c r="Y104" i="14"/>
  <c r="AR198" i="14" l="1"/>
  <c r="AR201" i="14"/>
  <c r="AR206" i="14"/>
  <c r="AR208" i="14"/>
  <c r="AR204" i="14"/>
  <c r="AR193" i="14"/>
  <c r="AR205" i="14"/>
  <c r="AR194" i="14"/>
  <c r="AR203" i="14"/>
  <c r="AR210" i="14"/>
  <c r="AR195" i="14"/>
  <c r="AR211" i="14"/>
  <c r="AR209" i="14"/>
  <c r="AR196" i="14"/>
  <c r="AR199" i="14"/>
  <c r="AR200" i="14"/>
  <c r="W201" i="14"/>
  <c r="W209" i="14"/>
  <c r="W196" i="14"/>
  <c r="W193" i="14"/>
  <c r="W208" i="14"/>
  <c r="W199" i="14"/>
  <c r="W210" i="14"/>
  <c r="W194" i="14"/>
  <c r="W204" i="14"/>
  <c r="W206" i="14"/>
  <c r="W198" i="14"/>
  <c r="W200" i="14"/>
  <c r="W203" i="14"/>
  <c r="W195" i="14"/>
  <c r="W211" i="14"/>
  <c r="W205" i="14"/>
  <c r="AO179" i="14" l="1"/>
  <c r="AH179" i="14"/>
  <c r="AD179" i="14"/>
  <c r="AK179" i="14"/>
  <c r="AO180" i="14"/>
  <c r="AH180" i="14"/>
  <c r="AN179" i="14" l="1"/>
  <c r="AG179" i="14"/>
  <c r="AL179" i="14"/>
  <c r="AF179" i="14"/>
  <c r="AE179" i="14"/>
  <c r="AM179" i="14"/>
  <c r="AO161" i="14"/>
  <c r="AB223" i="14" l="1"/>
  <c r="AL208" i="14" l="1"/>
  <c r="AL199" i="14"/>
  <c r="AL211" i="14"/>
  <c r="AL209" i="14"/>
  <c r="AL193" i="14"/>
  <c r="AL200" i="14"/>
  <c r="AL210" i="14"/>
  <c r="AL205" i="14"/>
  <c r="AL201" i="14"/>
  <c r="AL194" i="14"/>
  <c r="AL203" i="14"/>
  <c r="AL204" i="14"/>
  <c r="AL196" i="14"/>
  <c r="AL195" i="14"/>
  <c r="AL198" i="14"/>
  <c r="AL206" i="14"/>
  <c r="K173" i="21"/>
  <c r="AD21" i="14"/>
  <c r="O27" i="21"/>
  <c r="G165" i="14"/>
  <c r="AD22" i="14"/>
  <c r="I24" i="14"/>
  <c r="R200" i="14"/>
  <c r="AB16" i="14"/>
  <c r="E16" i="14"/>
  <c r="O28" i="21"/>
  <c r="K171" i="14"/>
  <c r="C13" i="14"/>
  <c r="K172" i="21"/>
  <c r="I168" i="14"/>
  <c r="R178" i="14"/>
  <c r="G28" i="14"/>
  <c r="I163" i="21"/>
  <c r="K26" i="21"/>
  <c r="T163" i="14"/>
  <c r="X17" i="14"/>
  <c r="E168" i="21"/>
  <c r="AD28" i="14"/>
  <c r="Z163" i="14"/>
  <c r="X173" i="14"/>
  <c r="C205" i="14"/>
  <c r="X13" i="14"/>
  <c r="C18" i="21"/>
  <c r="I29" i="21"/>
  <c r="K167" i="21"/>
  <c r="T204" i="14"/>
  <c r="G174" i="21"/>
  <c r="T179" i="14"/>
  <c r="R13" i="14"/>
  <c r="K164" i="14"/>
  <c r="C12" i="14"/>
  <c r="R11" i="14"/>
  <c r="G164" i="21"/>
  <c r="E11" i="21"/>
  <c r="I22" i="14"/>
  <c r="K16" i="21"/>
  <c r="C203" i="14"/>
  <c r="M14" i="21"/>
  <c r="K19" i="21"/>
  <c r="I169" i="21"/>
  <c r="R196" i="14"/>
  <c r="G21" i="21"/>
  <c r="K14" i="14"/>
  <c r="X24" i="14"/>
  <c r="R194" i="14"/>
  <c r="M28" i="21"/>
  <c r="C11" i="21"/>
  <c r="Z181" i="14"/>
  <c r="E181" i="14"/>
  <c r="C203" i="21"/>
  <c r="C16" i="21"/>
  <c r="I21" i="14"/>
  <c r="V171" i="14"/>
  <c r="T178" i="14"/>
  <c r="R179" i="14"/>
  <c r="I171" i="14"/>
  <c r="O29" i="21"/>
  <c r="M17" i="21"/>
  <c r="C178" i="21"/>
  <c r="G18" i="21"/>
  <c r="G203" i="21"/>
  <c r="G179" i="21"/>
  <c r="K168" i="14"/>
  <c r="E179" i="14"/>
  <c r="V170" i="14"/>
  <c r="K21" i="14"/>
  <c r="K162" i="21"/>
  <c r="I16" i="14"/>
  <c r="E199" i="21"/>
  <c r="I175" i="21"/>
  <c r="G167" i="21"/>
  <c r="K24" i="21"/>
  <c r="R211" i="14"/>
  <c r="E169" i="21"/>
  <c r="V165" i="14"/>
  <c r="O24" i="21"/>
  <c r="K22" i="21"/>
  <c r="K175" i="14"/>
  <c r="R173" i="14"/>
  <c r="I27" i="21"/>
  <c r="E195" i="21"/>
  <c r="K28" i="21"/>
  <c r="X170" i="14"/>
  <c r="K175" i="21"/>
  <c r="E16" i="21"/>
  <c r="G178" i="14"/>
  <c r="G17" i="21"/>
  <c r="E209" i="14"/>
  <c r="Z166" i="14"/>
  <c r="G166" i="14"/>
  <c r="T171" i="14"/>
  <c r="E28" i="14"/>
  <c r="E178" i="21"/>
  <c r="E194" i="14"/>
  <c r="E14" i="14"/>
  <c r="V180" i="14"/>
  <c r="I172" i="21"/>
  <c r="E164" i="14"/>
  <c r="V163" i="14"/>
  <c r="E171" i="14"/>
  <c r="E198" i="21"/>
  <c r="T195" i="14"/>
  <c r="V176" i="14"/>
  <c r="K21" i="21"/>
  <c r="T169" i="14"/>
  <c r="C27" i="14"/>
  <c r="M14" i="14"/>
  <c r="K16" i="14"/>
  <c r="K174" i="21"/>
  <c r="AB18" i="14"/>
  <c r="C163" i="14"/>
  <c r="C193" i="14"/>
  <c r="T17" i="14"/>
  <c r="T201" i="14"/>
  <c r="K181" i="14"/>
  <c r="C14" i="21"/>
  <c r="T29" i="14"/>
  <c r="I164" i="14"/>
  <c r="G169" i="21"/>
  <c r="X26" i="14"/>
  <c r="K163" i="14"/>
  <c r="Z164" i="14"/>
  <c r="K27" i="14"/>
  <c r="G207" i="21"/>
  <c r="AD24" i="14"/>
  <c r="E29" i="21"/>
  <c r="I26" i="14"/>
  <c r="O21" i="14"/>
  <c r="G163" i="14"/>
  <c r="I12" i="14"/>
  <c r="T28" i="14"/>
  <c r="R209" i="14"/>
  <c r="E204" i="14"/>
  <c r="G204" i="21"/>
  <c r="E29" i="14"/>
  <c r="K17" i="21"/>
  <c r="I164" i="21"/>
  <c r="K163" i="21"/>
  <c r="I23" i="21"/>
  <c r="G162" i="21"/>
  <c r="G170" i="14"/>
  <c r="C207" i="21"/>
  <c r="Z171" i="14"/>
  <c r="C28" i="21"/>
  <c r="Z24" i="14"/>
  <c r="R208" i="14"/>
  <c r="AB13" i="14"/>
  <c r="K168" i="21"/>
  <c r="I179" i="14"/>
  <c r="E197" i="21"/>
  <c r="C178" i="14"/>
  <c r="M18" i="21"/>
  <c r="M22" i="21"/>
  <c r="G24" i="21"/>
  <c r="C204" i="21"/>
  <c r="E165" i="21"/>
  <c r="E178" i="14"/>
  <c r="C206" i="14"/>
  <c r="T196" i="14"/>
  <c r="R201" i="14"/>
  <c r="C12" i="21"/>
  <c r="G11" i="14"/>
  <c r="X180" i="14"/>
  <c r="G22" i="21"/>
  <c r="AD26" i="14"/>
  <c r="K24" i="14"/>
  <c r="E163" i="14"/>
  <c r="AD13" i="14"/>
  <c r="E194" i="21"/>
  <c r="T176" i="14"/>
  <c r="C193" i="21"/>
  <c r="V175" i="14"/>
  <c r="C210" i="14"/>
  <c r="E19" i="21"/>
  <c r="I170" i="14"/>
  <c r="G168" i="21"/>
  <c r="C174" i="21"/>
  <c r="K19" i="14"/>
  <c r="X179" i="14"/>
  <c r="M19" i="21"/>
  <c r="C17" i="14"/>
  <c r="E193" i="14"/>
  <c r="E22" i="14"/>
  <c r="AD11" i="14"/>
  <c r="R17" i="14"/>
  <c r="G205" i="21"/>
  <c r="X163" i="14"/>
  <c r="AB24" i="14"/>
  <c r="E24" i="14"/>
  <c r="X18" i="14"/>
  <c r="E209" i="21"/>
  <c r="K18" i="14"/>
  <c r="M12" i="14"/>
  <c r="E202" i="21"/>
  <c r="Z23" i="14"/>
  <c r="I173" i="14"/>
  <c r="E196" i="14"/>
  <c r="E199" i="14"/>
  <c r="AD14" i="14"/>
  <c r="R27" i="14"/>
  <c r="C16" i="14"/>
  <c r="I18" i="21"/>
  <c r="X28" i="14"/>
  <c r="T21" i="14"/>
  <c r="I181" i="14"/>
  <c r="X168" i="14"/>
  <c r="K180" i="14"/>
  <c r="M16" i="21"/>
  <c r="C204" i="14"/>
  <c r="E17" i="21"/>
  <c r="G175" i="14"/>
  <c r="K164" i="21"/>
  <c r="G178" i="21"/>
  <c r="R166" i="14"/>
  <c r="I176" i="14"/>
  <c r="C172" i="21"/>
  <c r="C168" i="21"/>
  <c r="X176" i="14"/>
  <c r="X165" i="14"/>
  <c r="K165" i="21"/>
  <c r="E176" i="14"/>
  <c r="T175" i="14"/>
  <c r="C174" i="14"/>
  <c r="X27" i="14"/>
  <c r="T168" i="14"/>
  <c r="O11" i="21"/>
  <c r="G23" i="21"/>
  <c r="E17" i="14"/>
  <c r="T181" i="14"/>
  <c r="G163" i="21"/>
  <c r="O27" i="14"/>
  <c r="I19" i="14"/>
  <c r="X12" i="14"/>
  <c r="O18" i="14"/>
  <c r="G19" i="21"/>
  <c r="E27" i="14"/>
  <c r="C21" i="21"/>
  <c r="E168" i="14"/>
  <c r="C18" i="14"/>
  <c r="E18" i="14"/>
  <c r="Z178" i="14"/>
  <c r="E169" i="14"/>
  <c r="C14" i="14"/>
  <c r="T18" i="14"/>
  <c r="AD27" i="14"/>
  <c r="G209" i="21"/>
  <c r="Z11" i="14"/>
  <c r="K14" i="21"/>
  <c r="AB19" i="14"/>
  <c r="C23" i="21"/>
  <c r="AB27" i="14"/>
  <c r="G180" i="21"/>
  <c r="O28" i="14"/>
  <c r="Z180" i="14"/>
  <c r="I12" i="21"/>
  <c r="I166" i="14"/>
  <c r="V164" i="14"/>
  <c r="R163" i="14"/>
  <c r="C195" i="21"/>
  <c r="I28" i="21"/>
  <c r="T164" i="14"/>
  <c r="V174" i="14"/>
  <c r="C163" i="21"/>
  <c r="C11" i="14"/>
  <c r="Z174" i="14"/>
  <c r="I175" i="14"/>
  <c r="O12" i="21"/>
  <c r="G24" i="14"/>
  <c r="E200" i="14"/>
  <c r="K178" i="21"/>
  <c r="C199" i="14"/>
  <c r="K12" i="14"/>
  <c r="X175" i="14"/>
  <c r="C168" i="14"/>
  <c r="E180" i="14"/>
  <c r="T205" i="14"/>
  <c r="C196" i="14"/>
  <c r="E12" i="14"/>
  <c r="C202" i="21"/>
  <c r="G193" i="21"/>
  <c r="I177" i="21"/>
  <c r="M21" i="14"/>
  <c r="Z165" i="14"/>
  <c r="O21" i="21"/>
  <c r="G173" i="21"/>
  <c r="G197" i="21"/>
  <c r="M16" i="14"/>
  <c r="C162" i="21"/>
  <c r="V179" i="14"/>
  <c r="G16" i="21"/>
  <c r="E173" i="21"/>
  <c r="K178" i="14"/>
  <c r="E205" i="14"/>
  <c r="R171" i="14"/>
  <c r="C29" i="21"/>
  <c r="C194" i="21"/>
  <c r="C169" i="21"/>
  <c r="O26" i="21"/>
  <c r="G165" i="21"/>
  <c r="R16" i="14"/>
  <c r="R29" i="14"/>
  <c r="E165" i="14"/>
  <c r="C24" i="14"/>
  <c r="R23" i="14"/>
  <c r="G173" i="14"/>
  <c r="C175" i="21"/>
  <c r="E174" i="14"/>
  <c r="T165" i="14"/>
  <c r="E205" i="21"/>
  <c r="Z176" i="14"/>
  <c r="C23" i="14"/>
  <c r="C22" i="21"/>
  <c r="K177" i="21"/>
  <c r="K29" i="21"/>
  <c r="C200" i="21"/>
  <c r="G195" i="21"/>
  <c r="O26" i="14"/>
  <c r="C209" i="21"/>
  <c r="O13" i="14"/>
  <c r="E208" i="14"/>
  <c r="I11" i="21"/>
  <c r="I26" i="21"/>
  <c r="I169" i="14"/>
  <c r="E195" i="14"/>
  <c r="K170" i="21"/>
  <c r="AB23" i="14"/>
  <c r="M26" i="14"/>
  <c r="K26" i="14"/>
  <c r="AB28" i="14"/>
  <c r="X22" i="14"/>
  <c r="C199" i="21"/>
  <c r="Z16" i="14"/>
  <c r="G12" i="14"/>
  <c r="G26" i="21"/>
  <c r="K166" i="14"/>
  <c r="G23" i="14"/>
  <c r="T22" i="14"/>
  <c r="C179" i="21"/>
  <c r="C164" i="14"/>
  <c r="K17" i="14"/>
  <c r="V181" i="14"/>
  <c r="O23" i="14"/>
  <c r="E18" i="21"/>
  <c r="E26" i="14"/>
  <c r="M12" i="21"/>
  <c r="C211" i="14"/>
  <c r="G179" i="14"/>
  <c r="G17" i="14"/>
  <c r="C200" i="14"/>
  <c r="R165" i="14"/>
  <c r="O17" i="14"/>
  <c r="Z168" i="14"/>
  <c r="O16" i="14"/>
  <c r="C24" i="21"/>
  <c r="E21" i="14"/>
  <c r="G170" i="21"/>
  <c r="K170" i="14"/>
  <c r="G200" i="21"/>
  <c r="T16" i="14"/>
  <c r="C180" i="21"/>
  <c r="R193" i="14"/>
  <c r="G27" i="21"/>
  <c r="R169" i="14"/>
  <c r="I23" i="14"/>
  <c r="O19" i="14"/>
  <c r="T198" i="14"/>
  <c r="AD19" i="14"/>
  <c r="E193" i="21"/>
  <c r="C175" i="14"/>
  <c r="T166" i="14"/>
  <c r="K11" i="21"/>
  <c r="G171" i="14"/>
  <c r="C26" i="21"/>
  <c r="AB14" i="14"/>
  <c r="T26" i="14"/>
  <c r="T24" i="14"/>
  <c r="I22" i="21"/>
  <c r="M23" i="14"/>
  <c r="C28" i="14"/>
  <c r="M19" i="14"/>
  <c r="C171" i="14"/>
  <c r="K173" i="14"/>
  <c r="R205" i="14"/>
  <c r="G29" i="21"/>
  <c r="I173" i="21"/>
  <c r="C29" i="14"/>
  <c r="C173" i="21"/>
  <c r="Z13" i="14"/>
  <c r="T12" i="14"/>
  <c r="E172" i="21"/>
  <c r="M28" i="14"/>
  <c r="V178" i="14"/>
  <c r="X181" i="14"/>
  <c r="Z170" i="14"/>
  <c r="C198" i="21"/>
  <c r="I180" i="14"/>
  <c r="T208" i="14"/>
  <c r="C170" i="14"/>
  <c r="K179" i="14"/>
  <c r="I179" i="21"/>
  <c r="T209" i="14"/>
  <c r="G12" i="21"/>
  <c r="Z179" i="14"/>
  <c r="R21" i="14"/>
  <c r="AD12" i="14"/>
  <c r="E13" i="21"/>
  <c r="R175" i="14"/>
  <c r="C13" i="21"/>
  <c r="K22" i="14"/>
  <c r="K18" i="21"/>
  <c r="O16" i="21"/>
  <c r="R176" i="14"/>
  <c r="I165" i="14"/>
  <c r="G18" i="14"/>
  <c r="C22" i="14"/>
  <c r="O22" i="21"/>
  <c r="C21" i="14"/>
  <c r="E162" i="21"/>
  <c r="I24" i="21"/>
  <c r="O11" i="14"/>
  <c r="T210" i="14"/>
  <c r="T180" i="14"/>
  <c r="R195" i="14"/>
  <c r="AD16" i="14"/>
  <c r="T173" i="14"/>
  <c r="G29" i="14"/>
  <c r="E19" i="14"/>
  <c r="E13" i="14"/>
  <c r="T211" i="14"/>
  <c r="G180" i="14"/>
  <c r="G168" i="14"/>
  <c r="E180" i="21"/>
  <c r="C210" i="21"/>
  <c r="C208" i="21"/>
  <c r="G14" i="14"/>
  <c r="I163" i="14"/>
  <c r="C194" i="14"/>
  <c r="O17" i="21"/>
  <c r="C201" i="14"/>
  <c r="C181" i="14"/>
  <c r="T13" i="14"/>
  <c r="C209" i="14"/>
  <c r="I11" i="14"/>
  <c r="R18" i="14"/>
  <c r="I162" i="21"/>
  <c r="K169" i="21"/>
  <c r="M23" i="21"/>
  <c r="C208" i="14"/>
  <c r="C19" i="21"/>
  <c r="C192" i="21"/>
  <c r="G11" i="21"/>
  <c r="Z12" i="14"/>
  <c r="I174" i="21"/>
  <c r="E166" i="14"/>
  <c r="X178" i="14"/>
  <c r="C167" i="21"/>
  <c r="I165" i="21"/>
  <c r="E204" i="21"/>
  <c r="E175" i="21"/>
  <c r="G28" i="21"/>
  <c r="E14" i="21"/>
  <c r="R210" i="14"/>
  <c r="I16" i="21"/>
  <c r="R168" i="14"/>
  <c r="T193" i="14"/>
  <c r="T27" i="14"/>
  <c r="M24" i="14"/>
  <c r="C165" i="14"/>
  <c r="Z175" i="14"/>
  <c r="X11" i="14"/>
  <c r="I170" i="21"/>
  <c r="E179" i="21"/>
  <c r="I18" i="14"/>
  <c r="V169" i="14"/>
  <c r="X166" i="14"/>
  <c r="C180" i="14"/>
  <c r="T19" i="14"/>
  <c r="R198" i="14"/>
  <c r="I180" i="21"/>
  <c r="X14" i="14"/>
  <c r="K29" i="14"/>
  <c r="R174" i="14"/>
  <c r="E22" i="21"/>
  <c r="G177" i="21"/>
  <c r="C169" i="14"/>
  <c r="C176" i="14"/>
  <c r="I17" i="14"/>
  <c r="C17" i="21"/>
  <c r="G172" i="21"/>
  <c r="R26" i="14"/>
  <c r="C205" i="21"/>
  <c r="R164" i="14"/>
  <c r="I174" i="14"/>
  <c r="G13" i="21"/>
  <c r="M24" i="21"/>
  <c r="G175" i="21"/>
  <c r="E26" i="21"/>
  <c r="Z14" i="14"/>
  <c r="X29" i="14"/>
  <c r="M27" i="14"/>
  <c r="O18" i="21"/>
  <c r="O19" i="21"/>
  <c r="G176" i="14"/>
  <c r="AD29" i="14"/>
  <c r="E177" i="21"/>
  <c r="K27" i="21"/>
  <c r="X19" i="14"/>
  <c r="I178" i="14"/>
  <c r="C26" i="14"/>
  <c r="R206" i="14"/>
  <c r="E207" i="21"/>
  <c r="E21" i="21"/>
  <c r="G202" i="21"/>
  <c r="G14" i="21"/>
  <c r="M26" i="21"/>
  <c r="G174" i="14"/>
  <c r="O13" i="21"/>
  <c r="G181" i="14"/>
  <c r="V166" i="14"/>
  <c r="E175" i="14"/>
  <c r="E24" i="21"/>
  <c r="G198" i="21"/>
  <c r="C165" i="21"/>
  <c r="T14" i="14"/>
  <c r="AD23" i="14"/>
  <c r="E210" i="21"/>
  <c r="K23" i="14"/>
  <c r="O24" i="14"/>
  <c r="AB12" i="14"/>
  <c r="I28" i="14"/>
  <c r="E208" i="21"/>
  <c r="T203" i="14"/>
  <c r="E164" i="21"/>
  <c r="K23" i="21"/>
  <c r="X23" i="14"/>
  <c r="O12" i="14"/>
  <c r="V173" i="14"/>
  <c r="AB11" i="14"/>
  <c r="C173" i="14"/>
  <c r="G26" i="14"/>
  <c r="E201" i="14"/>
  <c r="X169" i="14"/>
  <c r="K165" i="14"/>
  <c r="I21" i="21"/>
  <c r="V168" i="14"/>
  <c r="Z173" i="14"/>
  <c r="K12" i="21"/>
  <c r="I14" i="21"/>
  <c r="K176" i="14"/>
  <c r="M18" i="14"/>
  <c r="C197" i="21"/>
  <c r="G21" i="14"/>
  <c r="E203" i="14"/>
  <c r="R181" i="14"/>
  <c r="AB21" i="14"/>
  <c r="R14" i="14"/>
  <c r="E28" i="21"/>
  <c r="R204" i="14"/>
  <c r="G210" i="21"/>
  <c r="M11" i="21"/>
  <c r="I178" i="21"/>
  <c r="I167" i="21"/>
  <c r="O14" i="21"/>
  <c r="E170" i="14"/>
  <c r="X164" i="14"/>
  <c r="E192" i="21"/>
  <c r="G27" i="14"/>
  <c r="Z21" i="14"/>
  <c r="R203" i="14"/>
  <c r="G16" i="14"/>
  <c r="G22" i="14"/>
  <c r="Z28" i="14"/>
  <c r="R199" i="14"/>
  <c r="R170" i="14"/>
  <c r="X171" i="14"/>
  <c r="C166" i="14"/>
  <c r="X21" i="14"/>
  <c r="G13" i="14"/>
  <c r="E174" i="21"/>
  <c r="E170" i="21"/>
  <c r="G19" i="14"/>
  <c r="X16" i="14"/>
  <c r="E200" i="21"/>
  <c r="C177" i="21"/>
  <c r="AB17" i="14"/>
  <c r="T194" i="14"/>
  <c r="K169" i="14"/>
  <c r="R12" i="14"/>
  <c r="G194" i="21"/>
  <c r="I27" i="14"/>
  <c r="O22" i="14"/>
  <c r="C195" i="14"/>
  <c r="E198" i="14"/>
  <c r="Z169" i="14"/>
  <c r="K174" i="14"/>
  <c r="T200" i="14"/>
  <c r="T23" i="14"/>
  <c r="I168" i="21"/>
  <c r="C164" i="21"/>
  <c r="Z22" i="14"/>
  <c r="T170" i="14"/>
  <c r="O23" i="21"/>
  <c r="O29" i="14"/>
  <c r="R22" i="14"/>
  <c r="E206" i="14"/>
  <c r="C198" i="14"/>
  <c r="T206" i="14"/>
  <c r="I29" i="14"/>
  <c r="K180" i="21"/>
  <c r="I14" i="14"/>
  <c r="E12" i="21"/>
  <c r="T174" i="14"/>
  <c r="M22" i="14"/>
  <c r="Z26" i="14"/>
  <c r="I19" i="21"/>
  <c r="Z17" i="14"/>
  <c r="E27" i="21"/>
  <c r="X174" i="14"/>
  <c r="C179" i="14"/>
  <c r="E173" i="14"/>
  <c r="AB26" i="14"/>
  <c r="AD17" i="14"/>
  <c r="E167" i="21"/>
  <c r="M27" i="21"/>
  <c r="M21" i="21"/>
  <c r="C27" i="21"/>
  <c r="O14" i="14"/>
  <c r="K179" i="21"/>
  <c r="AD18" i="14"/>
  <c r="G208" i="21"/>
  <c r="G164" i="14"/>
  <c r="G199" i="21"/>
  <c r="G192" i="21"/>
  <c r="G169" i="14"/>
  <c r="Z19" i="14"/>
  <c r="T199" i="14"/>
  <c r="M17" i="14"/>
  <c r="AB22" i="14"/>
  <c r="Z27" i="14"/>
  <c r="K28" i="14"/>
  <c r="E11" i="14"/>
  <c r="R180" i="14"/>
  <c r="Z18" i="14"/>
  <c r="T11" i="14"/>
  <c r="R24" i="14"/>
  <c r="C170" i="21"/>
  <c r="E163" i="21"/>
  <c r="R28" i="14"/>
  <c r="E211" i="14"/>
  <c r="I17" i="21"/>
  <c r="R19" i="14"/>
  <c r="E203" i="21"/>
  <c r="E210" i="14"/>
  <c r="AX18" i="14" l="1"/>
  <c r="AT181" i="14"/>
  <c r="AV195" i="14"/>
  <c r="AS19" i="14"/>
  <c r="AU194" i="14"/>
  <c r="AT179" i="14"/>
  <c r="BB178" i="14"/>
  <c r="BB181" i="14"/>
  <c r="BA173" i="14"/>
  <c r="BB180" i="14"/>
  <c r="AZ180" i="14"/>
  <c r="AV179" i="14"/>
  <c r="AQ198" i="14"/>
  <c r="AV18" i="14"/>
  <c r="AS17" i="14"/>
  <c r="AS29" i="14"/>
  <c r="AT166" i="14"/>
  <c r="AQ203" i="14"/>
  <c r="BC163" i="14"/>
  <c r="BC169" i="14"/>
  <c r="AV211" i="14"/>
  <c r="AV200" i="14"/>
  <c r="BD164" i="14"/>
  <c r="BD170" i="14"/>
  <c r="AU173" i="14"/>
  <c r="AR19" i="14"/>
  <c r="AW19" i="14"/>
  <c r="AW16" i="14"/>
  <c r="BD175" i="14"/>
  <c r="AP210" i="14"/>
  <c r="AU199" i="14"/>
  <c r="AR21" i="14"/>
  <c r="AR13" i="14"/>
  <c r="AU211" i="14"/>
  <c r="AU12" i="14"/>
  <c r="AR28" i="14"/>
  <c r="AX13" i="14"/>
  <c r="BD173" i="14"/>
  <c r="AV23" i="14"/>
  <c r="AS14" i="14"/>
  <c r="AR23" i="14"/>
  <c r="AW11" i="14"/>
  <c r="AV206" i="14"/>
  <c r="AQ194" i="14"/>
  <c r="AX16" i="14"/>
  <c r="AU206" i="14"/>
  <c r="AW13" i="14"/>
  <c r="AS18" i="14"/>
  <c r="AZ163" i="14"/>
  <c r="AV210" i="14"/>
  <c r="AS13" i="14"/>
  <c r="AX21" i="14"/>
  <c r="BC181" i="14"/>
  <c r="AU176" i="14"/>
  <c r="AV165" i="14"/>
  <c r="AU193" i="14"/>
  <c r="BD181" i="14"/>
  <c r="AU29" i="14"/>
  <c r="AV175" i="14"/>
  <c r="AV181" i="14"/>
  <c r="AZ174" i="14"/>
  <c r="BD180" i="14"/>
  <c r="BC175" i="14"/>
  <c r="AX19" i="14"/>
  <c r="BD171" i="14"/>
  <c r="AP199" i="14"/>
  <c r="AW164" i="14"/>
  <c r="BA165" i="14"/>
  <c r="AV168" i="14"/>
  <c r="AU26" i="14"/>
  <c r="AT164" i="14"/>
  <c r="AX26" i="14"/>
  <c r="AW24" i="14"/>
  <c r="AZ179" i="14"/>
  <c r="AZ169" i="14"/>
  <c r="AU210" i="14"/>
  <c r="AT175" i="14"/>
  <c r="AU19" i="14"/>
  <c r="AP195" i="14"/>
  <c r="AU23" i="14"/>
  <c r="AV194" i="14"/>
  <c r="AZ176" i="14"/>
  <c r="AR17" i="14"/>
  <c r="AV163" i="14"/>
  <c r="AP209" i="14"/>
  <c r="AU175" i="14"/>
  <c r="AV24" i="14"/>
  <c r="BC170" i="14"/>
  <c r="AV11" i="14"/>
  <c r="BD176" i="14"/>
  <c r="BC168" i="14"/>
  <c r="AT173" i="14"/>
  <c r="BC171" i="14"/>
  <c r="AU201" i="14"/>
  <c r="AU13" i="14"/>
  <c r="AQ195" i="14"/>
  <c r="AW17" i="14"/>
  <c r="AV180" i="14"/>
  <c r="AR27" i="14"/>
  <c r="BA164" i="14"/>
  <c r="BD165" i="14"/>
  <c r="AT180" i="14"/>
  <c r="AW179" i="14"/>
  <c r="AQ210" i="14"/>
  <c r="AW12" i="14"/>
  <c r="AU28" i="14"/>
  <c r="AW21" i="14"/>
  <c r="AW173" i="14"/>
  <c r="AW168" i="14"/>
  <c r="AS23" i="14"/>
  <c r="AR24" i="14"/>
  <c r="AW23" i="14"/>
  <c r="AU205" i="14"/>
  <c r="AZ171" i="14"/>
  <c r="AU163" i="14"/>
  <c r="AV22" i="14"/>
  <c r="BC165" i="14"/>
  <c r="AR26" i="14"/>
  <c r="AX29" i="14"/>
  <c r="AW176" i="14"/>
  <c r="AW165" i="14"/>
  <c r="AP193" i="14"/>
  <c r="AV169" i="14"/>
  <c r="BA171" i="14"/>
  <c r="AU168" i="14"/>
  <c r="AZ173" i="14"/>
  <c r="AT170" i="14"/>
  <c r="BB175" i="14"/>
  <c r="AU14" i="14"/>
  <c r="AQ201" i="14"/>
  <c r="BB176" i="14"/>
  <c r="AR11" i="14"/>
  <c r="AP205" i="14"/>
  <c r="AP200" i="14"/>
  <c r="AZ175" i="14"/>
  <c r="AZ181" i="14"/>
  <c r="AU164" i="14"/>
  <c r="BD166" i="14"/>
  <c r="AP203" i="14"/>
  <c r="AW171" i="14"/>
  <c r="BA176" i="14"/>
  <c r="BA163" i="14"/>
  <c r="AS21" i="14"/>
  <c r="AW170" i="14"/>
  <c r="BB174" i="14"/>
  <c r="BC166" i="14"/>
  <c r="AV170" i="14"/>
  <c r="AW28" i="14"/>
  <c r="AQ208" i="14"/>
  <c r="AW14" i="14"/>
  <c r="AR14" i="14"/>
  <c r="AT165" i="14"/>
  <c r="AU180" i="14"/>
  <c r="AP211" i="14"/>
  <c r="AV209" i="14"/>
  <c r="AP208" i="14"/>
  <c r="AU198" i="14"/>
  <c r="AV28" i="14"/>
  <c r="AU174" i="14"/>
  <c r="AZ178" i="14"/>
  <c r="AU170" i="14"/>
  <c r="BA170" i="14"/>
  <c r="AW163" i="14"/>
  <c r="AX22" i="14"/>
  <c r="BA166" i="14"/>
  <c r="BD163" i="14"/>
  <c r="AT176" i="14"/>
  <c r="BB173" i="14"/>
  <c r="BB171" i="14"/>
  <c r="AV27" i="14"/>
  <c r="AV164" i="14"/>
  <c r="AX11" i="14"/>
  <c r="BA179" i="14"/>
  <c r="BA174" i="14"/>
  <c r="AZ168" i="14"/>
  <c r="AX12" i="14"/>
  <c r="AV203" i="14"/>
  <c r="AU22" i="14"/>
  <c r="AS27" i="14"/>
  <c r="AV176" i="14"/>
  <c r="AR29" i="14"/>
  <c r="AU209" i="14"/>
  <c r="BB179" i="14"/>
  <c r="BD179" i="14"/>
  <c r="BC174" i="14"/>
  <c r="AV26" i="14"/>
  <c r="AV201" i="14"/>
  <c r="AV16" i="14"/>
  <c r="AR12" i="14"/>
  <c r="BA169" i="14"/>
  <c r="AV205" i="14"/>
  <c r="AR18" i="14"/>
  <c r="AV14" i="14"/>
  <c r="AQ205" i="14"/>
  <c r="AV204" i="14"/>
  <c r="AW174" i="14"/>
  <c r="AR16" i="14"/>
  <c r="AU24" i="14"/>
  <c r="AW181" i="14"/>
  <c r="AT174" i="14"/>
  <c r="AU21" i="14"/>
  <c r="AV173" i="14"/>
  <c r="AW22" i="14"/>
  <c r="AX27" i="14"/>
  <c r="AV178" i="14"/>
  <c r="BB168" i="14"/>
  <c r="AV17" i="14"/>
  <c r="AS12" i="14"/>
  <c r="AQ209" i="14"/>
  <c r="AW180" i="14"/>
  <c r="AQ206" i="14"/>
  <c r="AW26" i="14"/>
  <c r="BD178" i="14"/>
  <c r="BB166" i="14"/>
  <c r="BD169" i="14"/>
  <c r="BA178" i="14"/>
  <c r="AZ166" i="14"/>
  <c r="BD174" i="14"/>
  <c r="AV171" i="14"/>
  <c r="AU203" i="14"/>
  <c r="AP196" i="14"/>
  <c r="AU178" i="14"/>
  <c r="AV208" i="14"/>
  <c r="AW178" i="14"/>
  <c r="AU179" i="14"/>
  <c r="AW169" i="14"/>
  <c r="AU196" i="14"/>
  <c r="AX28" i="14"/>
  <c r="BB163" i="14"/>
  <c r="AU169" i="14"/>
  <c r="AZ165" i="14"/>
  <c r="AV19" i="14"/>
  <c r="BB164" i="14"/>
  <c r="AX23" i="14"/>
  <c r="BA168" i="14"/>
  <c r="AU27" i="14"/>
  <c r="AW175" i="14"/>
  <c r="BC176" i="14"/>
  <c r="AU204" i="14"/>
  <c r="AZ170" i="14"/>
  <c r="BC164" i="14"/>
  <c r="BC180" i="14"/>
  <c r="AV166" i="14"/>
  <c r="AS16" i="14"/>
  <c r="AV12" i="14"/>
  <c r="AV196" i="14"/>
  <c r="BA181" i="14"/>
  <c r="BC173" i="14"/>
  <c r="AV199" i="14"/>
  <c r="AU17" i="14"/>
  <c r="AP194" i="14"/>
  <c r="AQ211" i="14"/>
  <c r="AU171" i="14"/>
  <c r="AX17" i="14"/>
  <c r="AU18" i="14"/>
  <c r="BD168" i="14"/>
  <c r="AV13" i="14"/>
  <c r="AP206" i="14"/>
  <c r="AQ196" i="14"/>
  <c r="AU181" i="14"/>
  <c r="AT171" i="14"/>
  <c r="BB169" i="14"/>
  <c r="AT168" i="14"/>
  <c r="AP204" i="14"/>
  <c r="AU195" i="14"/>
  <c r="BC179" i="14"/>
  <c r="BB170" i="14"/>
  <c r="AV21" i="14"/>
  <c r="AS24" i="14"/>
  <c r="BA175" i="14"/>
  <c r="AT178" i="14"/>
  <c r="AU11" i="14"/>
  <c r="AU16" i="14"/>
  <c r="AX14" i="14"/>
  <c r="AV174" i="14"/>
  <c r="BC178" i="14"/>
  <c r="AZ164" i="14"/>
  <c r="AW18" i="14"/>
  <c r="AQ199" i="14"/>
  <c r="AW166" i="14"/>
  <c r="AV198" i="14"/>
  <c r="BA180" i="14"/>
  <c r="AT169" i="14"/>
  <c r="AU166" i="14"/>
  <c r="AV193" i="14"/>
  <c r="AQ193" i="14"/>
  <c r="AP198" i="14"/>
  <c r="AR22" i="14"/>
  <c r="AS22" i="14"/>
  <c r="BB165" i="14"/>
  <c r="AP201" i="14"/>
  <c r="AS28" i="14"/>
  <c r="AQ200" i="14"/>
  <c r="AU165" i="14"/>
  <c r="AS26" i="14"/>
  <c r="AU208" i="14"/>
  <c r="AS11" i="14"/>
  <c r="AQ204" i="14"/>
  <c r="AU200" i="14"/>
  <c r="AW27" i="14"/>
  <c r="AX24" i="14"/>
  <c r="AJ22" i="14"/>
  <c r="AK13" i="14"/>
  <c r="AI29" i="14"/>
  <c r="AM21" i="14"/>
  <c r="AK18" i="14"/>
  <c r="AL27" i="14"/>
  <c r="AI12" i="14"/>
  <c r="AO27" i="14"/>
  <c r="AM14" i="14"/>
  <c r="AM19" i="14"/>
  <c r="AS174" i="14"/>
  <c r="AK29" i="14"/>
  <c r="AN17" i="14"/>
  <c r="AS164" i="14"/>
  <c r="AL14" i="14"/>
  <c r="AM26" i="14"/>
  <c r="AI27" i="14"/>
  <c r="AM29" i="14"/>
  <c r="AO18" i="14"/>
  <c r="AL24" i="14"/>
  <c r="AO19" i="14"/>
  <c r="AI24" i="14"/>
  <c r="AO23" i="14"/>
  <c r="AJ19" i="14"/>
  <c r="AJ18" i="14"/>
  <c r="AS165" i="14"/>
  <c r="AL26" i="14"/>
  <c r="AJ17" i="14"/>
  <c r="AM27" i="14"/>
  <c r="AJ26" i="14"/>
  <c r="AK27" i="14"/>
  <c r="AN11" i="14"/>
  <c r="AJ24" i="14"/>
  <c r="AO29" i="14"/>
  <c r="AI23" i="14"/>
  <c r="AO28" i="14"/>
  <c r="AM28" i="14"/>
  <c r="AM22" i="14"/>
  <c r="AS173" i="14"/>
  <c r="AN18" i="14"/>
  <c r="AI28" i="14"/>
  <c r="AI18" i="14"/>
  <c r="AI13" i="14"/>
  <c r="AS171" i="14"/>
  <c r="AJ14" i="14"/>
  <c r="AI17" i="14"/>
  <c r="AJ13" i="14"/>
  <c r="AS179" i="14"/>
  <c r="AN16" i="14"/>
  <c r="AM12" i="14"/>
  <c r="AO14" i="14"/>
  <c r="AN14" i="14"/>
  <c r="AT163" i="14"/>
  <c r="AI11" i="14"/>
  <c r="AJ11" i="14"/>
  <c r="AK19" i="14"/>
  <c r="AK17" i="14"/>
  <c r="AO11" i="14"/>
  <c r="AN12" i="14"/>
  <c r="AO13" i="14"/>
  <c r="AL18" i="14"/>
  <c r="AS166" i="14"/>
  <c r="AL21" i="14"/>
  <c r="AK21" i="14"/>
  <c r="AJ16" i="14"/>
  <c r="AM24" i="14"/>
  <c r="AK11" i="14"/>
  <c r="AI16" i="14"/>
  <c r="AS178" i="14"/>
  <c r="AN22" i="14"/>
  <c r="AI19" i="14"/>
  <c r="AK23" i="14"/>
  <c r="AN24" i="14"/>
  <c r="AO22" i="14"/>
  <c r="AS163" i="14"/>
  <c r="AK12" i="14"/>
  <c r="AL17" i="14"/>
  <c r="AI22" i="14"/>
  <c r="AN27" i="14"/>
  <c r="AM17" i="14"/>
  <c r="AO24" i="14"/>
  <c r="AL22" i="14"/>
  <c r="AI14" i="14"/>
  <c r="AK22" i="14"/>
  <c r="AO21" i="14"/>
  <c r="AL28" i="14"/>
  <c r="AM11" i="14"/>
  <c r="AN28" i="14"/>
  <c r="AK16" i="14"/>
  <c r="AN19" i="14"/>
  <c r="AL11" i="14"/>
  <c r="AM18" i="14"/>
  <c r="AK14" i="14"/>
  <c r="AK24" i="14"/>
  <c r="AI26" i="14"/>
  <c r="AJ28" i="14"/>
  <c r="AS170" i="14"/>
  <c r="AJ29" i="14"/>
  <c r="AI21" i="14"/>
  <c r="AN26" i="14"/>
  <c r="AM23" i="14"/>
  <c r="AL23" i="14"/>
  <c r="AN13" i="14"/>
  <c r="AO12" i="14"/>
  <c r="AO17" i="14"/>
  <c r="AO26" i="14"/>
  <c r="AL19" i="14"/>
  <c r="AS169" i="14"/>
  <c r="AS181" i="14"/>
  <c r="AM13" i="14"/>
  <c r="AL12" i="14"/>
  <c r="AS176" i="14"/>
  <c r="AL29" i="14"/>
  <c r="AK28" i="14"/>
  <c r="AM16" i="14"/>
  <c r="AJ12" i="14"/>
  <c r="AN23" i="14"/>
  <c r="AS168" i="14"/>
  <c r="AS180" i="14"/>
  <c r="AO16" i="14"/>
  <c r="AK26" i="14"/>
  <c r="AL16" i="14"/>
  <c r="AJ21" i="14"/>
  <c r="AJ27" i="14"/>
  <c r="AS175" i="14"/>
  <c r="AN21" i="14"/>
  <c r="Y178" i="14"/>
  <c r="W180" i="14"/>
  <c r="S206" i="14"/>
  <c r="S168" i="14"/>
  <c r="S210" i="14"/>
  <c r="AA166" i="14"/>
  <c r="S170" i="14"/>
  <c r="S201" i="14"/>
  <c r="U205" i="14"/>
  <c r="Y174" i="14"/>
  <c r="AA173" i="14"/>
  <c r="AA174" i="14"/>
  <c r="AA170" i="14"/>
  <c r="Y163" i="14"/>
  <c r="U200" i="14"/>
  <c r="W174" i="14"/>
  <c r="U176" i="14"/>
  <c r="Y169" i="14"/>
  <c r="AA169" i="14"/>
  <c r="AA168" i="14"/>
  <c r="S196" i="14"/>
  <c r="Y170" i="14"/>
  <c r="U195" i="14"/>
  <c r="U175" i="14"/>
  <c r="S193" i="14"/>
  <c r="U180" i="14"/>
  <c r="Y164" i="14"/>
  <c r="W164" i="14"/>
  <c r="W181" i="14"/>
  <c r="U169" i="14"/>
  <c r="AA179" i="14"/>
  <c r="U181" i="14"/>
  <c r="W165" i="14"/>
  <c r="U211" i="14"/>
  <c r="U174" i="14"/>
  <c r="U208" i="14"/>
  <c r="AA176" i="14"/>
  <c r="W170" i="14"/>
  <c r="U163" i="14"/>
  <c r="AA180" i="14"/>
  <c r="U209" i="14"/>
  <c r="U199" i="14"/>
  <c r="U210" i="14"/>
  <c r="W168" i="14"/>
  <c r="U201" i="14"/>
  <c r="S175" i="14"/>
  <c r="U165" i="14"/>
  <c r="U179" i="14"/>
  <c r="AA163" i="14"/>
  <c r="U178" i="14"/>
  <c r="Y168" i="14"/>
  <c r="U204" i="14"/>
  <c r="U168" i="14"/>
  <c r="U198" i="14"/>
  <c r="W178" i="14"/>
  <c r="S176" i="14"/>
  <c r="S173" i="14"/>
  <c r="S211" i="14"/>
  <c r="W175" i="14"/>
  <c r="S181" i="14"/>
  <c r="S198" i="14"/>
  <c r="S180" i="14"/>
  <c r="Y181" i="14"/>
  <c r="Y180" i="14"/>
  <c r="Y176" i="14"/>
  <c r="Y179" i="14"/>
  <c r="U193" i="14"/>
  <c r="S199" i="14"/>
  <c r="S195" i="14"/>
  <c r="S166" i="14"/>
  <c r="U196" i="14"/>
  <c r="U206" i="14"/>
  <c r="U173" i="14"/>
  <c r="Y166" i="14"/>
  <c r="S200" i="14"/>
  <c r="W179" i="14"/>
  <c r="S178" i="14"/>
  <c r="U164" i="14"/>
  <c r="Y175" i="14"/>
  <c r="W176" i="14"/>
  <c r="U194" i="14"/>
  <c r="W163" i="14"/>
  <c r="S163" i="14"/>
  <c r="U170" i="14"/>
  <c r="AA181" i="14"/>
  <c r="S209" i="14"/>
  <c r="S171" i="14"/>
  <c r="S208" i="14"/>
  <c r="AA164" i="14"/>
  <c r="AA171" i="14"/>
  <c r="S179" i="14"/>
  <c r="S169" i="14"/>
  <c r="W171" i="14"/>
  <c r="W166" i="14"/>
  <c r="Y165" i="14"/>
  <c r="U171" i="14"/>
  <c r="AA175" i="14"/>
  <c r="AA165" i="14"/>
  <c r="Y173" i="14"/>
  <c r="S165" i="14"/>
  <c r="Y171" i="14"/>
  <c r="S205" i="14"/>
  <c r="S203" i="14"/>
  <c r="U166" i="14"/>
  <c r="AA178" i="14"/>
  <c r="S164" i="14"/>
  <c r="S174" i="14"/>
  <c r="W173" i="14"/>
  <c r="W169" i="14"/>
  <c r="S194" i="14"/>
  <c r="S204" i="14"/>
  <c r="U203" i="14"/>
  <c r="AE27" i="14"/>
  <c r="U27" i="14"/>
  <c r="U14" i="14"/>
  <c r="U26" i="14"/>
  <c r="U24" i="14"/>
  <c r="U18" i="14"/>
  <c r="U16" i="14"/>
  <c r="AC13" i="14"/>
  <c r="W12" i="14"/>
  <c r="AC24" i="14"/>
  <c r="S11" i="14"/>
  <c r="S16" i="14"/>
  <c r="U12" i="14"/>
  <c r="W17" i="14"/>
  <c r="S26" i="14"/>
  <c r="AA29" i="14"/>
  <c r="AE21" i="14"/>
  <c r="S17" i="14"/>
  <c r="AE18" i="14"/>
  <c r="W19" i="14"/>
  <c r="AA19" i="14"/>
  <c r="AC22" i="14"/>
  <c r="Y17" i="14"/>
  <c r="AA28" i="14"/>
  <c r="Y28" i="14"/>
  <c r="W23" i="14"/>
  <c r="AA12" i="14"/>
  <c r="AA13" i="14"/>
  <c r="AC27" i="14"/>
  <c r="AE17" i="14"/>
  <c r="AE26" i="14"/>
  <c r="AA23" i="14"/>
  <c r="S14" i="14"/>
  <c r="AA18" i="14"/>
  <c r="AA26" i="14"/>
  <c r="AC19" i="14"/>
  <c r="AC12" i="14"/>
  <c r="S23" i="14"/>
  <c r="W24" i="14"/>
  <c r="Y12" i="14"/>
  <c r="AA17" i="14"/>
  <c r="Y19" i="14"/>
  <c r="W13" i="14"/>
  <c r="Y22" i="14"/>
  <c r="AE12" i="14"/>
  <c r="Y18" i="14"/>
  <c r="S19" i="14"/>
  <c r="AE19" i="14"/>
  <c r="AC21" i="14"/>
  <c r="S27" i="14"/>
  <c r="Y26" i="14"/>
  <c r="W22" i="14"/>
  <c r="U21" i="14"/>
  <c r="U13" i="14"/>
  <c r="W21" i="14"/>
  <c r="U17" i="14"/>
  <c r="S28" i="14"/>
  <c r="AA14" i="14"/>
  <c r="S24" i="14"/>
  <c r="U23" i="14"/>
  <c r="Y27" i="14"/>
  <c r="W29" i="14"/>
  <c r="AE11" i="14"/>
  <c r="U28" i="14"/>
  <c r="U11" i="14"/>
  <c r="W11" i="14"/>
  <c r="AA22" i="14"/>
  <c r="Y23" i="14"/>
  <c r="AC14" i="14"/>
  <c r="AE14" i="14"/>
  <c r="W28" i="14"/>
  <c r="U29" i="14"/>
  <c r="W27" i="14"/>
  <c r="Y11" i="14"/>
  <c r="S12" i="14"/>
  <c r="AC18" i="14"/>
  <c r="AA21" i="14"/>
  <c r="Y24" i="14"/>
  <c r="S29" i="14"/>
  <c r="AC23" i="14"/>
  <c r="Y21" i="14"/>
  <c r="AA24" i="14"/>
  <c r="S13" i="14"/>
  <c r="AE13" i="14"/>
  <c r="AC28" i="14"/>
  <c r="S18" i="14"/>
  <c r="AC16" i="14"/>
  <c r="AA16" i="14"/>
  <c r="AE24" i="14"/>
  <c r="AC17" i="14"/>
  <c r="AC11" i="14"/>
  <c r="S22" i="14"/>
  <c r="Y29" i="14"/>
  <c r="AA27" i="14"/>
  <c r="W18" i="14"/>
  <c r="AE16" i="14"/>
  <c r="W14" i="14"/>
  <c r="Y14" i="14"/>
  <c r="AE23" i="14"/>
  <c r="Y13" i="14"/>
  <c r="AC26" i="14"/>
  <c r="W16" i="14"/>
  <c r="U19" i="14"/>
  <c r="U22" i="14"/>
  <c r="AE28" i="14"/>
  <c r="AE29" i="14"/>
  <c r="W26" i="14"/>
  <c r="AA11" i="14"/>
  <c r="AE22" i="14"/>
  <c r="Y16" i="14"/>
  <c r="S21" i="14"/>
  <c r="W224" i="14"/>
  <c r="AA224" i="14"/>
  <c r="AH161" i="14"/>
  <c r="AL191" i="14"/>
  <c r="G140" i="14"/>
  <c r="D58" i="14"/>
  <c r="S138" i="14"/>
  <c r="D17" i="14"/>
  <c r="E105" i="21"/>
  <c r="B133" i="14"/>
  <c r="V145" i="14"/>
  <c r="B109" i="14"/>
  <c r="X110" i="14"/>
  <c r="E56" i="21"/>
  <c r="E138" i="21"/>
  <c r="G48" i="21"/>
  <c r="H24" i="14"/>
  <c r="B117" i="21"/>
  <c r="R225" i="14"/>
  <c r="R111" i="14"/>
  <c r="B237" i="21"/>
  <c r="W138" i="14"/>
  <c r="J22" i="14"/>
  <c r="S89" i="14"/>
  <c r="F16" i="14"/>
  <c r="N27" i="14"/>
  <c r="J18" i="21"/>
  <c r="B225" i="21"/>
  <c r="F137" i="21"/>
  <c r="C115" i="14"/>
  <c r="S226" i="14"/>
  <c r="F21" i="14"/>
  <c r="T75" i="14"/>
  <c r="R103" i="14"/>
  <c r="H141" i="14"/>
  <c r="W78" i="14"/>
  <c r="S120" i="14"/>
  <c r="C116" i="14"/>
  <c r="U90" i="14"/>
  <c r="S228" i="14"/>
  <c r="H140" i="21"/>
  <c r="D230" i="21"/>
  <c r="G117" i="21"/>
  <c r="C103" i="14"/>
  <c r="D23" i="14"/>
  <c r="R146" i="14"/>
  <c r="B119" i="14"/>
  <c r="T151" i="14"/>
  <c r="B116" i="14"/>
  <c r="U88" i="14"/>
  <c r="B115" i="14"/>
  <c r="T89" i="14"/>
  <c r="V140" i="14"/>
  <c r="I118" i="14"/>
  <c r="F237" i="21"/>
  <c r="C121" i="14"/>
  <c r="B118" i="14"/>
  <c r="D115" i="21"/>
  <c r="G53" i="14"/>
  <c r="D135" i="14"/>
  <c r="H108" i="14"/>
  <c r="E56" i="14"/>
  <c r="W103" i="14"/>
  <c r="S88" i="14"/>
  <c r="D120" i="14"/>
  <c r="X104" i="14"/>
  <c r="V133" i="14"/>
  <c r="R72" i="14"/>
  <c r="G57" i="14"/>
  <c r="B18" i="14"/>
  <c r="B49" i="21"/>
  <c r="W111" i="14"/>
  <c r="H54" i="21"/>
  <c r="D115" i="14"/>
  <c r="F106" i="14"/>
  <c r="B226" i="14"/>
  <c r="C120" i="21"/>
  <c r="H47" i="21"/>
  <c r="B111" i="14"/>
  <c r="B58" i="21"/>
  <c r="E106" i="14"/>
  <c r="B41" i="14"/>
  <c r="W75" i="14"/>
  <c r="C100" i="21"/>
  <c r="F120" i="14"/>
  <c r="C113" i="14"/>
  <c r="G108" i="14"/>
  <c r="I115" i="14"/>
  <c r="T116" i="14"/>
  <c r="G148" i="14"/>
  <c r="E58" i="14"/>
  <c r="S108" i="14"/>
  <c r="C140" i="21"/>
  <c r="T225" i="14"/>
  <c r="R144" i="14"/>
  <c r="Q140" i="14"/>
  <c r="F43" i="21"/>
  <c r="C114" i="21"/>
  <c r="B59" i="21"/>
  <c r="G142" i="21"/>
  <c r="S115" i="14"/>
  <c r="B28" i="14"/>
  <c r="E110" i="21"/>
  <c r="T146" i="14"/>
  <c r="C51" i="21"/>
  <c r="D19" i="21"/>
  <c r="E41" i="21"/>
  <c r="G114" i="21"/>
  <c r="H103" i="21"/>
  <c r="C109" i="21"/>
  <c r="B57" i="21"/>
  <c r="G47" i="21"/>
  <c r="U144" i="14"/>
  <c r="W70" i="14"/>
  <c r="F114" i="14"/>
  <c r="H44" i="14"/>
  <c r="H22" i="21"/>
  <c r="U82" i="14"/>
  <c r="F57" i="14"/>
  <c r="C57" i="14"/>
  <c r="T232" i="14"/>
  <c r="F26" i="21"/>
  <c r="T131" i="14"/>
  <c r="H112" i="21"/>
  <c r="H134" i="21"/>
  <c r="L19" i="21"/>
  <c r="R75" i="14"/>
  <c r="D21" i="21"/>
  <c r="U136" i="14"/>
  <c r="D26" i="21"/>
  <c r="G130" i="21"/>
  <c r="F150" i="21"/>
  <c r="B231" i="14"/>
  <c r="N22" i="14"/>
  <c r="F119" i="21"/>
  <c r="N12" i="21"/>
  <c r="F233" i="21"/>
  <c r="C56" i="21"/>
  <c r="E138" i="14"/>
  <c r="G134" i="21"/>
  <c r="N29" i="21"/>
  <c r="D148" i="14"/>
  <c r="W114" i="14"/>
  <c r="H52" i="21"/>
  <c r="E137" i="21"/>
  <c r="H49" i="14"/>
  <c r="H149" i="14"/>
  <c r="S110" i="14"/>
  <c r="G54" i="21"/>
  <c r="H135" i="21"/>
  <c r="B150" i="14"/>
  <c r="U109" i="14"/>
  <c r="F41" i="14"/>
  <c r="S150" i="14"/>
  <c r="D131" i="14"/>
  <c r="W90" i="14"/>
  <c r="L9" i="21"/>
  <c r="B105" i="21"/>
  <c r="R89" i="14"/>
  <c r="C150" i="21"/>
  <c r="B29" i="21"/>
  <c r="H59" i="21"/>
  <c r="H28" i="14"/>
  <c r="C114" i="14"/>
  <c r="V85" i="14"/>
  <c r="U75" i="14"/>
  <c r="C150" i="14"/>
  <c r="C148" i="14"/>
  <c r="F121" i="14"/>
  <c r="L23" i="21"/>
  <c r="R149" i="14"/>
  <c r="E107" i="21"/>
  <c r="F234" i="14"/>
  <c r="I108" i="14"/>
  <c r="D42" i="14"/>
  <c r="B14" i="21"/>
  <c r="B133" i="21"/>
  <c r="B11" i="14"/>
  <c r="F222" i="21"/>
  <c r="R239" i="14"/>
  <c r="S116" i="14"/>
  <c r="C59" i="14"/>
  <c r="C46" i="21"/>
  <c r="F222" i="14"/>
  <c r="S144" i="14"/>
  <c r="H107" i="21"/>
  <c r="F138" i="14"/>
  <c r="C136" i="14"/>
  <c r="Q72" i="14"/>
  <c r="X101" i="14"/>
  <c r="U143" i="14"/>
  <c r="S78" i="14"/>
  <c r="S139" i="14"/>
  <c r="W131" i="14"/>
  <c r="D143" i="14"/>
  <c r="C41" i="21"/>
  <c r="V151" i="14"/>
  <c r="U103" i="14"/>
  <c r="H12" i="14"/>
  <c r="F110" i="14"/>
  <c r="F231" i="21"/>
  <c r="B136" i="14"/>
  <c r="T113" i="14"/>
  <c r="B138" i="14"/>
  <c r="C139" i="14"/>
  <c r="D39" i="14"/>
  <c r="B14" i="14"/>
  <c r="Q145" i="14"/>
  <c r="E118" i="14"/>
  <c r="F151" i="14"/>
  <c r="T228" i="14"/>
  <c r="B44" i="21"/>
  <c r="C131" i="14"/>
  <c r="W118" i="14"/>
  <c r="R150" i="14"/>
  <c r="C110" i="21"/>
  <c r="J11" i="14"/>
  <c r="D14" i="14"/>
  <c r="R116" i="14"/>
  <c r="F131" i="14"/>
  <c r="S118" i="14"/>
  <c r="D12" i="14"/>
  <c r="I136" i="14"/>
  <c r="D19" i="14"/>
  <c r="W105" i="14"/>
  <c r="B21" i="14"/>
  <c r="E132" i="21"/>
  <c r="I145" i="14"/>
  <c r="C140" i="14"/>
  <c r="F143" i="21"/>
  <c r="J13" i="21"/>
  <c r="S227" i="14"/>
  <c r="D53" i="14"/>
  <c r="F52" i="14"/>
  <c r="B16" i="21"/>
  <c r="U121" i="14"/>
  <c r="B233" i="14"/>
  <c r="F42" i="14"/>
  <c r="D114" i="14"/>
  <c r="U108" i="14"/>
  <c r="D16" i="21"/>
  <c r="N28" i="14"/>
  <c r="C143" i="21"/>
  <c r="V144" i="14"/>
  <c r="W72" i="14"/>
  <c r="F101" i="14"/>
  <c r="N11" i="21"/>
  <c r="B132" i="21"/>
  <c r="W148" i="14"/>
  <c r="L22" i="21"/>
  <c r="W146" i="14"/>
  <c r="D140" i="21"/>
  <c r="B222" i="14"/>
  <c r="X111" i="14"/>
  <c r="H114" i="14"/>
  <c r="T141" i="14"/>
  <c r="T109" i="14"/>
  <c r="T103" i="14"/>
  <c r="I143" i="14"/>
  <c r="Q78" i="14"/>
  <c r="R233" i="14"/>
  <c r="E108" i="14"/>
  <c r="G150" i="14"/>
  <c r="V150" i="14"/>
  <c r="S151" i="14"/>
  <c r="F138" i="21"/>
  <c r="F46" i="14"/>
  <c r="S84" i="14"/>
  <c r="B24" i="21"/>
  <c r="G58" i="21"/>
  <c r="T230" i="14"/>
  <c r="S121" i="14"/>
  <c r="V74" i="14"/>
  <c r="F144" i="21"/>
  <c r="C57" i="21"/>
  <c r="B17" i="21"/>
  <c r="H148" i="21"/>
  <c r="H120" i="14"/>
  <c r="C148" i="21"/>
  <c r="B115" i="21"/>
  <c r="F42" i="21"/>
  <c r="G101" i="14"/>
  <c r="G103" i="14"/>
  <c r="H121" i="14"/>
  <c r="J29" i="21"/>
  <c r="G116" i="14"/>
  <c r="X105" i="14"/>
  <c r="C53" i="21"/>
  <c r="U114" i="14"/>
  <c r="B47" i="14"/>
  <c r="W79" i="14"/>
  <c r="F114" i="21"/>
  <c r="B223" i="21"/>
  <c r="H145" i="14"/>
  <c r="F44" i="21"/>
  <c r="Q85" i="14"/>
  <c r="S104" i="14"/>
  <c r="L29" i="21"/>
  <c r="G39" i="14"/>
  <c r="N23" i="14"/>
  <c r="F107" i="21"/>
  <c r="C133" i="14"/>
  <c r="E116" i="14"/>
  <c r="D117" i="21"/>
  <c r="U115" i="14"/>
  <c r="F13" i="21"/>
  <c r="C151" i="14"/>
  <c r="U141" i="14"/>
  <c r="U119" i="14"/>
  <c r="T74" i="14"/>
  <c r="F14" i="21"/>
  <c r="F133" i="14"/>
  <c r="H139" i="21"/>
  <c r="C52" i="14"/>
  <c r="V101" i="14"/>
  <c r="X113" i="14"/>
  <c r="E151" i="14"/>
  <c r="F113" i="14"/>
  <c r="R143" i="14"/>
  <c r="F235" i="14"/>
  <c r="G144" i="21"/>
  <c r="R228" i="14"/>
  <c r="F43" i="14"/>
  <c r="X119" i="14"/>
  <c r="H54" i="14"/>
  <c r="J16" i="21"/>
  <c r="E59" i="21"/>
  <c r="B228" i="21"/>
  <c r="T140" i="14"/>
  <c r="G46" i="21"/>
  <c r="G58" i="14"/>
  <c r="B23" i="21"/>
  <c r="E131" i="14"/>
  <c r="U113" i="14"/>
  <c r="C49" i="14"/>
  <c r="F59" i="21"/>
  <c r="T77" i="14"/>
  <c r="T110" i="14"/>
  <c r="V138" i="14"/>
  <c r="T118" i="14"/>
  <c r="S114" i="14"/>
  <c r="D229" i="21"/>
  <c r="E149" i="14"/>
  <c r="S145" i="14"/>
  <c r="D48" i="14"/>
  <c r="S109" i="14"/>
  <c r="T135" i="14"/>
  <c r="H16" i="14"/>
  <c r="V108" i="14"/>
  <c r="C145" i="21"/>
  <c r="L27" i="14"/>
  <c r="V113" i="14"/>
  <c r="F134" i="14"/>
  <c r="E115" i="21"/>
  <c r="D52" i="14"/>
  <c r="R235" i="14"/>
  <c r="H109" i="14"/>
  <c r="H51" i="21"/>
  <c r="T119" i="14"/>
  <c r="D141" i="14"/>
  <c r="D17" i="21"/>
  <c r="C112" i="21"/>
  <c r="F105" i="14"/>
  <c r="B104" i="21"/>
  <c r="G49" i="21"/>
  <c r="D43" i="14"/>
  <c r="W77" i="14"/>
  <c r="G100" i="21"/>
  <c r="V135" i="14"/>
  <c r="Q146" i="14"/>
  <c r="G145" i="21"/>
  <c r="V116" i="14"/>
  <c r="D144" i="21"/>
  <c r="V109" i="14"/>
  <c r="G141" i="14"/>
  <c r="C43" i="14"/>
  <c r="N16" i="14"/>
  <c r="N26" i="14"/>
  <c r="B58" i="14"/>
  <c r="N18" i="21"/>
  <c r="E147" i="21"/>
  <c r="G113" i="21"/>
  <c r="H115" i="21"/>
  <c r="S239" i="14"/>
  <c r="E145" i="14"/>
  <c r="S70" i="14"/>
  <c r="T70" i="14"/>
  <c r="F143" i="14"/>
  <c r="E113" i="14"/>
  <c r="G132" i="21"/>
  <c r="E105" i="14"/>
  <c r="C52" i="21"/>
  <c r="E144" i="14"/>
  <c r="W121" i="14"/>
  <c r="R84" i="14"/>
  <c r="F23" i="14"/>
  <c r="F47" i="21"/>
  <c r="R73" i="14"/>
  <c r="Q89" i="14"/>
  <c r="J18" i="14"/>
  <c r="H136" i="14"/>
  <c r="V89" i="14"/>
  <c r="R231" i="14"/>
  <c r="J21" i="14"/>
  <c r="T82" i="14"/>
  <c r="L18" i="21"/>
  <c r="F48" i="14"/>
  <c r="F19" i="21"/>
  <c r="W85" i="14"/>
  <c r="D16" i="14"/>
  <c r="D51" i="21"/>
  <c r="E148" i="21"/>
  <c r="I104" i="14"/>
  <c r="B26" i="14"/>
  <c r="S225" i="14"/>
  <c r="I131" i="14"/>
  <c r="F132" i="21"/>
  <c r="W101" i="14"/>
  <c r="D136" i="14"/>
  <c r="E49" i="21"/>
  <c r="B53" i="21"/>
  <c r="F108" i="21"/>
  <c r="S141" i="14"/>
  <c r="D105" i="21"/>
  <c r="S149" i="14"/>
  <c r="X116" i="14"/>
  <c r="B135" i="14"/>
  <c r="R83" i="14"/>
  <c r="E136" i="14"/>
  <c r="S82" i="14"/>
  <c r="H145" i="21"/>
  <c r="V121" i="14"/>
  <c r="L23" i="14"/>
  <c r="H135" i="14"/>
  <c r="V114" i="14"/>
  <c r="D47" i="14"/>
  <c r="C56" i="14"/>
  <c r="H18" i="21"/>
  <c r="B113" i="21"/>
  <c r="D11" i="14"/>
  <c r="X114" i="14"/>
  <c r="E102" i="21"/>
  <c r="R101" i="14"/>
  <c r="L21" i="21"/>
  <c r="H47" i="14"/>
  <c r="F103" i="14"/>
  <c r="B237" i="14"/>
  <c r="J12" i="21"/>
  <c r="H27" i="21"/>
  <c r="U133" i="14"/>
  <c r="V143" i="14"/>
  <c r="B42" i="21"/>
  <c r="N19" i="21"/>
  <c r="N24" i="14"/>
  <c r="E118" i="21"/>
  <c r="F29" i="14"/>
  <c r="H19" i="14"/>
  <c r="H29" i="21"/>
  <c r="C149" i="21"/>
  <c r="G133" i="14"/>
  <c r="R136" i="14"/>
  <c r="B121" i="14"/>
  <c r="H26" i="21"/>
  <c r="D134" i="14"/>
  <c r="D26" i="14"/>
  <c r="R227" i="14"/>
  <c r="C117" i="21"/>
  <c r="G118" i="21"/>
  <c r="E120" i="14"/>
  <c r="D54" i="21"/>
  <c r="W89" i="14"/>
  <c r="Q88" i="14"/>
  <c r="B48" i="21"/>
  <c r="V87" i="14"/>
  <c r="C141" i="14"/>
  <c r="H48" i="21"/>
  <c r="B229" i="14"/>
  <c r="N16" i="21"/>
  <c r="F109" i="14"/>
  <c r="L19" i="14"/>
  <c r="S131" i="14"/>
  <c r="F113" i="21"/>
  <c r="B138" i="21"/>
  <c r="D228" i="21"/>
  <c r="B107" i="21"/>
  <c r="F231" i="14"/>
  <c r="G150" i="21"/>
  <c r="C58" i="21"/>
  <c r="S222" i="14"/>
  <c r="U85" i="14"/>
  <c r="S105" i="14"/>
  <c r="G131" i="14"/>
  <c r="B108" i="14"/>
  <c r="L13" i="21"/>
  <c r="H23" i="14"/>
  <c r="B131" i="14"/>
  <c r="F150" i="14"/>
  <c r="T90" i="14"/>
  <c r="E52" i="14"/>
  <c r="T84" i="14"/>
  <c r="F145" i="21"/>
  <c r="F115" i="21"/>
  <c r="B135" i="21"/>
  <c r="T134" i="14"/>
  <c r="F46" i="21"/>
  <c r="E110" i="14"/>
  <c r="S238" i="14"/>
  <c r="G53" i="21"/>
  <c r="R79" i="14"/>
  <c r="H144" i="21"/>
  <c r="B130" i="21"/>
  <c r="E101" i="14"/>
  <c r="H42" i="14"/>
  <c r="E100" i="21"/>
  <c r="D11" i="21"/>
  <c r="D44" i="21"/>
  <c r="H28" i="21"/>
  <c r="T78" i="14"/>
  <c r="T224" i="14"/>
  <c r="E51" i="21"/>
  <c r="Q143" i="14"/>
  <c r="C48" i="21"/>
  <c r="R82" i="14"/>
  <c r="F16" i="21"/>
  <c r="U78" i="14"/>
  <c r="D135" i="21"/>
  <c r="F226" i="21"/>
  <c r="W144" i="14"/>
  <c r="C138" i="21"/>
  <c r="T138" i="14"/>
  <c r="X108" i="14"/>
  <c r="D137" i="21"/>
  <c r="S236" i="14"/>
  <c r="Q138" i="14"/>
  <c r="H117" i="21"/>
  <c r="H133" i="14"/>
  <c r="E108" i="21"/>
  <c r="J26" i="14"/>
  <c r="F49" i="14"/>
  <c r="F17" i="21"/>
  <c r="E139" i="14"/>
  <c r="B120" i="21"/>
  <c r="S143" i="14"/>
  <c r="B108" i="21"/>
  <c r="S119" i="14"/>
  <c r="B118" i="21"/>
  <c r="U145" i="14"/>
  <c r="B102" i="21"/>
  <c r="B120" i="14"/>
  <c r="G59" i="21"/>
  <c r="D119" i="21"/>
  <c r="H116" i="14"/>
  <c r="J23" i="21"/>
  <c r="D51" i="14"/>
  <c r="V70" i="14"/>
  <c r="B56" i="14"/>
  <c r="B222" i="21"/>
  <c r="D227" i="21"/>
  <c r="C139" i="21"/>
  <c r="E43" i="14"/>
  <c r="E143" i="21"/>
  <c r="B236" i="21"/>
  <c r="B48" i="14"/>
  <c r="G115" i="21"/>
  <c r="C108" i="14"/>
  <c r="D49" i="21"/>
  <c r="C44" i="14"/>
  <c r="D119" i="14"/>
  <c r="V78" i="14"/>
  <c r="D105" i="14"/>
  <c r="F140" i="14"/>
  <c r="F27" i="14"/>
  <c r="H58" i="21"/>
  <c r="B52" i="21"/>
  <c r="U134" i="14"/>
  <c r="C105" i="14"/>
  <c r="B13" i="21"/>
  <c r="E46" i="14"/>
  <c r="D24" i="21"/>
  <c r="R140" i="14"/>
  <c r="J19" i="14"/>
  <c r="B230" i="14"/>
  <c r="G144" i="14"/>
  <c r="B113" i="14"/>
  <c r="S230" i="14"/>
  <c r="W120" i="14"/>
  <c r="F149" i="14"/>
  <c r="H113" i="14"/>
  <c r="B56" i="21"/>
  <c r="L22" i="14"/>
  <c r="B27" i="21"/>
  <c r="F12" i="21"/>
  <c r="N17" i="14"/>
  <c r="C119" i="14"/>
  <c r="D46" i="14"/>
  <c r="E47" i="14"/>
  <c r="V105" i="14"/>
  <c r="B51" i="14"/>
  <c r="H17" i="14"/>
  <c r="C39" i="14"/>
  <c r="B224" i="21"/>
  <c r="W74" i="14"/>
  <c r="E41" i="14"/>
  <c r="C133" i="21"/>
  <c r="H144" i="14"/>
  <c r="T148" i="14"/>
  <c r="H119" i="14"/>
  <c r="G136" i="14"/>
  <c r="D52" i="21"/>
  <c r="F119" i="14"/>
  <c r="E121" i="14"/>
  <c r="D107" i="21"/>
  <c r="F59" i="14"/>
  <c r="D24" i="14"/>
  <c r="T236" i="14"/>
  <c r="E44" i="14"/>
  <c r="F48" i="21"/>
  <c r="B27" i="14"/>
  <c r="H13" i="21"/>
  <c r="E42" i="14"/>
  <c r="J11" i="21"/>
  <c r="T231" i="14"/>
  <c r="H132" i="21"/>
  <c r="B39" i="21"/>
  <c r="E103" i="21"/>
  <c r="C42" i="21"/>
  <c r="C54" i="21"/>
  <c r="C113" i="21"/>
  <c r="E134" i="21"/>
  <c r="D49" i="14"/>
  <c r="C142" i="21"/>
  <c r="B148" i="14"/>
  <c r="U131" i="14"/>
  <c r="T149" i="14"/>
  <c r="B141" i="14"/>
  <c r="C144" i="21"/>
  <c r="B101" i="14"/>
  <c r="D220" i="21"/>
  <c r="B9" i="21"/>
  <c r="B103" i="14"/>
  <c r="W73" i="14"/>
  <c r="F236" i="14"/>
  <c r="L16" i="21"/>
  <c r="H44" i="21"/>
  <c r="S146" i="14"/>
  <c r="C107" i="21"/>
  <c r="D43" i="21"/>
  <c r="B149" i="21"/>
  <c r="C137" i="21"/>
  <c r="H58" i="14"/>
  <c r="F14" i="14"/>
  <c r="C53" i="14"/>
  <c r="R105" i="14"/>
  <c r="Q136" i="14"/>
  <c r="D100" i="21"/>
  <c r="B46" i="21"/>
  <c r="F235" i="21"/>
  <c r="E48" i="14"/>
  <c r="C49" i="21"/>
  <c r="D139" i="21"/>
  <c r="D138" i="21"/>
  <c r="E114" i="14"/>
  <c r="B44" i="14"/>
  <c r="R110" i="14"/>
  <c r="T104" i="14"/>
  <c r="D14" i="21"/>
  <c r="H43" i="14"/>
  <c r="R108" i="14"/>
  <c r="V72" i="14"/>
  <c r="F58" i="21"/>
  <c r="G51" i="21"/>
  <c r="F224" i="21"/>
  <c r="G108" i="21"/>
  <c r="C135" i="14"/>
  <c r="F11" i="21"/>
  <c r="F230" i="21"/>
  <c r="T114" i="14"/>
  <c r="H57" i="14"/>
  <c r="X120" i="14"/>
  <c r="D140" i="14"/>
  <c r="V90" i="14"/>
  <c r="H109" i="21"/>
  <c r="Q70" i="14"/>
  <c r="G137" i="21"/>
  <c r="D109" i="21"/>
  <c r="G49" i="14"/>
  <c r="F139" i="21"/>
  <c r="B220" i="21"/>
  <c r="T101" i="14"/>
  <c r="F12" i="14"/>
  <c r="Q148" i="14"/>
  <c r="I121" i="14"/>
  <c r="F149" i="21"/>
  <c r="H13" i="14"/>
  <c r="F228" i="21"/>
  <c r="V104" i="14"/>
  <c r="C115" i="21"/>
  <c r="Q84" i="14"/>
  <c r="W133" i="14"/>
  <c r="Q144" i="14"/>
  <c r="J13" i="14"/>
  <c r="U84" i="14"/>
  <c r="H9" i="21"/>
  <c r="R138" i="14"/>
  <c r="L13" i="14"/>
  <c r="G143" i="21"/>
  <c r="G145" i="14"/>
  <c r="H12" i="21"/>
  <c r="T238" i="14"/>
  <c r="F115" i="14"/>
  <c r="D222" i="21"/>
  <c r="S80" i="14"/>
  <c r="Q134" i="14"/>
  <c r="I148" i="14"/>
  <c r="D223" i="21"/>
  <c r="D144" i="14"/>
  <c r="C143" i="14"/>
  <c r="J14" i="21"/>
  <c r="C149" i="14"/>
  <c r="W104" i="14"/>
  <c r="D42" i="21"/>
  <c r="Q141" i="14"/>
  <c r="D53" i="21"/>
  <c r="H53" i="21"/>
  <c r="R88" i="14"/>
  <c r="N19" i="14"/>
  <c r="G52" i="21"/>
  <c r="G48" i="14"/>
  <c r="W109" i="14"/>
  <c r="B145" i="21"/>
  <c r="B23" i="14"/>
  <c r="T150" i="14"/>
  <c r="B232" i="21"/>
  <c r="J29" i="14"/>
  <c r="E115" i="14"/>
  <c r="B140" i="21"/>
  <c r="D121" i="14"/>
  <c r="E46" i="21"/>
  <c r="C39" i="21"/>
  <c r="D41" i="14"/>
  <c r="B142" i="21"/>
  <c r="I106" i="14"/>
  <c r="H22" i="14"/>
  <c r="F226" i="14"/>
  <c r="T85" i="14"/>
  <c r="E58" i="21"/>
  <c r="N29" i="14"/>
  <c r="R133" i="14"/>
  <c r="Q77" i="14"/>
  <c r="T234" i="14"/>
  <c r="H103" i="14"/>
  <c r="D13" i="14"/>
  <c r="S101" i="14"/>
  <c r="B112" i="21"/>
  <c r="R120" i="14"/>
  <c r="L21" i="14"/>
  <c r="S87" i="14"/>
  <c r="Q73" i="14"/>
  <c r="D44" i="14"/>
  <c r="H106" i="14"/>
  <c r="E117" i="21"/>
  <c r="N13" i="21"/>
  <c r="H39" i="21"/>
  <c r="G102" i="21"/>
  <c r="G139" i="21"/>
  <c r="D236" i="21"/>
  <c r="D39" i="21"/>
  <c r="T111" i="14"/>
  <c r="G43" i="14"/>
  <c r="D234" i="21"/>
  <c r="R118" i="14"/>
  <c r="F120" i="21"/>
  <c r="F44" i="14"/>
  <c r="J17" i="14"/>
  <c r="E130" i="21"/>
  <c r="C138" i="14"/>
  <c r="U118" i="14"/>
  <c r="S237" i="14"/>
  <c r="Q131" i="14"/>
  <c r="H113" i="21"/>
  <c r="E133" i="21"/>
  <c r="F21" i="21"/>
  <c r="D46" i="21"/>
  <c r="V119" i="14"/>
  <c r="F225" i="14"/>
  <c r="L14" i="21"/>
  <c r="H48" i="14"/>
  <c r="E109" i="14"/>
  <c r="G149" i="14"/>
  <c r="I134" i="14"/>
  <c r="L28" i="14"/>
  <c r="F102" i="21"/>
  <c r="D21" i="14"/>
  <c r="G139" i="14"/>
  <c r="L27" i="21"/>
  <c r="U150" i="14"/>
  <c r="D102" i="21"/>
  <c r="F105" i="21"/>
  <c r="N26" i="21"/>
  <c r="B134" i="21"/>
  <c r="B54" i="21"/>
  <c r="H43" i="21"/>
  <c r="E135" i="21"/>
  <c r="R148" i="14"/>
  <c r="F227" i="14"/>
  <c r="F233" i="14"/>
  <c r="S229" i="14"/>
  <c r="S134" i="14"/>
  <c r="I116" i="14"/>
  <c r="R78" i="14"/>
  <c r="F104" i="14"/>
  <c r="R121" i="14"/>
  <c r="D59" i="21"/>
  <c r="X109" i="14"/>
  <c r="D13" i="21"/>
  <c r="T108" i="14"/>
  <c r="G138" i="14"/>
  <c r="V83" i="14"/>
  <c r="H41" i="14"/>
  <c r="B19" i="21"/>
  <c r="U87" i="14"/>
  <c r="B100" i="21"/>
  <c r="F225" i="21"/>
  <c r="D41" i="21"/>
  <c r="F112" i="21"/>
  <c r="B59" i="14"/>
  <c r="D130" i="21"/>
  <c r="U80" i="14"/>
  <c r="I140" i="14"/>
  <c r="I105" i="14"/>
  <c r="G42" i="21"/>
  <c r="F24" i="14"/>
  <c r="H51" i="14"/>
  <c r="W135" i="14"/>
  <c r="F223" i="21"/>
  <c r="F220" i="21"/>
  <c r="B12" i="14"/>
  <c r="E53" i="14"/>
  <c r="C102" i="21"/>
  <c r="B225" i="14"/>
  <c r="V134" i="14"/>
  <c r="F224" i="14"/>
  <c r="B226" i="21"/>
  <c r="F236" i="21"/>
  <c r="R104" i="14"/>
  <c r="Q151" i="14"/>
  <c r="G41" i="21"/>
  <c r="Q149" i="14"/>
  <c r="U146" i="14"/>
  <c r="J19" i="21"/>
  <c r="T87" i="14"/>
  <c r="F229" i="21"/>
  <c r="F135" i="21"/>
  <c r="C48" i="14"/>
  <c r="F13" i="14"/>
  <c r="F27" i="21"/>
  <c r="Q80" i="14"/>
  <c r="H147" i="21"/>
  <c r="S233" i="14"/>
  <c r="S74" i="14"/>
  <c r="H49" i="21"/>
  <c r="E57" i="21"/>
  <c r="T226" i="14"/>
  <c r="L17" i="14"/>
  <c r="F145" i="14"/>
  <c r="T73" i="14"/>
  <c r="D114" i="21"/>
  <c r="G47" i="14"/>
  <c r="B19" i="14"/>
  <c r="V149" i="14"/>
  <c r="F19" i="14"/>
  <c r="D237" i="21"/>
  <c r="G110" i="21"/>
  <c r="I144" i="14"/>
  <c r="F230" i="14"/>
  <c r="G105" i="21"/>
  <c r="E109" i="21"/>
  <c r="L26" i="21"/>
  <c r="B110" i="21"/>
  <c r="R113" i="14"/>
  <c r="D12" i="21"/>
  <c r="D146" i="14"/>
  <c r="B228" i="14"/>
  <c r="R87" i="14"/>
  <c r="G43" i="21"/>
  <c r="E134" i="14"/>
  <c r="S136" i="14"/>
  <c r="G56" i="14"/>
  <c r="B16" i="14"/>
  <c r="J24" i="21"/>
  <c r="B134" i="14"/>
  <c r="F142" i="21"/>
  <c r="T121" i="14"/>
  <c r="U73" i="14"/>
  <c r="I109" i="14"/>
  <c r="C46" i="14"/>
  <c r="Q79" i="14"/>
  <c r="T139" i="14"/>
  <c r="C119" i="21"/>
  <c r="G51" i="14"/>
  <c r="C54" i="14"/>
  <c r="F239" i="14"/>
  <c r="W143" i="14"/>
  <c r="B43" i="21"/>
  <c r="V84" i="14"/>
  <c r="F54" i="21"/>
  <c r="I110" i="14"/>
  <c r="V139" i="14"/>
  <c r="H120" i="21"/>
  <c r="G57" i="21"/>
  <c r="G118" i="14"/>
  <c r="R80" i="14"/>
  <c r="D18" i="21"/>
  <c r="H19" i="21"/>
  <c r="B148" i="21"/>
  <c r="V110" i="14"/>
  <c r="S77" i="14"/>
  <c r="F147" i="21"/>
  <c r="H149" i="21"/>
  <c r="H142" i="21"/>
  <c r="D109" i="14"/>
  <c r="H138" i="21"/>
  <c r="D112" i="21"/>
  <c r="B239" i="14"/>
  <c r="G148" i="21"/>
  <c r="U104" i="14"/>
  <c r="T88" i="14"/>
  <c r="D150" i="14"/>
  <c r="R74" i="14"/>
  <c r="U149" i="14"/>
  <c r="F23" i="21"/>
  <c r="B232" i="14"/>
  <c r="I119" i="14"/>
  <c r="T222" i="14"/>
  <c r="B52" i="14"/>
  <c r="E103" i="14"/>
  <c r="T144" i="14"/>
  <c r="U70" i="14"/>
  <c r="C120" i="14"/>
  <c r="U101" i="14"/>
  <c r="U72" i="14"/>
  <c r="L12" i="14"/>
  <c r="E42" i="21"/>
  <c r="B114" i="21"/>
  <c r="F9" i="21"/>
  <c r="F22" i="21"/>
  <c r="Q75" i="14"/>
  <c r="U105" i="14"/>
  <c r="S73" i="14"/>
  <c r="Q82" i="14"/>
  <c r="C59" i="21"/>
  <c r="F118" i="21"/>
  <c r="J28" i="21"/>
  <c r="R131" i="14"/>
  <c r="H26" i="14"/>
  <c r="U77" i="14"/>
  <c r="G106" i="14"/>
  <c r="H104" i="21"/>
  <c r="D134" i="21"/>
  <c r="J28" i="14"/>
  <c r="C108" i="21"/>
  <c r="F18" i="21"/>
  <c r="V77" i="14"/>
  <c r="U83" i="14"/>
  <c r="H27" i="14"/>
  <c r="D54" i="14"/>
  <c r="U116" i="14"/>
  <c r="G59" i="14"/>
  <c r="N21" i="21"/>
  <c r="F41" i="21"/>
  <c r="H21" i="14"/>
  <c r="C118" i="14"/>
  <c r="W115" i="14"/>
  <c r="H148" i="14"/>
  <c r="F229" i="14"/>
  <c r="H46" i="14"/>
  <c r="D142" i="21"/>
  <c r="H104" i="14"/>
  <c r="B140" i="14"/>
  <c r="B143" i="14"/>
  <c r="F148" i="21"/>
  <c r="D27" i="21"/>
  <c r="S85" i="14"/>
  <c r="S90" i="14"/>
  <c r="H137" i="21"/>
  <c r="I146" i="14"/>
  <c r="J14" i="14"/>
  <c r="W116" i="14"/>
  <c r="G107" i="21"/>
  <c r="C58" i="14"/>
  <c r="B144" i="14"/>
  <c r="S140" i="14"/>
  <c r="H143" i="21"/>
  <c r="V141" i="14"/>
  <c r="W140" i="14"/>
  <c r="B151" i="14"/>
  <c r="F232" i="21"/>
  <c r="T83" i="14"/>
  <c r="J24" i="14"/>
  <c r="I114" i="14"/>
  <c r="B11" i="21"/>
  <c r="H150" i="21"/>
  <c r="R90" i="14"/>
  <c r="H138" i="14"/>
  <c r="U148" i="14"/>
  <c r="V82" i="14"/>
  <c r="E114" i="21"/>
  <c r="J27" i="21"/>
  <c r="W108" i="14"/>
  <c r="V75" i="14"/>
  <c r="U151" i="14"/>
  <c r="I135" i="14"/>
  <c r="H24" i="21"/>
  <c r="T136" i="14"/>
  <c r="C144" i="14"/>
  <c r="D133" i="14"/>
  <c r="G140" i="21"/>
  <c r="B119" i="21"/>
  <c r="F108" i="14"/>
  <c r="H21" i="21"/>
  <c r="D118" i="21"/>
  <c r="H139" i="14"/>
  <c r="N23" i="21"/>
  <c r="F110" i="21"/>
  <c r="E135" i="14"/>
  <c r="W82" i="14"/>
  <c r="B233" i="21"/>
  <c r="N11" i="14"/>
  <c r="B149" i="14"/>
  <c r="N13" i="14"/>
  <c r="H16" i="21"/>
  <c r="G138" i="21"/>
  <c r="G110" i="14"/>
  <c r="T239" i="14"/>
  <c r="T105" i="14"/>
  <c r="H23" i="21"/>
  <c r="D113" i="14"/>
  <c r="S72" i="14"/>
  <c r="V88" i="14"/>
  <c r="E53" i="21"/>
  <c r="G115" i="14"/>
  <c r="D151" i="14"/>
  <c r="F139" i="14"/>
  <c r="E149" i="21"/>
  <c r="G52" i="14"/>
  <c r="D149" i="21"/>
  <c r="W136" i="14"/>
  <c r="Q135" i="14"/>
  <c r="R135" i="14"/>
  <c r="G114" i="14"/>
  <c r="F51" i="21"/>
  <c r="B47" i="21"/>
  <c r="D111" i="14"/>
  <c r="D120" i="21"/>
  <c r="B26" i="21"/>
  <c r="E140" i="21"/>
  <c r="U120" i="14"/>
  <c r="C101" i="14"/>
  <c r="G112" i="21"/>
  <c r="U140" i="14"/>
  <c r="D28" i="21"/>
  <c r="G39" i="21"/>
  <c r="E104" i="21"/>
  <c r="E47" i="21"/>
  <c r="L12" i="21"/>
  <c r="F227" i="21"/>
  <c r="R141" i="14"/>
  <c r="C134" i="14"/>
  <c r="I150" i="14"/>
  <c r="F234" i="21"/>
  <c r="E119" i="14"/>
  <c r="R77" i="14"/>
  <c r="F53" i="21"/>
  <c r="N9" i="21"/>
  <c r="F56" i="14"/>
  <c r="W88" i="14"/>
  <c r="W151" i="14"/>
  <c r="B114" i="14"/>
  <c r="N21" i="14"/>
  <c r="E142" i="21"/>
  <c r="F118" i="14"/>
  <c r="D48" i="21"/>
  <c r="H119" i="21"/>
  <c r="D101" i="14"/>
  <c r="L29" i="14"/>
  <c r="Q83" i="14"/>
  <c r="L24" i="14"/>
  <c r="S103" i="14"/>
  <c r="B137" i="21"/>
  <c r="G119" i="21"/>
  <c r="E52" i="21"/>
  <c r="W150" i="14"/>
  <c r="D18" i="14"/>
  <c r="R229" i="14"/>
  <c r="E113" i="21"/>
  <c r="S234" i="14"/>
  <c r="E140" i="14"/>
  <c r="J17" i="21"/>
  <c r="E111" i="14"/>
  <c r="X103" i="14"/>
  <c r="D56" i="14"/>
  <c r="R224" i="14"/>
  <c r="H143" i="14"/>
  <c r="X115" i="14"/>
  <c r="D116" i="14"/>
  <c r="B13" i="14"/>
  <c r="F228" i="14"/>
  <c r="B110" i="14"/>
  <c r="L18" i="14"/>
  <c r="D132" i="21"/>
  <c r="B46" i="14"/>
  <c r="W113" i="14"/>
  <c r="N22" i="21"/>
  <c r="H140" i="14"/>
  <c r="B229" i="21"/>
  <c r="N27" i="21"/>
  <c r="V115" i="14"/>
  <c r="C42" i="14"/>
  <c r="T115" i="14"/>
  <c r="D231" i="21"/>
  <c r="C111" i="14"/>
  <c r="H110" i="21"/>
  <c r="B144" i="21"/>
  <c r="G135" i="14"/>
  <c r="T229" i="14"/>
  <c r="G147" i="21"/>
  <c r="H46" i="21"/>
  <c r="I138" i="14"/>
  <c r="C106" i="14"/>
  <c r="F52" i="21"/>
  <c r="S231" i="14"/>
  <c r="H114" i="21"/>
  <c r="G120" i="14"/>
  <c r="D235" i="21"/>
  <c r="H59" i="14"/>
  <c r="G103" i="21"/>
  <c r="G54" i="14"/>
  <c r="V103" i="14"/>
  <c r="F104" i="21"/>
  <c r="B53" i="14"/>
  <c r="B29" i="14"/>
  <c r="C104" i="14"/>
  <c r="F28" i="14"/>
  <c r="F146" i="14"/>
  <c r="E148" i="14"/>
  <c r="F39" i="21"/>
  <c r="S113" i="14"/>
  <c r="B234" i="21"/>
  <c r="D22" i="21"/>
  <c r="D145" i="21"/>
  <c r="C146" i="14"/>
  <c r="N24" i="21"/>
  <c r="R109" i="14"/>
  <c r="H111" i="14"/>
  <c r="D139" i="14"/>
  <c r="F140" i="21"/>
  <c r="J12" i="14"/>
  <c r="H29" i="14"/>
  <c r="F49" i="21"/>
  <c r="E141" i="14"/>
  <c r="U138" i="14"/>
  <c r="T79" i="14"/>
  <c r="D226" i="21"/>
  <c r="E39" i="21"/>
  <c r="G46" i="14"/>
  <c r="F17" i="14"/>
  <c r="I141" i="14"/>
  <c r="G42" i="14"/>
  <c r="J23" i="14"/>
  <c r="D143" i="21"/>
  <c r="W110" i="14"/>
  <c r="T145" i="14"/>
  <c r="H14" i="21"/>
  <c r="F26" i="14"/>
  <c r="E112" i="21"/>
  <c r="D108" i="21"/>
  <c r="F238" i="14"/>
  <c r="I139" i="14"/>
  <c r="E44" i="21"/>
  <c r="D106" i="14"/>
  <c r="R134" i="14"/>
  <c r="B231" i="21"/>
  <c r="B235" i="14"/>
  <c r="G149" i="21"/>
  <c r="R114" i="14"/>
  <c r="Q87" i="14"/>
  <c r="H14" i="14"/>
  <c r="J16" i="14"/>
  <c r="B21" i="21"/>
  <c r="E49" i="14"/>
  <c r="D145" i="14"/>
  <c r="B106" i="14"/>
  <c r="T120" i="14"/>
  <c r="D147" i="21"/>
  <c r="Q150" i="14"/>
  <c r="F24" i="21"/>
  <c r="D103" i="21"/>
  <c r="Q139" i="14"/>
  <c r="G120" i="21"/>
  <c r="V136" i="14"/>
  <c r="X118" i="14"/>
  <c r="T237" i="14"/>
  <c r="H18" i="14"/>
  <c r="E57" i="14"/>
  <c r="R226" i="14"/>
  <c r="S111" i="14"/>
  <c r="H146" i="14"/>
  <c r="B146" i="14"/>
  <c r="L24" i="21"/>
  <c r="R139" i="14"/>
  <c r="H131" i="14"/>
  <c r="F116" i="14"/>
  <c r="F18" i="14"/>
  <c r="H39" i="14"/>
  <c r="V120" i="14"/>
  <c r="X121" i="14"/>
  <c r="D233" i="21"/>
  <c r="F47" i="14"/>
  <c r="T72" i="14"/>
  <c r="V73" i="14"/>
  <c r="D133" i="21"/>
  <c r="H11" i="14"/>
  <c r="H151" i="14"/>
  <c r="N28" i="21"/>
  <c r="I151" i="14"/>
  <c r="F56" i="21"/>
  <c r="B145" i="14"/>
  <c r="C118" i="21"/>
  <c r="F133" i="21"/>
  <c r="W80" i="14"/>
  <c r="N12" i="14"/>
  <c r="S148" i="14"/>
  <c r="G56" i="21"/>
  <c r="E144" i="21"/>
  <c r="H57" i="21"/>
  <c r="G121" i="14"/>
  <c r="B18" i="21"/>
  <c r="C43" i="21"/>
  <c r="E150" i="14"/>
  <c r="H108" i="21"/>
  <c r="E150" i="21"/>
  <c r="L14" i="14"/>
  <c r="N17" i="21"/>
  <c r="T80" i="14"/>
  <c r="H41" i="21"/>
  <c r="H56" i="21"/>
  <c r="E119" i="21"/>
  <c r="S133" i="14"/>
  <c r="V146" i="14"/>
  <c r="G119" i="14"/>
  <c r="C145" i="14"/>
  <c r="U79" i="14"/>
  <c r="D28" i="14"/>
  <c r="R238" i="14"/>
  <c r="S135" i="14"/>
  <c r="Q133" i="14"/>
  <c r="R119" i="14"/>
  <c r="G113" i="14"/>
  <c r="F11" i="14"/>
  <c r="I101" i="14"/>
  <c r="W134" i="14"/>
  <c r="D47" i="21"/>
  <c r="D104" i="14"/>
  <c r="T233" i="14"/>
  <c r="R70" i="14"/>
  <c r="F103" i="21"/>
  <c r="N14" i="21"/>
  <c r="R232" i="14"/>
  <c r="T143" i="14"/>
  <c r="B227" i="14"/>
  <c r="D57" i="14"/>
  <c r="F232" i="14"/>
  <c r="W84" i="14"/>
  <c r="H133" i="21"/>
  <c r="H42" i="21"/>
  <c r="E59" i="14"/>
  <c r="C130" i="21"/>
  <c r="C109" i="14"/>
  <c r="C51" i="14"/>
  <c r="J26" i="21"/>
  <c r="W139" i="14"/>
  <c r="D118" i="14"/>
  <c r="T227" i="14"/>
  <c r="V79" i="14"/>
  <c r="H150" i="14"/>
  <c r="J9" i="21"/>
  <c r="C135" i="21"/>
  <c r="B28" i="21"/>
  <c r="R222" i="14"/>
  <c r="G109" i="14"/>
  <c r="E54" i="21"/>
  <c r="E54" i="14"/>
  <c r="S79" i="14"/>
  <c r="D224" i="21"/>
  <c r="I133" i="14"/>
  <c r="B51" i="21"/>
  <c r="B42" i="14"/>
  <c r="B39" i="14"/>
  <c r="C134" i="21"/>
  <c r="E145" i="21"/>
  <c r="F148" i="14"/>
  <c r="Q90" i="14"/>
  <c r="I149" i="14"/>
  <c r="E51" i="14"/>
  <c r="B224" i="14"/>
  <c r="U111" i="14"/>
  <c r="V131" i="14"/>
  <c r="D29" i="21"/>
  <c r="D232" i="21"/>
  <c r="B109" i="21"/>
  <c r="G143" i="14"/>
  <c r="R230" i="14"/>
  <c r="B105" i="14"/>
  <c r="U89" i="14"/>
  <c r="G135" i="21"/>
  <c r="S83" i="14"/>
  <c r="B230" i="21"/>
  <c r="B57" i="14"/>
  <c r="L17" i="21"/>
  <c r="D148" i="21"/>
  <c r="G41" i="14"/>
  <c r="D110" i="14"/>
  <c r="F136" i="14"/>
  <c r="H118" i="14"/>
  <c r="G104" i="14"/>
  <c r="H105" i="21"/>
  <c r="Q74" i="14"/>
  <c r="J21" i="21"/>
  <c r="C105" i="21"/>
  <c r="R237" i="14"/>
  <c r="N14" i="14"/>
  <c r="E104" i="14"/>
  <c r="H53" i="14"/>
  <c r="L28" i="21"/>
  <c r="E133" i="14"/>
  <c r="G151" i="14"/>
  <c r="U110" i="14"/>
  <c r="B12" i="21"/>
  <c r="I113" i="14"/>
  <c r="G134" i="14"/>
  <c r="B139" i="21"/>
  <c r="C132" i="21"/>
  <c r="E43" i="21"/>
  <c r="R85" i="14"/>
  <c r="F135" i="14"/>
  <c r="C44" i="21"/>
  <c r="F117" i="21"/>
  <c r="B236" i="14"/>
  <c r="S232" i="14"/>
  <c r="W87" i="14"/>
  <c r="H115" i="14"/>
  <c r="D138" i="14"/>
  <c r="B41" i="21"/>
  <c r="F22" i="14"/>
  <c r="H110" i="14"/>
  <c r="B139" i="14"/>
  <c r="F134" i="21"/>
  <c r="B104" i="14"/>
  <c r="D103" i="14"/>
  <c r="F100" i="21"/>
  <c r="V80" i="14"/>
  <c r="T133" i="14"/>
  <c r="H134" i="14"/>
  <c r="C41" i="14"/>
  <c r="W119" i="14"/>
  <c r="F130" i="21"/>
  <c r="R145" i="14"/>
  <c r="F111" i="14"/>
  <c r="D9" i="21"/>
  <c r="V111" i="14"/>
  <c r="W149" i="14"/>
  <c r="D59" i="14"/>
  <c r="E139" i="21"/>
  <c r="H100" i="21"/>
  <c r="F28" i="21"/>
  <c r="B227" i="21"/>
  <c r="F237" i="14"/>
  <c r="B150" i="21"/>
  <c r="D149" i="14"/>
  <c r="H101" i="14"/>
  <c r="G44" i="14"/>
  <c r="D56" i="21"/>
  <c r="I103" i="14"/>
  <c r="F141" i="14"/>
  <c r="B22" i="21"/>
  <c r="B24" i="14"/>
  <c r="C147" i="21"/>
  <c r="B143" i="21"/>
  <c r="L16" i="14"/>
  <c r="D29" i="14"/>
  <c r="B234" i="14"/>
  <c r="L11" i="14"/>
  <c r="B43" i="14"/>
  <c r="B103" i="21"/>
  <c r="H17" i="21"/>
  <c r="E143" i="14"/>
  <c r="B49" i="14"/>
  <c r="S235" i="14"/>
  <c r="W83" i="14"/>
  <c r="C47" i="14"/>
  <c r="U135" i="14"/>
  <c r="F58" i="14"/>
  <c r="C103" i="21"/>
  <c r="F29" i="21"/>
  <c r="B235" i="21"/>
  <c r="C104" i="21"/>
  <c r="D27" i="14"/>
  <c r="E146" i="14"/>
  <c r="H118" i="21"/>
  <c r="D225" i="21"/>
  <c r="D108" i="14"/>
  <c r="B147" i="21"/>
  <c r="C47" i="21"/>
  <c r="F57" i="21"/>
  <c r="L26" i="14"/>
  <c r="H52" i="14"/>
  <c r="T235" i="14"/>
  <c r="D110" i="21"/>
  <c r="W141" i="14"/>
  <c r="B238" i="14"/>
  <c r="G146" i="14"/>
  <c r="E120" i="21"/>
  <c r="W145" i="14"/>
  <c r="D150" i="21"/>
  <c r="G105" i="14"/>
  <c r="D23" i="21"/>
  <c r="D57" i="21"/>
  <c r="E39" i="14"/>
  <c r="I120" i="14"/>
  <c r="U74" i="14"/>
  <c r="D104" i="21"/>
  <c r="N18" i="14"/>
  <c r="F144" i="14"/>
  <c r="V148" i="14"/>
  <c r="R151" i="14"/>
  <c r="R234" i="14"/>
  <c r="S75" i="14"/>
  <c r="G109" i="21"/>
  <c r="F53" i="14"/>
  <c r="C110" i="14"/>
  <c r="G111" i="14"/>
  <c r="B54" i="14"/>
  <c r="L11" i="21"/>
  <c r="H105" i="14"/>
  <c r="J27" i="14"/>
  <c r="F54" i="14"/>
  <c r="H11" i="21"/>
  <c r="H102" i="21"/>
  <c r="J22" i="21"/>
  <c r="B17" i="14"/>
  <c r="G44" i="21"/>
  <c r="D113" i="21"/>
  <c r="U139" i="14"/>
  <c r="G104" i="21"/>
  <c r="G133" i="21"/>
  <c r="E48" i="21"/>
  <c r="F109" i="21"/>
  <c r="H130" i="21"/>
  <c r="B22" i="14"/>
  <c r="V118" i="14"/>
  <c r="R115" i="14"/>
  <c r="F39" i="14"/>
  <c r="F51" i="14"/>
  <c r="D22" i="14"/>
  <c r="I111" i="14"/>
  <c r="H56" i="14"/>
  <c r="D58" i="21"/>
  <c r="F201" i="14" l="1"/>
  <c r="AF201" i="14" s="1"/>
  <c r="F70" i="14"/>
  <c r="AK175" i="14"/>
  <c r="AP178" i="14"/>
  <c r="B83" i="14"/>
  <c r="J169" i="21"/>
  <c r="B194" i="21"/>
  <c r="F173" i="21"/>
  <c r="B78" i="14"/>
  <c r="F83" i="21"/>
  <c r="D192" i="21"/>
  <c r="E72" i="21"/>
  <c r="F88" i="14"/>
  <c r="D195" i="14"/>
  <c r="AE195" i="14" s="1"/>
  <c r="G72" i="21"/>
  <c r="B201" i="14"/>
  <c r="AD201" i="14" s="1"/>
  <c r="D170" i="14"/>
  <c r="AE170" i="14" s="1"/>
  <c r="B199" i="21"/>
  <c r="U234" i="14"/>
  <c r="H79" i="14"/>
  <c r="F210" i="14"/>
  <c r="AF210" i="14" s="1"/>
  <c r="E70" i="14"/>
  <c r="C84" i="21"/>
  <c r="B195" i="14"/>
  <c r="AD195" i="14" s="1"/>
  <c r="H180" i="21"/>
  <c r="V238" i="14"/>
  <c r="Z238" i="14"/>
  <c r="F170" i="21"/>
  <c r="AB235" i="14"/>
  <c r="G87" i="14"/>
  <c r="F168" i="14"/>
  <c r="AF168" i="14" s="1"/>
  <c r="D208" i="21"/>
  <c r="C88" i="14"/>
  <c r="D164" i="21"/>
  <c r="D90" i="21"/>
  <c r="D163" i="21"/>
  <c r="W235" i="14"/>
  <c r="AA235" i="14"/>
  <c r="E78" i="21"/>
  <c r="B163" i="21"/>
  <c r="G72" i="14"/>
  <c r="Z234" i="14"/>
  <c r="V234" i="14"/>
  <c r="C90" i="14"/>
  <c r="G77" i="14"/>
  <c r="B85" i="14"/>
  <c r="B83" i="21"/>
  <c r="F193" i="14"/>
  <c r="AF193" i="14" s="1"/>
  <c r="D191" i="14"/>
  <c r="H237" i="14"/>
  <c r="X237" i="14"/>
  <c r="D89" i="21"/>
  <c r="D190" i="21"/>
  <c r="AP171" i="14"/>
  <c r="C70" i="21"/>
  <c r="J171" i="14"/>
  <c r="AI171" i="14" s="1"/>
  <c r="AJ209" i="14"/>
  <c r="J160" i="21"/>
  <c r="F163" i="14"/>
  <c r="AF163" i="14" s="1"/>
  <c r="B164" i="14"/>
  <c r="AD164" i="14" s="1"/>
  <c r="D200" i="14"/>
  <c r="AE200" i="14" s="1"/>
  <c r="D83" i="14"/>
  <c r="D205" i="14"/>
  <c r="AE205" i="14" s="1"/>
  <c r="AA232" i="14"/>
  <c r="W232" i="14"/>
  <c r="Z236" i="14"/>
  <c r="V236" i="14"/>
  <c r="J177" i="21"/>
  <c r="F203" i="14"/>
  <c r="AF203" i="14" s="1"/>
  <c r="B73" i="21"/>
  <c r="AN170" i="14"/>
  <c r="G89" i="21"/>
  <c r="H164" i="14"/>
  <c r="AG164" i="14" s="1"/>
  <c r="H75" i="14"/>
  <c r="U237" i="14"/>
  <c r="D165" i="21"/>
  <c r="F82" i="21"/>
  <c r="D195" i="21"/>
  <c r="B194" i="14"/>
  <c r="AD194" i="14" s="1"/>
  <c r="D208" i="14"/>
  <c r="AE208" i="14" s="1"/>
  <c r="F170" i="14"/>
  <c r="AF170" i="14" s="1"/>
  <c r="G78" i="21"/>
  <c r="B165" i="14"/>
  <c r="AD165" i="14" s="1"/>
  <c r="U230" i="14"/>
  <c r="B169" i="21"/>
  <c r="C90" i="21"/>
  <c r="AN171" i="14"/>
  <c r="Z224" i="14"/>
  <c r="V224" i="14"/>
  <c r="B70" i="14"/>
  <c r="B199" i="14"/>
  <c r="AD199" i="14" s="1"/>
  <c r="U222" i="14"/>
  <c r="B89" i="21"/>
  <c r="F70" i="21"/>
  <c r="AB227" i="14"/>
  <c r="F178" i="14"/>
  <c r="AF178" i="14" s="1"/>
  <c r="F87" i="21"/>
  <c r="D169" i="14"/>
  <c r="AE169" i="14" s="1"/>
  <c r="X232" i="14"/>
  <c r="H232" i="14"/>
  <c r="V227" i="14"/>
  <c r="Z227" i="14"/>
  <c r="U232" i="14"/>
  <c r="H75" i="21"/>
  <c r="J163" i="21"/>
  <c r="AB233" i="14"/>
  <c r="F164" i="14"/>
  <c r="AF164" i="14" s="1"/>
  <c r="F191" i="14"/>
  <c r="D72" i="14"/>
  <c r="B203" i="14"/>
  <c r="AD203" i="14" s="1"/>
  <c r="U238" i="14"/>
  <c r="C89" i="14"/>
  <c r="B209" i="14"/>
  <c r="AD209" i="14" s="1"/>
  <c r="H179" i="21"/>
  <c r="H78" i="21"/>
  <c r="G75" i="14"/>
  <c r="D198" i="21"/>
  <c r="B79" i="21"/>
  <c r="B211" i="14"/>
  <c r="AD211" i="14" s="1"/>
  <c r="H73" i="14"/>
  <c r="D178" i="21"/>
  <c r="H89" i="21"/>
  <c r="E72" i="14"/>
  <c r="AK211" i="14"/>
  <c r="AP180" i="14"/>
  <c r="H70" i="14"/>
  <c r="D79" i="14"/>
  <c r="J176" i="14"/>
  <c r="AI176" i="14" s="1"/>
  <c r="G85" i="21"/>
  <c r="AL171" i="14"/>
  <c r="U226" i="14"/>
  <c r="E79" i="14"/>
  <c r="AB237" i="14"/>
  <c r="AK208" i="14"/>
  <c r="AJ196" i="14"/>
  <c r="B210" i="21"/>
  <c r="F163" i="21"/>
  <c r="D85" i="21"/>
  <c r="B166" i="14"/>
  <c r="AD166" i="14" s="1"/>
  <c r="B82" i="21"/>
  <c r="F77" i="14"/>
  <c r="E75" i="14"/>
  <c r="AK174" i="14"/>
  <c r="Z235" i="14"/>
  <c r="V235" i="14"/>
  <c r="F166" i="14"/>
  <c r="AF166" i="14" s="1"/>
  <c r="X238" i="14"/>
  <c r="H238" i="14"/>
  <c r="F168" i="21"/>
  <c r="H172" i="21"/>
  <c r="D87" i="14"/>
  <c r="E75" i="21"/>
  <c r="AJ200" i="14"/>
  <c r="F84" i="14"/>
  <c r="D78" i="14"/>
  <c r="E90" i="14"/>
  <c r="F73" i="14"/>
  <c r="D201" i="14"/>
  <c r="AE201" i="14" s="1"/>
  <c r="AK169" i="14"/>
  <c r="H85" i="21"/>
  <c r="C83" i="21"/>
  <c r="AL173" i="14"/>
  <c r="D89" i="14"/>
  <c r="D164" i="14"/>
  <c r="AE164" i="14" s="1"/>
  <c r="B90" i="14"/>
  <c r="J164" i="21"/>
  <c r="AP163" i="14"/>
  <c r="B193" i="21"/>
  <c r="B210" i="14"/>
  <c r="AD210" i="14" s="1"/>
  <c r="D204" i="21"/>
  <c r="AA231" i="14"/>
  <c r="W231" i="14"/>
  <c r="D166" i="14"/>
  <c r="AE166" i="14" s="1"/>
  <c r="AB229" i="14"/>
  <c r="D200" i="21"/>
  <c r="D171" i="14"/>
  <c r="AE171" i="14" s="1"/>
  <c r="AM175" i="14"/>
  <c r="AP175" i="14"/>
  <c r="H88" i="21"/>
  <c r="H83" i="21"/>
  <c r="AJ203" i="14"/>
  <c r="G79" i="14"/>
  <c r="B170" i="14"/>
  <c r="AD170" i="14" s="1"/>
  <c r="H228" i="14"/>
  <c r="X228" i="14"/>
  <c r="B74" i="14"/>
  <c r="F176" i="14"/>
  <c r="AF176" i="14" s="1"/>
  <c r="AK205" i="14"/>
  <c r="U224" i="14"/>
  <c r="AK193" i="14"/>
  <c r="H171" i="14"/>
  <c r="AG171" i="14" s="1"/>
  <c r="F78" i="21"/>
  <c r="AA234" i="14"/>
  <c r="W234" i="14"/>
  <c r="H173" i="21"/>
  <c r="U229" i="14"/>
  <c r="C79" i="14"/>
  <c r="B209" i="21"/>
  <c r="AL163" i="14"/>
  <c r="G85" i="14"/>
  <c r="G90" i="14"/>
  <c r="F161" i="14"/>
  <c r="D209" i="21"/>
  <c r="J178" i="14"/>
  <c r="AI178" i="14" s="1"/>
  <c r="H82" i="14"/>
  <c r="B174" i="14"/>
  <c r="AD174" i="14" s="1"/>
  <c r="H70" i="21"/>
  <c r="H179" i="14"/>
  <c r="H234" i="21"/>
  <c r="H227" i="21"/>
  <c r="G73" i="21"/>
  <c r="H164" i="21"/>
  <c r="C89" i="21"/>
  <c r="B202" i="21"/>
  <c r="D161" i="14"/>
  <c r="B87" i="21"/>
  <c r="F180" i="21"/>
  <c r="F171" i="14"/>
  <c r="AF171" i="14" s="1"/>
  <c r="B204" i="14"/>
  <c r="AD204" i="14" s="1"/>
  <c r="AK196" i="14"/>
  <c r="B205" i="14"/>
  <c r="AD205" i="14" s="1"/>
  <c r="F173" i="14"/>
  <c r="AF173" i="14" s="1"/>
  <c r="E84" i="21"/>
  <c r="AM165" i="14"/>
  <c r="AB239" i="14"/>
  <c r="B200" i="14"/>
  <c r="AD200" i="14" s="1"/>
  <c r="E77" i="21"/>
  <c r="H74" i="14"/>
  <c r="H72" i="14"/>
  <c r="J170" i="21"/>
  <c r="H84" i="21"/>
  <c r="F178" i="21"/>
  <c r="E82" i="21"/>
  <c r="J168" i="14"/>
  <c r="AI168" i="14" s="1"/>
  <c r="B179" i="21"/>
  <c r="AN166" i="14"/>
  <c r="E85" i="21"/>
  <c r="AJ198" i="14"/>
  <c r="F88" i="21"/>
  <c r="H174" i="21"/>
  <c r="B72" i="21"/>
  <c r="F204" i="14"/>
  <c r="AF204" i="14" s="1"/>
  <c r="F85" i="14"/>
  <c r="H232" i="21"/>
  <c r="B197" i="21"/>
  <c r="AJ206" i="14"/>
  <c r="F75" i="14"/>
  <c r="C88" i="21"/>
  <c r="D194" i="14"/>
  <c r="AE194" i="14" s="1"/>
  <c r="X229" i="14"/>
  <c r="H229" i="14"/>
  <c r="AJ205" i="14"/>
  <c r="D178" i="14"/>
  <c r="AE178" i="14" s="1"/>
  <c r="E82" i="14"/>
  <c r="H82" i="21"/>
  <c r="AN176" i="14"/>
  <c r="E88" i="14"/>
  <c r="D79" i="21"/>
  <c r="D168" i="21"/>
  <c r="F89" i="14"/>
  <c r="D194" i="21"/>
  <c r="B196" i="14"/>
  <c r="AD196" i="14" s="1"/>
  <c r="E87" i="14"/>
  <c r="F89" i="21"/>
  <c r="J178" i="21"/>
  <c r="AN165" i="14"/>
  <c r="D83" i="21"/>
  <c r="D70" i="21"/>
  <c r="B174" i="21"/>
  <c r="G73" i="14"/>
  <c r="D180" i="14"/>
  <c r="AE180" i="14" s="1"/>
  <c r="H163" i="14"/>
  <c r="AG163" i="14" s="1"/>
  <c r="AB222" i="14"/>
  <c r="F209" i="14"/>
  <c r="AF209" i="14" s="1"/>
  <c r="V232" i="14"/>
  <c r="Z232" i="14"/>
  <c r="D84" i="21"/>
  <c r="AN164" i="14"/>
  <c r="V239" i="14"/>
  <c r="Z239" i="14"/>
  <c r="F172" i="21"/>
  <c r="F169" i="14"/>
  <c r="AF169" i="14" s="1"/>
  <c r="AP170" i="14"/>
  <c r="E80" i="21"/>
  <c r="C79" i="21"/>
  <c r="B208" i="14"/>
  <c r="AD208" i="14" s="1"/>
  <c r="D210" i="21"/>
  <c r="F200" i="14"/>
  <c r="AF200" i="14" s="1"/>
  <c r="H239" i="14"/>
  <c r="X239" i="14"/>
  <c r="D179" i="21"/>
  <c r="F199" i="14"/>
  <c r="AF199" i="14" s="1"/>
  <c r="AM181" i="14"/>
  <c r="F85" i="21"/>
  <c r="B77" i="14"/>
  <c r="AM166" i="14"/>
  <c r="V228" i="14"/>
  <c r="Z228" i="14"/>
  <c r="C73" i="21"/>
  <c r="AK173" i="14"/>
  <c r="B170" i="21"/>
  <c r="G87" i="21"/>
  <c r="H169" i="21"/>
  <c r="B195" i="21"/>
  <c r="X230" i="14"/>
  <c r="H230" i="14"/>
  <c r="B200" i="21"/>
  <c r="D80" i="14"/>
  <c r="B80" i="14"/>
  <c r="F174" i="21"/>
  <c r="G78" i="14"/>
  <c r="AB226" i="14"/>
  <c r="AA233" i="14"/>
  <c r="W233" i="14"/>
  <c r="D88" i="21"/>
  <c r="D74" i="14"/>
  <c r="H229" i="21"/>
  <c r="F80" i="21"/>
  <c r="AK164" i="14"/>
  <c r="H236" i="21"/>
  <c r="X224" i="14"/>
  <c r="H224" i="14"/>
  <c r="V225" i="14"/>
  <c r="Z225" i="14"/>
  <c r="D162" i="21"/>
  <c r="B73" i="14"/>
  <c r="H220" i="21"/>
  <c r="H223" i="21"/>
  <c r="D85" i="14"/>
  <c r="F195" i="14"/>
  <c r="AF195" i="14" s="1"/>
  <c r="J172" i="21"/>
  <c r="H225" i="21"/>
  <c r="B160" i="21"/>
  <c r="B80" i="21"/>
  <c r="AM168" i="14"/>
  <c r="C74" i="21"/>
  <c r="AK199" i="14"/>
  <c r="AK181" i="14"/>
  <c r="J164" i="14"/>
  <c r="AI164" i="14" s="1"/>
  <c r="F206" i="14"/>
  <c r="AF206" i="14" s="1"/>
  <c r="AA229" i="14"/>
  <c r="W229" i="14"/>
  <c r="H233" i="14"/>
  <c r="X233" i="14"/>
  <c r="X227" i="14"/>
  <c r="H227" i="14"/>
  <c r="H87" i="21"/>
  <c r="J165" i="21"/>
  <c r="F162" i="21"/>
  <c r="G88" i="21"/>
  <c r="J162" i="21"/>
  <c r="G89" i="14"/>
  <c r="H169" i="14"/>
  <c r="AG169" i="14" s="1"/>
  <c r="G75" i="21"/>
  <c r="H225" i="14"/>
  <c r="X225" i="14"/>
  <c r="AP179" i="14"/>
  <c r="D82" i="21"/>
  <c r="D203" i="21"/>
  <c r="W237" i="14"/>
  <c r="AA237" i="14"/>
  <c r="AN178" i="14"/>
  <c r="F78" i="14"/>
  <c r="J180" i="21"/>
  <c r="AK178" i="14"/>
  <c r="AM171" i="14"/>
  <c r="B192" i="21"/>
  <c r="H74" i="21"/>
  <c r="H177" i="21"/>
  <c r="D196" i="14"/>
  <c r="AE196" i="14" s="1"/>
  <c r="G82" i="14"/>
  <c r="B172" i="21"/>
  <c r="C74" i="14"/>
  <c r="D193" i="14"/>
  <c r="AE193" i="14" s="1"/>
  <c r="AB234" i="14"/>
  <c r="H90" i="14"/>
  <c r="X226" i="14"/>
  <c r="H226" i="14"/>
  <c r="E83" i="14"/>
  <c r="F196" i="14"/>
  <c r="AF196" i="14" s="1"/>
  <c r="F181" i="14"/>
  <c r="AF181" i="14" s="1"/>
  <c r="H175" i="14"/>
  <c r="AG175" i="14" s="1"/>
  <c r="F90" i="14"/>
  <c r="B84" i="14"/>
  <c r="AJ199" i="14"/>
  <c r="H80" i="14"/>
  <c r="AJ194" i="14"/>
  <c r="F75" i="21"/>
  <c r="J175" i="14"/>
  <c r="AI175" i="14" s="1"/>
  <c r="AB238" i="14"/>
  <c r="E73" i="21"/>
  <c r="G74" i="14"/>
  <c r="E70" i="21"/>
  <c r="F74" i="14"/>
  <c r="D175" i="21"/>
  <c r="AP164" i="14"/>
  <c r="H228" i="21"/>
  <c r="E74" i="14"/>
  <c r="F211" i="14"/>
  <c r="AF211" i="14" s="1"/>
  <c r="D73" i="14"/>
  <c r="F169" i="21"/>
  <c r="D199" i="21"/>
  <c r="AK210" i="14"/>
  <c r="AM174" i="14"/>
  <c r="H230" i="21"/>
  <c r="D72" i="21"/>
  <c r="B198" i="21"/>
  <c r="H224" i="21"/>
  <c r="AK168" i="14"/>
  <c r="C75" i="21"/>
  <c r="AM164" i="14"/>
  <c r="AK170" i="14"/>
  <c r="H174" i="14"/>
  <c r="AG174" i="14" s="1"/>
  <c r="H235" i="21"/>
  <c r="F160" i="21"/>
  <c r="AK166" i="14"/>
  <c r="AK165" i="14"/>
  <c r="D75" i="14"/>
  <c r="D167" i="21"/>
  <c r="G77" i="21"/>
  <c r="H236" i="14"/>
  <c r="X236" i="14"/>
  <c r="B163" i="14"/>
  <c r="AD163" i="14" s="1"/>
  <c r="B70" i="21"/>
  <c r="B161" i="14"/>
  <c r="D173" i="21"/>
  <c r="H163" i="21"/>
  <c r="AB231" i="14"/>
  <c r="F72" i="21"/>
  <c r="E74" i="21"/>
  <c r="B88" i="14"/>
  <c r="AB236" i="14"/>
  <c r="C85" i="14"/>
  <c r="F167" i="21"/>
  <c r="H181" i="14"/>
  <c r="AG181" i="14" s="1"/>
  <c r="J179" i="14"/>
  <c r="AI179" i="14" s="1"/>
  <c r="D209" i="14"/>
  <c r="AE209" i="14" s="1"/>
  <c r="C70" i="14"/>
  <c r="E78" i="14"/>
  <c r="AP165" i="14"/>
  <c r="D179" i="14"/>
  <c r="H78" i="14"/>
  <c r="D73" i="21"/>
  <c r="B88" i="21"/>
  <c r="G83" i="14"/>
  <c r="D203" i="14"/>
  <c r="AE203" i="14" s="1"/>
  <c r="AJ210" i="14"/>
  <c r="AA230" i="14"/>
  <c r="W230" i="14"/>
  <c r="B173" i="14"/>
  <c r="AD173" i="14" s="1"/>
  <c r="V230" i="14"/>
  <c r="Z230" i="14"/>
  <c r="F80" i="14"/>
  <c r="C85" i="21"/>
  <c r="B74" i="21"/>
  <c r="D165" i="14"/>
  <c r="AE165" i="14" s="1"/>
  <c r="D88" i="14"/>
  <c r="F165" i="14"/>
  <c r="AF165" i="14" s="1"/>
  <c r="F179" i="14"/>
  <c r="D168" i="14"/>
  <c r="AE168" i="14" s="1"/>
  <c r="B205" i="21"/>
  <c r="F84" i="21"/>
  <c r="D206" i="14"/>
  <c r="AE206" i="14" s="1"/>
  <c r="F179" i="21"/>
  <c r="B180" i="14"/>
  <c r="B162" i="21"/>
  <c r="B178" i="21"/>
  <c r="B168" i="21"/>
  <c r="B180" i="21"/>
  <c r="D78" i="21"/>
  <c r="F87" i="14"/>
  <c r="H168" i="21"/>
  <c r="D207" i="21"/>
  <c r="AA236" i="14"/>
  <c r="W236" i="14"/>
  <c r="U236" i="14"/>
  <c r="AK198" i="14"/>
  <c r="H226" i="21"/>
  <c r="D77" i="21"/>
  <c r="AB224" i="14"/>
  <c r="E89" i="21"/>
  <c r="C72" i="21"/>
  <c r="H160" i="21"/>
  <c r="H161" i="14"/>
  <c r="W238" i="14"/>
  <c r="AA238" i="14"/>
  <c r="H170" i="14"/>
  <c r="AG170" i="14" s="1"/>
  <c r="J175" i="21"/>
  <c r="E84" i="14"/>
  <c r="G74" i="21"/>
  <c r="B168" i="14"/>
  <c r="AD168" i="14" s="1"/>
  <c r="AL165" i="14"/>
  <c r="AA222" i="14"/>
  <c r="W222" i="14"/>
  <c r="H231" i="14"/>
  <c r="X231" i="14"/>
  <c r="B167" i="21"/>
  <c r="J173" i="21"/>
  <c r="G80" i="14"/>
  <c r="J169" i="14"/>
  <c r="AI169" i="14" s="1"/>
  <c r="H77" i="21"/>
  <c r="V229" i="14"/>
  <c r="Z229" i="14"/>
  <c r="H180" i="14"/>
  <c r="B208" i="21"/>
  <c r="D177" i="21"/>
  <c r="U227" i="14"/>
  <c r="C87" i="14"/>
  <c r="E87" i="21"/>
  <c r="B181" i="14"/>
  <c r="AD181" i="14" s="1"/>
  <c r="AL166" i="14"/>
  <c r="E90" i="21"/>
  <c r="E80" i="14"/>
  <c r="D90" i="14"/>
  <c r="H178" i="21"/>
  <c r="H85" i="14"/>
  <c r="H80" i="21"/>
  <c r="E88" i="21"/>
  <c r="F73" i="21"/>
  <c r="Z237" i="14"/>
  <c r="V237" i="14"/>
  <c r="J163" i="14"/>
  <c r="AI163" i="14" s="1"/>
  <c r="G82" i="21"/>
  <c r="H162" i="21"/>
  <c r="AK204" i="14"/>
  <c r="C72" i="14"/>
  <c r="B173" i="21"/>
  <c r="E79" i="21"/>
  <c r="AP174" i="14"/>
  <c r="G84" i="14"/>
  <c r="AP181" i="14"/>
  <c r="AK206" i="14"/>
  <c r="F165" i="21"/>
  <c r="J168" i="21"/>
  <c r="AA225" i="14"/>
  <c r="W225" i="14"/>
  <c r="B87" i="14"/>
  <c r="F194" i="14"/>
  <c r="AF194" i="14" s="1"/>
  <c r="C77" i="14"/>
  <c r="D80" i="21"/>
  <c r="G79" i="21"/>
  <c r="F82" i="14"/>
  <c r="U231" i="14"/>
  <c r="F79" i="14"/>
  <c r="D84" i="14"/>
  <c r="AJ211" i="14"/>
  <c r="H165" i="14"/>
  <c r="AG165" i="14" s="1"/>
  <c r="H173" i="14"/>
  <c r="AG173" i="14" s="1"/>
  <c r="W239" i="14"/>
  <c r="AA239" i="14"/>
  <c r="D205" i="21"/>
  <c r="B203" i="21"/>
  <c r="H79" i="21"/>
  <c r="H87" i="14"/>
  <c r="H77" i="14"/>
  <c r="AP169" i="14"/>
  <c r="AP176" i="14"/>
  <c r="B190" i="21"/>
  <c r="B164" i="21"/>
  <c r="J165" i="14"/>
  <c r="AI165" i="14" s="1"/>
  <c r="D172" i="21"/>
  <c r="C78" i="21"/>
  <c r="D199" i="14"/>
  <c r="AE199" i="14" s="1"/>
  <c r="U235" i="14"/>
  <c r="H175" i="21"/>
  <c r="AP173" i="14"/>
  <c r="G88" i="14"/>
  <c r="AP168" i="14"/>
  <c r="E77" i="14"/>
  <c r="AL169" i="14"/>
  <c r="AL174" i="14"/>
  <c r="AM178" i="14"/>
  <c r="AM170" i="14"/>
  <c r="AN173" i="14"/>
  <c r="B84" i="21"/>
  <c r="F77" i="21"/>
  <c r="AK209" i="14"/>
  <c r="U228" i="14"/>
  <c r="H235" i="14"/>
  <c r="X235" i="14"/>
  <c r="J173" i="14"/>
  <c r="AI173" i="14" s="1"/>
  <c r="AK203" i="14"/>
  <c r="D75" i="21"/>
  <c r="D74" i="21"/>
  <c r="AN175" i="14"/>
  <c r="F177" i="21"/>
  <c r="H176" i="14"/>
  <c r="AG176" i="14" s="1"/>
  <c r="J167" i="21"/>
  <c r="H84" i="14"/>
  <c r="G70" i="14"/>
  <c r="G90" i="21"/>
  <c r="AL164" i="14"/>
  <c r="J174" i="21"/>
  <c r="AN174" i="14"/>
  <c r="AK195" i="14"/>
  <c r="B206" i="14"/>
  <c r="AD206" i="14" s="1"/>
  <c r="F90" i="21"/>
  <c r="D211" i="14"/>
  <c r="AE211" i="14" s="1"/>
  <c r="B193" i="14"/>
  <c r="AD193" i="14" s="1"/>
  <c r="B191" i="14"/>
  <c r="B175" i="21"/>
  <c r="D210" i="14"/>
  <c r="AE210" i="14" s="1"/>
  <c r="B78" i="21"/>
  <c r="AL181" i="14"/>
  <c r="AB230" i="14"/>
  <c r="B85" i="21"/>
  <c r="H168" i="14"/>
  <c r="AG168" i="14" s="1"/>
  <c r="U233" i="14"/>
  <c r="AM163" i="14"/>
  <c r="AM169" i="14"/>
  <c r="D204" i="14"/>
  <c r="AE204" i="14" s="1"/>
  <c r="AK201" i="14"/>
  <c r="V222" i="14"/>
  <c r="Z222" i="14"/>
  <c r="G83" i="21"/>
  <c r="H72" i="21"/>
  <c r="J161" i="14"/>
  <c r="H89" i="14"/>
  <c r="C77" i="21"/>
  <c r="AN168" i="14"/>
  <c r="F174" i="14"/>
  <c r="AF174" i="14" s="1"/>
  <c r="V233" i="14"/>
  <c r="Z233" i="14"/>
  <c r="AN181" i="14"/>
  <c r="B77" i="21"/>
  <c r="AA227" i="14"/>
  <c r="W227" i="14"/>
  <c r="F74" i="21"/>
  <c r="B82" i="14"/>
  <c r="AJ195" i="14"/>
  <c r="C80" i="14"/>
  <c r="C73" i="14"/>
  <c r="AL178" i="14"/>
  <c r="AK176" i="14"/>
  <c r="C75" i="14"/>
  <c r="F72" i="14"/>
  <c r="D170" i="21"/>
  <c r="AJ208" i="14"/>
  <c r="AB228" i="14"/>
  <c r="H178" i="14"/>
  <c r="AG178" i="14" s="1"/>
  <c r="B75" i="14"/>
  <c r="D70" i="14"/>
  <c r="AM173" i="14"/>
  <c r="H231" i="21"/>
  <c r="J170" i="14"/>
  <c r="AI170" i="14" s="1"/>
  <c r="E73" i="14"/>
  <c r="AN163" i="14"/>
  <c r="D197" i="21"/>
  <c r="X222" i="14"/>
  <c r="H222" i="14"/>
  <c r="AL176" i="14"/>
  <c r="U239" i="14"/>
  <c r="H222" i="21"/>
  <c r="B72" i="14"/>
  <c r="B75" i="21"/>
  <c r="F198" i="14"/>
  <c r="AF198" i="14" s="1"/>
  <c r="H234" i="14"/>
  <c r="X234" i="14"/>
  <c r="H167" i="21"/>
  <c r="G84" i="21"/>
  <c r="J181" i="14"/>
  <c r="AI181" i="14" s="1"/>
  <c r="D174" i="14"/>
  <c r="AE174" i="14" s="1"/>
  <c r="E89" i="14"/>
  <c r="B90" i="21"/>
  <c r="B165" i="21"/>
  <c r="G70" i="21"/>
  <c r="AN169" i="14"/>
  <c r="AL170" i="14"/>
  <c r="AJ204" i="14"/>
  <c r="H90" i="21"/>
  <c r="H233" i="21"/>
  <c r="H73" i="21"/>
  <c r="J179" i="21"/>
  <c r="H83" i="14"/>
  <c r="Z231" i="14"/>
  <c r="V231" i="14"/>
  <c r="C87" i="21"/>
  <c r="AP166" i="14"/>
  <c r="C82" i="21"/>
  <c r="G80" i="21"/>
  <c r="D202" i="21"/>
  <c r="D87" i="21"/>
  <c r="AB232" i="14"/>
  <c r="E83" i="21"/>
  <c r="J174" i="14"/>
  <c r="AI174" i="14" s="1"/>
  <c r="D169" i="21"/>
  <c r="D193" i="21"/>
  <c r="B204" i="21"/>
  <c r="C80" i="21"/>
  <c r="H170" i="21"/>
  <c r="B89" i="14"/>
  <c r="AL175" i="14"/>
  <c r="D174" i="21"/>
  <c r="AB225" i="14"/>
  <c r="AL168" i="14"/>
  <c r="AM176" i="14"/>
  <c r="F205" i="14"/>
  <c r="AF205" i="14" s="1"/>
  <c r="B198" i="14"/>
  <c r="AD198" i="14" s="1"/>
  <c r="D173" i="14"/>
  <c r="AE173" i="14" s="1"/>
  <c r="J180" i="14"/>
  <c r="AI180" i="14" s="1"/>
  <c r="D160" i="21"/>
  <c r="H166" i="14"/>
  <c r="AG166" i="14" s="1"/>
  <c r="B171" i="14"/>
  <c r="AD171" i="14" s="1"/>
  <c r="D180" i="21"/>
  <c r="V226" i="14"/>
  <c r="Z226" i="14"/>
  <c r="J166" i="14"/>
  <c r="AI166" i="14" s="1"/>
  <c r="F175" i="14"/>
  <c r="AF175" i="14" s="1"/>
  <c r="AJ201" i="14"/>
  <c r="B79" i="14"/>
  <c r="AK194" i="14"/>
  <c r="F180" i="14"/>
  <c r="AF180" i="14" s="1"/>
  <c r="AJ193" i="14"/>
  <c r="D198" i="14"/>
  <c r="AE198" i="14" s="1"/>
  <c r="F175" i="21"/>
  <c r="B178" i="14"/>
  <c r="AD178" i="14" s="1"/>
  <c r="D181" i="14"/>
  <c r="AE181" i="14" s="1"/>
  <c r="H237" i="21"/>
  <c r="F208" i="14"/>
  <c r="AF208" i="14" s="1"/>
  <c r="B175" i="14"/>
  <c r="AD175" i="14" s="1"/>
  <c r="B176" i="14"/>
  <c r="AD176" i="14" s="1"/>
  <c r="B179" i="14"/>
  <c r="C84" i="14"/>
  <c r="D163" i="14"/>
  <c r="AE163" i="14" s="1"/>
  <c r="B207" i="21"/>
  <c r="AA228" i="14"/>
  <c r="W228" i="14"/>
  <c r="D176" i="14"/>
  <c r="AE176" i="14" s="1"/>
  <c r="AK163" i="14"/>
  <c r="D82" i="14"/>
  <c r="W226" i="14"/>
  <c r="AA226" i="14"/>
  <c r="D175" i="14"/>
  <c r="AE175" i="14" s="1"/>
  <c r="F79" i="21"/>
  <c r="H88" i="14"/>
  <c r="D77" i="14"/>
  <c r="F83" i="14"/>
  <c r="AK171" i="14"/>
  <c r="U225" i="14"/>
  <c r="B177" i="21"/>
  <c r="E85" i="14"/>
  <c r="AK200" i="14"/>
  <c r="B169" i="14"/>
  <c r="AD169" i="14" s="1"/>
  <c r="H165" i="21"/>
  <c r="C78" i="14"/>
  <c r="Y236" i="14" l="1"/>
  <c r="AC236" i="14"/>
  <c r="AC225" i="14"/>
  <c r="Y225" i="14"/>
  <c r="AF161" i="14"/>
  <c r="AK161" i="14"/>
  <c r="AJ191" i="14"/>
  <c r="Y234" i="14"/>
  <c r="AC234" i="14"/>
  <c r="AM161" i="14"/>
  <c r="Y227" i="14"/>
  <c r="AC227" i="14"/>
  <c r="AC224" i="14"/>
  <c r="Y224" i="14"/>
  <c r="Y230" i="14"/>
  <c r="AC230" i="14"/>
  <c r="AC237" i="14"/>
  <c r="Y237" i="14"/>
  <c r="AC235" i="14"/>
  <c r="Y235" i="14"/>
  <c r="AC232" i="14"/>
  <c r="Y232" i="14"/>
  <c r="AI161" i="14"/>
  <c r="AC239" i="14"/>
  <c r="Y239" i="14"/>
  <c r="Y222" i="14"/>
  <c r="AC222" i="14"/>
  <c r="Y226" i="14"/>
  <c r="AC226" i="14"/>
  <c r="AN161" i="14"/>
  <c r="AD191" i="14"/>
  <c r="Y231" i="14"/>
  <c r="AC231" i="14"/>
  <c r="AD161" i="14"/>
  <c r="AG161" i="14"/>
  <c r="Y228" i="14"/>
  <c r="AC228" i="14"/>
  <c r="AF191" i="14"/>
  <c r="AK191" i="14"/>
  <c r="AE161" i="14"/>
  <c r="AC238" i="14"/>
  <c r="Y238" i="14"/>
  <c r="Y229" i="14"/>
  <c r="AC229" i="14"/>
  <c r="AE191" i="14"/>
  <c r="AC233" i="14"/>
  <c r="Y233" i="14"/>
  <c r="AL161" i="14"/>
  <c r="AP161" i="14"/>
</calcChain>
</file>

<file path=xl/comments1.xml><?xml version="1.0" encoding="utf-8"?>
<comments xmlns="http://schemas.openxmlformats.org/spreadsheetml/2006/main">
  <authors>
    <author>jmarks</author>
  </authors>
  <commentList>
    <comment ref="C10" authorId="0" shapeId="0">
      <text>
        <r>
          <rPr>
            <b/>
            <sz val="10"/>
            <color indexed="81"/>
            <rFont val="Tahoma"/>
            <family val="2"/>
          </rPr>
          <t>jmarks:</t>
        </r>
        <r>
          <rPr>
            <sz val="10"/>
            <color indexed="81"/>
            <rFont val="Tahoma"/>
            <family val="2"/>
          </rPr>
          <t xml:space="preserve">
Formula for regional figure to use when all states report.</t>
        </r>
      </text>
    </comment>
    <comment ref="E10" authorId="0" shapeId="0">
      <text>
        <r>
          <rPr>
            <b/>
            <sz val="10"/>
            <color indexed="81"/>
            <rFont val="Tahoma"/>
            <family val="2"/>
          </rPr>
          <t>jmarks:</t>
        </r>
        <r>
          <rPr>
            <sz val="10"/>
            <color indexed="81"/>
            <rFont val="Tahoma"/>
            <family val="2"/>
          </rPr>
          <t xml:space="preserve">
Formula for regional figure to use when all states report.</t>
        </r>
      </text>
    </comment>
    <comment ref="G10" authorId="0" shapeId="0">
      <text>
        <r>
          <rPr>
            <b/>
            <sz val="10"/>
            <color indexed="81"/>
            <rFont val="Tahoma"/>
            <family val="2"/>
          </rPr>
          <t>jmarks:</t>
        </r>
        <r>
          <rPr>
            <sz val="10"/>
            <color indexed="81"/>
            <rFont val="Tahoma"/>
            <family val="2"/>
          </rPr>
          <t xml:space="preserve">
Formula for regional figure to use when all states report.</t>
        </r>
      </text>
    </comment>
    <comment ref="I10" authorId="0" shapeId="0">
      <text>
        <r>
          <rPr>
            <b/>
            <sz val="10"/>
            <color indexed="81"/>
            <rFont val="Tahoma"/>
            <family val="2"/>
          </rPr>
          <t>jmarks:</t>
        </r>
        <r>
          <rPr>
            <sz val="10"/>
            <color indexed="81"/>
            <rFont val="Tahoma"/>
            <family val="2"/>
          </rPr>
          <t xml:space="preserve">
Formula for regional figure to use when all states report.</t>
        </r>
      </text>
    </comment>
    <comment ref="K10" authorId="0" shapeId="0">
      <text>
        <r>
          <rPr>
            <b/>
            <sz val="10"/>
            <color indexed="81"/>
            <rFont val="Tahoma"/>
            <family val="2"/>
          </rPr>
          <t>jmarks:</t>
        </r>
        <r>
          <rPr>
            <sz val="10"/>
            <color indexed="81"/>
            <rFont val="Tahoma"/>
            <family val="2"/>
          </rPr>
          <t xml:space="preserve">
Formula for regional figure to use when all states report.</t>
        </r>
      </text>
    </comment>
    <comment ref="M10" authorId="0" shapeId="0">
      <text>
        <r>
          <rPr>
            <b/>
            <sz val="10"/>
            <color indexed="81"/>
            <rFont val="Tahoma"/>
            <family val="2"/>
          </rPr>
          <t>jmarks:</t>
        </r>
        <r>
          <rPr>
            <sz val="10"/>
            <color indexed="81"/>
            <rFont val="Tahoma"/>
            <family val="2"/>
          </rPr>
          <t xml:space="preserve">
Formula for regional figure to use when all states report.</t>
        </r>
      </text>
    </comment>
    <comment ref="O10" authorId="0" shapeId="0">
      <text>
        <r>
          <rPr>
            <b/>
            <sz val="10"/>
            <color indexed="81"/>
            <rFont val="Tahoma"/>
            <family val="2"/>
          </rPr>
          <t>jmarks:</t>
        </r>
        <r>
          <rPr>
            <sz val="10"/>
            <color indexed="81"/>
            <rFont val="Tahoma"/>
            <family val="2"/>
          </rPr>
          <t xml:space="preserve">
Formula for regional figure to use when all states report.</t>
        </r>
      </text>
    </comment>
    <comment ref="A162" authorId="0" shapeId="0">
      <text>
        <r>
          <rPr>
            <b/>
            <sz val="10"/>
            <color indexed="81"/>
            <rFont val="Tahoma"/>
            <family val="2"/>
          </rPr>
          <t>jmarks:</t>
        </r>
        <r>
          <rPr>
            <sz val="10"/>
            <color indexed="81"/>
            <rFont val="Tahoma"/>
            <family val="2"/>
          </rPr>
          <t xml:space="preserve">
Formulas for regional figures to use when all states report.</t>
        </r>
      </text>
    </comment>
    <comment ref="AE179" authorId="0" shapeId="0">
      <text>
        <r>
          <rPr>
            <b/>
            <sz val="8"/>
            <color indexed="81"/>
            <rFont val="Tahoma"/>
            <family val="2"/>
          </rPr>
          <t>jmarks:</t>
        </r>
        <r>
          <rPr>
            <sz val="8"/>
            <color indexed="81"/>
            <rFont val="Tahoma"/>
            <family val="2"/>
          </rPr>
          <t xml:space="preserve">
differs to match grouping of funding data</t>
        </r>
      </text>
    </comment>
    <comment ref="AF179" authorId="0" shapeId="0">
      <text>
        <r>
          <rPr>
            <b/>
            <sz val="8"/>
            <color indexed="81"/>
            <rFont val="Tahoma"/>
            <family val="2"/>
          </rPr>
          <t>jmarks:</t>
        </r>
        <r>
          <rPr>
            <sz val="8"/>
            <color indexed="81"/>
            <rFont val="Tahoma"/>
            <family val="2"/>
          </rPr>
          <t xml:space="preserve">
differs to match grouping of funding data</t>
        </r>
      </text>
    </comment>
    <comment ref="AG179" authorId="0" shapeId="0">
      <text>
        <r>
          <rPr>
            <b/>
            <sz val="8"/>
            <color indexed="81"/>
            <rFont val="Tahoma"/>
            <family val="2"/>
          </rPr>
          <t>jmarks:</t>
        </r>
        <r>
          <rPr>
            <sz val="8"/>
            <color indexed="81"/>
            <rFont val="Tahoma"/>
            <family val="2"/>
          </rPr>
          <t xml:space="preserve">
differs to match grouping of funding data</t>
        </r>
      </text>
    </comment>
    <comment ref="AL179" authorId="0" shapeId="0">
      <text>
        <r>
          <rPr>
            <b/>
            <sz val="8"/>
            <color indexed="81"/>
            <rFont val="Tahoma"/>
            <family val="2"/>
          </rPr>
          <t>jmarks:</t>
        </r>
        <r>
          <rPr>
            <sz val="8"/>
            <color indexed="81"/>
            <rFont val="Tahoma"/>
            <family val="2"/>
          </rPr>
          <t xml:space="preserve">
differs to match grouping of funding data</t>
        </r>
      </text>
    </comment>
    <comment ref="AM179" authorId="0" shapeId="0">
      <text>
        <r>
          <rPr>
            <b/>
            <sz val="8"/>
            <color indexed="81"/>
            <rFont val="Tahoma"/>
            <family val="2"/>
          </rPr>
          <t>jmarks:</t>
        </r>
        <r>
          <rPr>
            <sz val="8"/>
            <color indexed="81"/>
            <rFont val="Tahoma"/>
            <family val="2"/>
          </rPr>
          <t xml:space="preserve">
differs to match grouping of funding data</t>
        </r>
      </text>
    </comment>
    <comment ref="AN179" authorId="0" shapeId="0">
      <text>
        <r>
          <rPr>
            <b/>
            <sz val="8"/>
            <color indexed="81"/>
            <rFont val="Tahoma"/>
            <family val="2"/>
          </rPr>
          <t>jmarks:</t>
        </r>
        <r>
          <rPr>
            <sz val="8"/>
            <color indexed="81"/>
            <rFont val="Tahoma"/>
            <family val="2"/>
          </rPr>
          <t xml:space="preserve">
differs to match grouping of funding data</t>
        </r>
      </text>
    </comment>
    <comment ref="AG180" authorId="0" shapeId="0">
      <text>
        <r>
          <rPr>
            <b/>
            <sz val="8"/>
            <color indexed="81"/>
            <rFont val="Tahoma"/>
            <family val="2"/>
          </rPr>
          <t>lcowan:</t>
        </r>
        <r>
          <rPr>
            <sz val="8"/>
            <color indexed="81"/>
            <rFont val="Tahoma"/>
            <family val="2"/>
          </rPr>
          <t xml:space="preserve">
Since R.Bland is the only campus for which funding is identified, the R.B. FTE (10b) are put in this column.</t>
        </r>
      </text>
    </comment>
    <comment ref="AH180" authorId="0" shapeId="0">
      <text>
        <r>
          <rPr>
            <b/>
            <sz val="8"/>
            <color indexed="81"/>
            <rFont val="Tahoma"/>
            <family val="2"/>
          </rPr>
          <t>jmarks:</t>
        </r>
        <r>
          <rPr>
            <sz val="8"/>
            <color indexed="81"/>
            <rFont val="Tahoma"/>
            <family val="2"/>
          </rPr>
          <t xml:space="preserve">
differs to match grouping of funding dat</t>
        </r>
      </text>
    </comment>
    <comment ref="AN180" authorId="0" shapeId="0">
      <text>
        <r>
          <rPr>
            <b/>
            <sz val="8"/>
            <color indexed="81"/>
            <rFont val="Tahoma"/>
            <family val="2"/>
          </rPr>
          <t>lcowan:</t>
        </r>
        <r>
          <rPr>
            <sz val="8"/>
            <color indexed="81"/>
            <rFont val="Tahoma"/>
            <family val="2"/>
          </rPr>
          <t xml:space="preserve">
Since R.Bland is the only campus for which funding is identified, the R.B. FTE (10b) are put in this column.</t>
        </r>
      </text>
    </comment>
    <comment ref="A192" authorId="0" shapeId="0">
      <text>
        <r>
          <rPr>
            <b/>
            <sz val="10"/>
            <color indexed="81"/>
            <rFont val="Tahoma"/>
            <family val="2"/>
          </rPr>
          <t>jmarks:</t>
        </r>
        <r>
          <rPr>
            <sz val="10"/>
            <color indexed="81"/>
            <rFont val="Tahoma"/>
            <family val="2"/>
          </rPr>
          <t xml:space="preserve">
Formulas for regional figures to use when all states report.</t>
        </r>
      </text>
    </comment>
  </commentList>
</comments>
</file>

<file path=xl/comments2.xml><?xml version="1.0" encoding="utf-8"?>
<comments xmlns="http://schemas.openxmlformats.org/spreadsheetml/2006/main">
  <authors>
    <author>jmarks</author>
  </authors>
  <commentList>
    <comment ref="A1" authorId="0" shapeId="0">
      <text>
        <r>
          <rPr>
            <b/>
            <sz val="10"/>
            <color indexed="81"/>
            <rFont val="Tahoma"/>
            <family val="2"/>
          </rPr>
          <t>jmarks:</t>
        </r>
        <r>
          <rPr>
            <sz val="10"/>
            <color indexed="81"/>
            <rFont val="Tahoma"/>
            <family val="2"/>
          </rPr>
          <t xml:space="preserve">
This set of prior year tables are calculated based on institutional classification as of the current year.</t>
        </r>
      </text>
    </comment>
    <comment ref="C10" authorId="0" shapeId="0">
      <text>
        <r>
          <rPr>
            <b/>
            <sz val="10"/>
            <color indexed="81"/>
            <rFont val="Tahoma"/>
            <family val="2"/>
          </rPr>
          <t>jmarks:</t>
        </r>
        <r>
          <rPr>
            <sz val="10"/>
            <color indexed="81"/>
            <rFont val="Tahoma"/>
            <family val="2"/>
          </rPr>
          <t xml:space="preserve">
Formula for regional figure to use when all states report.</t>
        </r>
      </text>
    </comment>
    <comment ref="E10" authorId="0" shapeId="0">
      <text>
        <r>
          <rPr>
            <b/>
            <sz val="10"/>
            <color indexed="81"/>
            <rFont val="Tahoma"/>
            <family val="2"/>
          </rPr>
          <t>jmarks:</t>
        </r>
        <r>
          <rPr>
            <sz val="10"/>
            <color indexed="81"/>
            <rFont val="Tahoma"/>
            <family val="2"/>
          </rPr>
          <t xml:space="preserve">
Formula for regional figure to use when all states report.</t>
        </r>
      </text>
    </comment>
    <comment ref="G10" authorId="0" shapeId="0">
      <text>
        <r>
          <rPr>
            <b/>
            <sz val="10"/>
            <color indexed="81"/>
            <rFont val="Tahoma"/>
            <family val="2"/>
          </rPr>
          <t>jmarks:</t>
        </r>
        <r>
          <rPr>
            <sz val="10"/>
            <color indexed="81"/>
            <rFont val="Tahoma"/>
            <family val="2"/>
          </rPr>
          <t xml:space="preserve">
Formula for regional figure to use when all states report.</t>
        </r>
      </text>
    </comment>
    <comment ref="I10" authorId="0" shapeId="0">
      <text>
        <r>
          <rPr>
            <b/>
            <sz val="10"/>
            <color indexed="81"/>
            <rFont val="Tahoma"/>
            <family val="2"/>
          </rPr>
          <t>jmarks:</t>
        </r>
        <r>
          <rPr>
            <sz val="10"/>
            <color indexed="81"/>
            <rFont val="Tahoma"/>
            <family val="2"/>
          </rPr>
          <t xml:space="preserve">
Formula for regional figure to use when all states report.</t>
        </r>
      </text>
    </comment>
    <comment ref="K10" authorId="0" shapeId="0">
      <text>
        <r>
          <rPr>
            <b/>
            <sz val="10"/>
            <color indexed="81"/>
            <rFont val="Tahoma"/>
            <family val="2"/>
          </rPr>
          <t>jmarks:</t>
        </r>
        <r>
          <rPr>
            <sz val="10"/>
            <color indexed="81"/>
            <rFont val="Tahoma"/>
            <family val="2"/>
          </rPr>
          <t xml:space="preserve">
Formula for regional figure to use when all states report.</t>
        </r>
      </text>
    </comment>
    <comment ref="M10" authorId="0" shapeId="0">
      <text>
        <r>
          <rPr>
            <b/>
            <sz val="10"/>
            <color indexed="81"/>
            <rFont val="Tahoma"/>
            <family val="2"/>
          </rPr>
          <t>jmarks:</t>
        </r>
        <r>
          <rPr>
            <sz val="10"/>
            <color indexed="81"/>
            <rFont val="Tahoma"/>
            <family val="2"/>
          </rPr>
          <t xml:space="preserve">
Formula for regional figure to use when all states report.</t>
        </r>
      </text>
    </comment>
    <comment ref="O10" authorId="0" shapeId="0">
      <text>
        <r>
          <rPr>
            <b/>
            <sz val="10"/>
            <color indexed="81"/>
            <rFont val="Tahoma"/>
            <family val="2"/>
          </rPr>
          <t>jmarks:</t>
        </r>
        <r>
          <rPr>
            <sz val="10"/>
            <color indexed="81"/>
            <rFont val="Tahoma"/>
            <family val="2"/>
          </rPr>
          <t xml:space="preserve">
Formula for regional figure to use when all states report.</t>
        </r>
      </text>
    </comment>
    <comment ref="A161" authorId="0" shapeId="0">
      <text>
        <r>
          <rPr>
            <b/>
            <sz val="10"/>
            <color indexed="81"/>
            <rFont val="Tahoma"/>
            <family val="2"/>
          </rPr>
          <t>jmarks:</t>
        </r>
        <r>
          <rPr>
            <sz val="10"/>
            <color indexed="81"/>
            <rFont val="Tahoma"/>
            <family val="2"/>
          </rPr>
          <t xml:space="preserve">
Formulas for regional figures to use when all states report.</t>
        </r>
      </text>
    </comment>
    <comment ref="A191" authorId="0" shapeId="0">
      <text>
        <r>
          <rPr>
            <b/>
            <sz val="10"/>
            <color indexed="81"/>
            <rFont val="Tahoma"/>
            <family val="2"/>
          </rPr>
          <t>jmarks:</t>
        </r>
        <r>
          <rPr>
            <sz val="10"/>
            <color indexed="81"/>
            <rFont val="Tahoma"/>
            <family val="2"/>
          </rPr>
          <t xml:space="preserve">
Formulas for regional figures to use when all states report.</t>
        </r>
      </text>
    </comment>
  </commentList>
</comments>
</file>

<file path=xl/comments3.xml><?xml version="1.0" encoding="utf-8"?>
<comments xmlns="http://schemas.openxmlformats.org/spreadsheetml/2006/main">
  <authors>
    <author>mloverde</author>
    <author>jmarks</author>
    <author>Lisa Cowan</author>
    <author>Estridge, Robert</author>
    <author>Lee, Cynthia M.</author>
    <author>mevilsiz</author>
    <author>..</author>
    <author>Jeannie Reed</author>
  </authors>
  <commentList>
    <comment ref="Q4" authorId="0" shapeId="0">
      <text>
        <r>
          <rPr>
            <b/>
            <sz val="10"/>
            <color indexed="81"/>
            <rFont val="Tahoma"/>
            <family val="2"/>
          </rPr>
          <t>jmarks: Formula must "fit" term code: /30 for semesters; /45 for quarters</t>
        </r>
      </text>
    </comment>
    <comment ref="V4" authorId="1" shapeId="0">
      <text>
        <r>
          <rPr>
            <b/>
            <sz val="10"/>
            <color indexed="81"/>
            <rFont val="Tahoma"/>
            <family val="2"/>
          </rPr>
          <t>jmarks:</t>
        </r>
        <r>
          <rPr>
            <sz val="10"/>
            <color indexed="81"/>
            <rFont val="Tahoma"/>
            <family val="2"/>
          </rPr>
          <t xml:space="preserve">
To perform weighted averages, totals can only be included when h.s. student data present.</t>
        </r>
      </text>
    </comment>
    <comment ref="AG4" authorId="0" shapeId="0">
      <text>
        <r>
          <rPr>
            <b/>
            <sz val="10"/>
            <color indexed="81"/>
            <rFont val="Tahoma"/>
            <family val="2"/>
          </rPr>
          <t>jmarks: Formula must "fit" term code: /30 for semesters; /45 for quarters</t>
        </r>
      </text>
    </comment>
    <comment ref="AL4" authorId="1" shapeId="0">
      <text>
        <r>
          <rPr>
            <b/>
            <sz val="10"/>
            <color indexed="81"/>
            <rFont val="Tahoma"/>
            <family val="2"/>
          </rPr>
          <t>jmarks:</t>
        </r>
        <r>
          <rPr>
            <sz val="10"/>
            <color indexed="81"/>
            <rFont val="Tahoma"/>
            <family val="2"/>
          </rPr>
          <t xml:space="preserve">
To perform weighted averages, totals can only be included when h.s. student data present.</t>
        </r>
      </text>
    </comment>
    <comment ref="AW4" authorId="0" shapeId="0">
      <text>
        <r>
          <rPr>
            <b/>
            <sz val="10"/>
            <color indexed="81"/>
            <rFont val="Tahoma"/>
            <family val="2"/>
          </rPr>
          <t>jmarks: Formula must "fit" term code: /30 for semesters; /45 for quarters</t>
        </r>
      </text>
    </comment>
    <comment ref="V6" authorId="1" shapeId="0">
      <text>
        <r>
          <rPr>
            <b/>
            <sz val="10"/>
            <color indexed="81"/>
            <rFont val="Tahoma"/>
            <family val="2"/>
          </rPr>
          <t>jmarks:</t>
        </r>
        <r>
          <rPr>
            <sz val="10"/>
            <color indexed="81"/>
            <rFont val="Tahoma"/>
            <family val="2"/>
          </rPr>
          <t xml:space="preserve">
To perform weighted averages, totals can only be included when h.s. student data present.</t>
        </r>
      </text>
    </comment>
    <comment ref="AL6" authorId="1" shapeId="0">
      <text>
        <r>
          <rPr>
            <b/>
            <sz val="10"/>
            <color indexed="81"/>
            <rFont val="Tahoma"/>
            <family val="2"/>
          </rPr>
          <t>jmarks:</t>
        </r>
        <r>
          <rPr>
            <sz val="10"/>
            <color indexed="81"/>
            <rFont val="Tahoma"/>
            <family val="2"/>
          </rPr>
          <t xml:space="preserve">
To perform weighted averages, totals can only be included when h.s. student data present.</t>
        </r>
      </text>
    </comment>
    <comment ref="B59" authorId="2" shapeId="0">
      <text>
        <r>
          <rPr>
            <b/>
            <sz val="9"/>
            <color indexed="81"/>
            <rFont val="Tahoma"/>
            <charset val="1"/>
          </rPr>
          <t>Lisa Cowan:</t>
        </r>
        <r>
          <rPr>
            <sz val="9"/>
            <color indexed="81"/>
            <rFont val="Tahoma"/>
            <charset val="1"/>
          </rPr>
          <t xml:space="preserve">
Formerly National Park Community College</t>
        </r>
      </text>
    </comment>
    <comment ref="B61" authorId="2" shapeId="0">
      <text>
        <r>
          <rPr>
            <b/>
            <sz val="9"/>
            <color indexed="81"/>
            <rFont val="Tahoma"/>
            <charset val="1"/>
          </rPr>
          <t>Lisa Cowan:</t>
        </r>
        <r>
          <rPr>
            <sz val="9"/>
            <color indexed="81"/>
            <rFont val="Tahoma"/>
            <charset val="1"/>
          </rPr>
          <t xml:space="preserve">
Formerly Mid-South Community College.</t>
        </r>
      </text>
    </comment>
    <comment ref="B80" authorId="2" shapeId="0">
      <text>
        <r>
          <rPr>
            <b/>
            <sz val="9"/>
            <color indexed="81"/>
            <rFont val="Tahoma"/>
            <family val="2"/>
          </rPr>
          <t>Lisa Cowan:</t>
        </r>
        <r>
          <rPr>
            <sz val="9"/>
            <color indexed="81"/>
            <rFont val="Tahoma"/>
            <family val="2"/>
          </rPr>
          <t xml:space="preserve">
All of the Delaware Tech Campuses are now being reported a single college under the Terry Campus.</t>
        </r>
      </text>
    </comment>
    <comment ref="B112" authorId="3" shapeId="0">
      <text>
        <r>
          <rPr>
            <b/>
            <sz val="9"/>
            <color indexed="81"/>
            <rFont val="Tahoma"/>
            <family val="2"/>
          </rPr>
          <t>Pasco-Hernando Community College</t>
        </r>
        <r>
          <rPr>
            <sz val="9"/>
            <color indexed="81"/>
            <rFont val="Tahoma"/>
            <family val="2"/>
          </rPr>
          <t xml:space="preserve"> renamed </t>
        </r>
        <r>
          <rPr>
            <b/>
            <sz val="9"/>
            <color indexed="81"/>
            <rFont val="Tahoma"/>
            <family val="2"/>
          </rPr>
          <t>Pasco-Hernando State College</t>
        </r>
      </text>
    </comment>
    <comment ref="B124" authorId="2" shapeId="0">
      <text>
        <r>
          <rPr>
            <b/>
            <sz val="9"/>
            <color indexed="81"/>
            <rFont val="Tahoma"/>
            <family val="2"/>
          </rPr>
          <t>Lisa Cowan:</t>
        </r>
        <r>
          <rPr>
            <sz val="9"/>
            <color indexed="81"/>
            <rFont val="Tahoma"/>
            <family val="2"/>
          </rPr>
          <t xml:space="preserve">
Included Southern Polytechnic State University as of Fall 2015.</t>
        </r>
      </text>
    </comment>
    <comment ref="B154" authorId="4" shapeId="0">
      <text>
        <r>
          <rPr>
            <b/>
            <sz val="8"/>
            <color indexed="81"/>
            <rFont val="Tahoma"/>
            <family val="2"/>
          </rPr>
          <t>Lee, Cynthia M.:</t>
        </r>
        <r>
          <rPr>
            <sz val="8"/>
            <color indexed="81"/>
            <rFont val="Tahoma"/>
            <family val="2"/>
          </rPr>
          <t xml:space="preserve">
Central Georgia and Middle Georgia merged starting Fall Semester and became Central Georgia with a new IPEDS# 483045</t>
        </r>
      </text>
    </comment>
    <comment ref="C156" authorId="4" shapeId="0">
      <text>
        <r>
          <rPr>
            <b/>
            <sz val="8"/>
            <color indexed="81"/>
            <rFont val="Tahoma"/>
            <family val="2"/>
          </rPr>
          <t>Lee, Cynthia M.:</t>
        </r>
        <r>
          <rPr>
            <sz val="8"/>
            <color indexed="81"/>
            <rFont val="Tahoma"/>
            <family val="2"/>
          </rPr>
          <t xml:space="preserve">
Altamaha and Okefenokee merged in Fall 2014 to Coastal Pines Technical College
IPEDS # 485458</t>
        </r>
      </text>
    </comment>
    <comment ref="B169" authorId="4" shapeId="0">
      <text>
        <r>
          <rPr>
            <b/>
            <sz val="8"/>
            <color indexed="81"/>
            <rFont val="Tahoma"/>
            <family val="2"/>
          </rPr>
          <t>Lee, Cynthia M.:</t>
        </r>
        <r>
          <rPr>
            <sz val="8"/>
            <color indexed="81"/>
            <rFont val="Tahoma"/>
            <family val="2"/>
          </rPr>
          <t xml:space="preserve">
Moultrie and Southwest merged to form Southern Regional in Fall 2015</t>
        </r>
      </text>
    </comment>
    <comment ref="B195" authorId="5" shapeId="0">
      <text>
        <r>
          <rPr>
            <b/>
            <sz val="8"/>
            <color indexed="81"/>
            <rFont val="Tahoma"/>
            <family val="2"/>
          </rPr>
          <t>mevilsiz:</t>
        </r>
        <r>
          <rPr>
            <sz val="8"/>
            <color indexed="81"/>
            <rFont val="Tahoma"/>
            <family val="2"/>
          </rPr>
          <t xml:space="preserve">
Formerly Bowling Green Technical College</t>
        </r>
      </text>
    </comment>
    <comment ref="F197" authorId="1" shapeId="0">
      <text>
        <r>
          <rPr>
            <b/>
            <sz val="9"/>
            <color indexed="81"/>
            <rFont val="Tahoma"/>
            <family val="2"/>
          </rPr>
          <t>jmarks:</t>
        </r>
        <r>
          <rPr>
            <sz val="9"/>
            <color indexed="81"/>
            <rFont val="Tahoma"/>
            <family val="2"/>
          </rPr>
          <t xml:space="preserve">
But use same formulas as semester for FTE since each term is 8 hours for full-time</t>
        </r>
      </text>
    </comment>
    <comment ref="AP204" authorId="2" shapeId="0">
      <text>
        <r>
          <rPr>
            <b/>
            <sz val="9"/>
            <color indexed="81"/>
            <rFont val="Tahoma"/>
            <family val="2"/>
          </rPr>
          <t>Lisa Cowan:</t>
        </r>
        <r>
          <rPr>
            <sz val="9"/>
            <color indexed="81"/>
            <rFont val="Tahoma"/>
            <family val="2"/>
          </rPr>
          <t xml:space="preserve">
"We are aware of the unsual increase in Grad Credit hours 
from LSU-Shreveport. They/We are investigating."</t>
        </r>
      </text>
    </comment>
    <comment ref="A290" authorId="1" shapeId="0">
      <text>
        <r>
          <rPr>
            <b/>
            <sz val="10"/>
            <color indexed="81"/>
            <rFont val="Tahoma"/>
            <family val="2"/>
          </rPr>
          <t xml:space="preserve">jmarks: </t>
        </r>
        <r>
          <rPr>
            <sz val="10"/>
            <color indexed="81"/>
            <rFont val="Tahoma"/>
            <family val="2"/>
          </rPr>
          <t>General note for all NC CCs: Beginning with the 2010-11 classfication new formulae were used to more accurately account for courses using contact hours rather than credit hours. The overall effect is to lower the calculated credit hour count and thus the FTE counts. This is, in effect, a recalibration and a number of instutitons have been reclassified as a result.</t>
        </r>
      </text>
    </comment>
    <comment ref="B528" authorId="6" shapeId="0">
      <text>
        <r>
          <rPr>
            <b/>
            <sz val="9"/>
            <color indexed="81"/>
            <rFont val="Tahoma"/>
            <family val="2"/>
          </rPr>
          <t>..:</t>
        </r>
        <r>
          <rPr>
            <sz val="9"/>
            <color indexed="81"/>
            <rFont val="Tahoma"/>
            <family val="2"/>
          </rPr>
          <t xml:space="preserve">
San Marcos is no longer a part of the name.</t>
        </r>
      </text>
    </comment>
    <comment ref="B532" authorId="6" shapeId="0">
      <text>
        <r>
          <rPr>
            <b/>
            <sz val="9"/>
            <color indexed="81"/>
            <rFont val="Tahoma"/>
            <family val="2"/>
          </rPr>
          <t>..:</t>
        </r>
        <r>
          <rPr>
            <sz val="9"/>
            <color indexed="81"/>
            <rFont val="Tahoma"/>
            <family val="2"/>
          </rPr>
          <t xml:space="preserve">
UT Brownsville and UT Pan American merged and became UT-Rio Grande Valley.</t>
        </r>
      </text>
    </comment>
    <comment ref="B678" authorId="7" shapeId="0">
      <text>
        <r>
          <rPr>
            <b/>
            <sz val="9"/>
            <color indexed="81"/>
            <rFont val="Tahoma"/>
            <family val="2"/>
          </rPr>
          <t>Jeannie Reed:</t>
        </r>
        <r>
          <rPr>
            <sz val="9"/>
            <color indexed="81"/>
            <rFont val="Tahoma"/>
            <family val="2"/>
          </rPr>
          <t xml:space="preserve">
New Fall 2014</t>
        </r>
      </text>
    </comment>
  </commentList>
</comments>
</file>

<file path=xl/connections.xml><?xml version="1.0" encoding="utf-8"?>
<connections xmlns="http://schemas.openxmlformats.org/spreadsheetml/2006/main">
  <connection id="1" name="CH11ug1" type="6" refreshedVersion="4" background="1" saveData="1">
    <textPr codePage="437" sourceFile="\\THECB-AUVFS41\UserDoc$\MeadDD\My Documents\My SAS Files\SREB\QWK04245\Page4\CH11ug1.txt">
      <textFields>
        <textField/>
      </textFields>
    </textPr>
  </connection>
  <connection id="2" name="CH11ug2" type="6" refreshedVersion="4" background="1" saveData="1">
    <textPr codePage="437" sourceFile="\\THECB-AUVFS41\UserDoc$\MeadDD\My Documents\My SAS Files\SREB\QWK04245\Page4\CH11ug2.txt">
      <textFields>
        <textField/>
      </textFields>
    </textPr>
  </connection>
  <connection id="3" name="CH11ug3" type="6" refreshedVersion="4" background="1" saveData="1">
    <textPr codePage="437" sourceFile="\\THECB-AUVFS41\UserDoc$\MeadDD\My Documents\My SAS Files\SREB\QWK04245\Page4\CH11ug3.txt">
      <textFields>
        <textField/>
      </textFields>
    </textPr>
  </connection>
  <connection id="4" name="CH11ug4" type="6" refreshedVersion="4" background="1" saveData="1">
    <textPr codePage="437" sourceFile="\\THECB-AUVFS41\UserDoc$\MeadDD\My Documents\My SAS Files\SREB\QWK04245\Page4\CH11ug4.txt">
      <textFields>
        <textField/>
      </textFields>
    </textPr>
  </connection>
  <connection id="5" name="CH13ug1" type="6" refreshedVersion="5" background="1" saveData="1">
    <textPr codePage="437" sourceFile="Z:\Mead\SASdocs\SREB\QWK04869\Page4\Paste\CH13ug1.txt">
      <textFields>
        <textField/>
      </textFields>
    </textPr>
  </connection>
  <connection id="6" name="CH13ug2" type="6" refreshedVersion="5" background="1" saveData="1">
    <textPr codePage="437" sourceFile="Z:\Mead\SASdocs\SREB\QWK04869\Page4\Paste\CH13ug2.txt">
      <textFields>
        <textField/>
      </textFields>
    </textPr>
  </connection>
  <connection id="7" name="CH13ug3" type="6" refreshedVersion="5" background="1" saveData="1">
    <textPr codePage="437" sourceFile="Z:\Mead\SASdocs\SREB\QWK04869\Page4\Paste\CH13ug3.txt">
      <textFields>
        <textField/>
      </textFields>
    </textPr>
  </connection>
  <connection id="8" name="CH13ug4" type="6" refreshedVersion="5" background="1" saveData="1">
    <textPr codePage="437" sourceFile="Z:\Mead\SASdocs\SREB\QWK04869\Page4\Paste\CH13ug4.txt">
      <textFields>
        <textField/>
      </textFields>
    </textPr>
  </connection>
  <connection id="9" name="Dual07" type="6" refreshedVersion="3" deleted="1" background="1" saveData="1">
    <textPr codePage="437" sourceFile="\\CBNA42\UserDoc$\meaddd\My Documents\My SAS Files\SREB\QWK03256\Dual07.txt">
      <textFields>
        <textField/>
      </textFields>
    </textPr>
  </connection>
  <connection id="10" name="Dual11" type="6" refreshedVersion="4" background="1" saveData="1">
    <textPr codePage="437" sourceFile="\\THECB-AUVFS41\UserDoc$\MeadDD\My Documents\My SAS Files\SREB\QWK04245\Page4\Dual11.txt">
      <textFields>
        <textField/>
      </textFields>
    </textPr>
  </connection>
  <connection id="11" name="Dual13" type="6" refreshedVersion="5" background="1" saveData="1">
    <textPr codePage="437" sourceFile="Z:\Mead\SASdocs\SREB\QWK04869\Page4\Paste\Dual13.txt">
      <textFields>
        <textField/>
      </textFields>
    </textPr>
  </connection>
  <connection id="12" name="SCH13ug2" type="6" refreshedVersion="5" background="1" saveData="1">
    <textPr codePage="437" sourceFile="Z:\Mead\SASdocs\SREB\QWK04869\Page4\Paste\SCH13ug2.txt">
      <textFields>
        <textField/>
      </textFields>
    </textPr>
  </connection>
  <connection id="13" name="SCH13ug3" type="6" refreshedVersion="5" background="1" saveData="1">
    <textPr codePage="437" sourceFile="Z:\Mead\SASdocs\SREB\QWK04869\Page4\Paste\SCH13ug3.txt">
      <textFields>
        <textField/>
      </textFields>
    </textPr>
  </connection>
  <connection id="14" name="SCH13ug4" type="6" refreshedVersion="5" background="1" saveData="1">
    <textPr codePage="437" sourceFile="Z:\Mead\SASdocs\SREB\QWK04869\Page4\Paste\SCH13ug4.txt">
      <textFields>
        <textField/>
      </textFields>
    </textPr>
  </connection>
  <connection id="15" name="SCH15ug1" type="6" refreshedVersion="5" background="1" saveData="1">
    <textPr codePage="437" sourceFile="Z:\Mead\SASdocs\SREB\QWK05160\Page4\Paste\SCH15ug1.txt">
      <textFields>
        <textField/>
      </textFields>
    </textPr>
  </connection>
</connections>
</file>

<file path=xl/sharedStrings.xml><?xml version="1.0" encoding="utf-8"?>
<sst xmlns="http://schemas.openxmlformats.org/spreadsheetml/2006/main" count="4001" uniqueCount="986">
  <si>
    <t>All Two Year</t>
  </si>
  <si>
    <t>All Technical</t>
  </si>
  <si>
    <t>Old Percent by H.S. Students</t>
  </si>
  <si>
    <t>All Four Year</t>
  </si>
  <si>
    <t>Points change</t>
  </si>
  <si>
    <t>"9" minus "9b"</t>
  </si>
  <si>
    <t>10 minus 10b</t>
  </si>
  <si>
    <t>#Change from prior year</t>
  </si>
  <si>
    <t>Grand Total FTE - Old</t>
  </si>
  <si>
    <t>Total Grand Total FTE - Old</t>
  </si>
  <si>
    <t>Sum of Old-Total UGH</t>
  </si>
  <si>
    <t>Sum of New-Total UGH</t>
  </si>
  <si>
    <t>Total Sum of Old-Total UGH</t>
  </si>
  <si>
    <t>Total Sum of New-Total UGH</t>
  </si>
  <si>
    <t>Sum of Old-Total HSH</t>
  </si>
  <si>
    <t>Sum of New-Total HSH</t>
  </si>
  <si>
    <t>Sum of Old-HS % of Total</t>
  </si>
  <si>
    <t>Sum of New-HS % of Total</t>
  </si>
  <si>
    <t>Total Sum of Old-Total HSH</t>
  </si>
  <si>
    <t>Total Sum of New-Total HSH</t>
  </si>
  <si>
    <t>Total Sum of Old-HS % of Total</t>
  </si>
  <si>
    <t>Total Sum of New-HS % of Total</t>
  </si>
  <si>
    <t>Percent by Students Still in High School</t>
  </si>
  <si>
    <t>Technical Total</t>
  </si>
  <si>
    <t>Technical</t>
  </si>
  <si>
    <t>12</t>
  </si>
  <si>
    <t>Grand
Total FTE</t>
  </si>
  <si>
    <t>Size Unknown</t>
  </si>
  <si>
    <t xml:space="preserve"> </t>
  </si>
  <si>
    <t>Public Four-Year Universities, Two-Year Colleges</t>
  </si>
  <si>
    <t>All</t>
  </si>
  <si>
    <t>TOTAL</t>
  </si>
  <si>
    <t>Full-Year Full-Time-Equivalent Undergraduate Enrollment</t>
  </si>
  <si>
    <t>Full-Year Full-Time-Equivalent Graduate Enrollment</t>
  </si>
  <si>
    <t>Full-Year Full-Time-Equivalent Credit-Hour Enrollment</t>
  </si>
  <si>
    <t>Full-Year Full-Time-Equivalent Contact-Hour Enrollment</t>
  </si>
  <si>
    <t>Total Full-Year Full-Time-Equivalent Enrollment</t>
  </si>
  <si>
    <t>Extra sub-totals to use with funding data.</t>
  </si>
  <si>
    <t>OLD</t>
  </si>
  <si>
    <t>Totals for Per FTE Funding Calculation</t>
  </si>
  <si>
    <t>Prior year for Highlights report</t>
  </si>
  <si>
    <t>sem</t>
  </si>
  <si>
    <t>Category2</t>
  </si>
  <si>
    <t>Old-Total Undg CH</t>
  </si>
  <si>
    <t>Old-Total Undg CH FTE</t>
  </si>
  <si>
    <t>Technical Institutes or Colleges</t>
  </si>
  <si>
    <t>Old-Term Code</t>
  </si>
  <si>
    <t>New-Term Code</t>
  </si>
  <si>
    <t>Old-Total Undg SCH</t>
  </si>
  <si>
    <t>New-Total Undg SCH</t>
  </si>
  <si>
    <t>New-Total Undg CH</t>
  </si>
  <si>
    <t>Old-Total Grad SCH</t>
  </si>
  <si>
    <t>New-Total Grad SCH</t>
  </si>
  <si>
    <t>Old-Total Grad FTE</t>
  </si>
  <si>
    <t>New-Total Grad FTE</t>
  </si>
  <si>
    <t>Old-Total Undg SCH FTE</t>
  </si>
  <si>
    <t>New-Total Undg SCH FTE</t>
  </si>
  <si>
    <t>New-Total Undg CH FTE</t>
  </si>
  <si>
    <t>Data</t>
  </si>
  <si>
    <t>Grand Total</t>
  </si>
  <si>
    <t>Old Grand Total FTE</t>
  </si>
  <si>
    <t>New Grand Total FTE</t>
  </si>
  <si>
    <t>Four-Year</t>
  </si>
  <si>
    <t xml:space="preserve"> Two-Year</t>
  </si>
  <si>
    <t>SREB states</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</si>
  <si>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</si>
  <si>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</si>
  <si>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</si>
  <si>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</si>
  <si>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</si>
  <si>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</si>
  <si>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</si>
  <si>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</si>
  <si>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</si>
  <si>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</si>
  <si>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</si>
  <si>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</si>
  <si>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</si>
  <si>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</si>
  <si>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</si>
  <si>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 xml:space="preserve"> Undergrad Contact Hour FTE - New</t>
  </si>
  <si>
    <t>Total  Undergrad Contact Hour FTE - New</t>
  </si>
  <si>
    <t xml:space="preserve"> Undergrad Contact Hour FTE - Old</t>
  </si>
  <si>
    <t>Total  Undergrad Contact Hour FTE - Old</t>
  </si>
  <si>
    <t>Undergrad Student Credit Hour FTE - New</t>
  </si>
  <si>
    <t>Total Undergrad Student Credit Hour FTE - New</t>
  </si>
  <si>
    <t>Undergrad Student Credit Hour  FTE - Old</t>
  </si>
  <si>
    <t>Total Undergrad Student Credit Hour  FTE - Old</t>
  </si>
  <si>
    <t>Graduate FTE - Old</t>
  </si>
  <si>
    <t>Total Graduate FTE - Old</t>
  </si>
  <si>
    <t>Graduate FTE - New</t>
  </si>
  <si>
    <t>Total Graduate FTE - New</t>
  </si>
  <si>
    <t xml:space="preserve"> % Change Graduate  FTE</t>
  </si>
  <si>
    <t>Total  % Change Graduate  FTE</t>
  </si>
  <si>
    <t>Grand Total FTE - New</t>
  </si>
  <si>
    <t>Total Grand Total FTE - New</t>
  </si>
  <si>
    <t xml:space="preserve"> % Change Grand Total FTE</t>
  </si>
  <si>
    <t>Total  % Change Grand Total FTE</t>
  </si>
  <si>
    <t xml:space="preserve"> % Change Undergrad SCH FTE</t>
  </si>
  <si>
    <t>Total  % Change Undergrad SCH FTE</t>
  </si>
  <si>
    <t xml:space="preserve"> % Change Undergrad CH FTE</t>
  </si>
  <si>
    <t>Total  % Change Undergrad CH FTE</t>
  </si>
  <si>
    <t>Delaware</t>
  </si>
  <si>
    <t>Institution</t>
  </si>
  <si>
    <t>Category</t>
  </si>
  <si>
    <t>State</t>
  </si>
  <si>
    <t>IPEDS ID #</t>
  </si>
  <si>
    <t>Undergraduate Credit Hours</t>
  </si>
  <si>
    <t>Undergraduate Contact Hours</t>
  </si>
  <si>
    <t>Graduate Credit Hours</t>
  </si>
  <si>
    <t>Calculated</t>
  </si>
  <si>
    <t>Winter</t>
  </si>
  <si>
    <t>Spring</t>
  </si>
  <si>
    <t>Summer</t>
  </si>
  <si>
    <t>Fall</t>
  </si>
  <si>
    <t>old-Winter Undg SCH</t>
  </si>
  <si>
    <t>new-Winter Undg SCH</t>
  </si>
  <si>
    <t>old-Spring Undg SCH</t>
  </si>
  <si>
    <t>new-Spring Undg SCH</t>
  </si>
  <si>
    <t>old-Summer Undg SCH</t>
  </si>
  <si>
    <t>new-Summer Undg SCH</t>
  </si>
  <si>
    <t>old-Fall Undg SCH</t>
  </si>
  <si>
    <t>new-Fall Undg SCH</t>
  </si>
  <si>
    <t>old-Winter Undg CH</t>
  </si>
  <si>
    <t>new-Winter Undg CH</t>
  </si>
  <si>
    <t>old-Spring Undg CH</t>
  </si>
  <si>
    <t>new-Spring Undg CH</t>
  </si>
  <si>
    <t>old-Summer Undg CH</t>
  </si>
  <si>
    <t>new-Summer Undg CH</t>
  </si>
  <si>
    <t>old-Fall Undg CH</t>
  </si>
  <si>
    <t>new-Fall Undg CH</t>
  </si>
  <si>
    <t>old-Winter Grad SCH</t>
  </si>
  <si>
    <t>new-Winter Grad SCH</t>
  </si>
  <si>
    <t>old-Spring Grad SCH</t>
  </si>
  <si>
    <t>new-Spring Grad SCH</t>
  </si>
  <si>
    <t>old-Summer Grad SCH</t>
  </si>
  <si>
    <t>new-Summer Grad SCH</t>
  </si>
  <si>
    <t>old-Fall Grad SCH</t>
  </si>
  <si>
    <t>new-Fall Grad SCH</t>
  </si>
  <si>
    <t>FTE</t>
  </si>
  <si>
    <t>With Bachelor's</t>
  </si>
  <si>
    <t>%Change from prior year</t>
  </si>
  <si>
    <t>GA</t>
  </si>
  <si>
    <t>Total</t>
  </si>
  <si>
    <t>NEW</t>
  </si>
  <si>
    <t>10b</t>
  </si>
  <si>
    <t>Old-Total HS SCH</t>
  </si>
  <si>
    <t>New-Total HS SCH</t>
  </si>
  <si>
    <t>Old-Total HS CH</t>
  </si>
  <si>
    <t>New-Total HS CH</t>
  </si>
  <si>
    <t>For use in FB 37 and DE Highlights</t>
  </si>
  <si>
    <r>
      <rPr>
        <b/>
        <sz val="10"/>
        <rFont val="Arial"/>
        <family val="2"/>
      </rPr>
      <t>Old</t>
    </r>
    <r>
      <rPr>
        <sz val="10"/>
        <rFont val="Arial"/>
        <family val="2"/>
      </rPr>
      <t xml:space="preserve"> % by H.S. Students</t>
    </r>
  </si>
  <si>
    <t>Hours taken by students still in high school (dual enrollment, joint enrollment, early college, etc.)</t>
  </si>
  <si>
    <t>For use in DE Highlights and Fact Book</t>
  </si>
  <si>
    <t>Two Year 1</t>
  </si>
  <si>
    <t>Four-Year 1</t>
  </si>
  <si>
    <t>w/ Bachelor's</t>
  </si>
  <si>
    <t>Technical 1</t>
  </si>
  <si>
    <t>Old-Total Undg SCH2</t>
  </si>
  <si>
    <t>New-Total Undg SCH2</t>
  </si>
  <si>
    <t>Old-Total Undg CH2</t>
  </si>
  <si>
    <t>New-Total Undg CH2</t>
  </si>
  <si>
    <t>—</t>
  </si>
  <si>
    <t>Table 80</t>
  </si>
  <si>
    <t>Table 81</t>
  </si>
  <si>
    <t>Table 82</t>
  </si>
  <si>
    <t>Table 83</t>
  </si>
  <si>
    <t>Table 84</t>
  </si>
  <si>
    <t>Table 85</t>
  </si>
  <si>
    <t>Table 86</t>
  </si>
  <si>
    <t>Public Two-Year Colleges and Technical Institutes or Colleges</t>
  </si>
  <si>
    <t>=+GETPIVOTDATA("Sum of New-HS % of Total",'Pivot-HS Student % of Undergrad'!$A$3,"Category",1,"Category2","Four-Year")</t>
  </si>
  <si>
    <t>=+GETPIVOTDATA("Sum of New-HS % of Total",'Pivot-HS Student % of Undergrad'!$A$3,"Category",2,"Category2","Four-Year")</t>
  </si>
  <si>
    <t>=+GETPIVOTDATA("Sum of New-HS % of Total",'Pivot-HS Student % of Undergrad'!$A$3,"Category",3,"Category2","Four-Year")</t>
  </si>
  <si>
    <t>=+GETPIVOTDATA("Sum of New-HS % of Total",'Pivot-HS Student % of Undergrad'!$A$3,"Category",4,"Category2","Four-Year")</t>
  </si>
  <si>
    <t>=+GETPIVOTDATA("Sum of New-HS % of Total",'Pivot-HS Student % of Undergrad'!$A$3,"Category",5,"Category2","Four-Year")</t>
  </si>
  <si>
    <t>=+GETPIVOTDATA("Sum of New-HS % of Total",'Pivot-HS Student % of Undergrad'!$A$3,"Category",6,"Category2","Four-Year")</t>
  </si>
  <si>
    <t>=+GETPIVOTDATA("Sum of New-HS % of Total",'Pivot-HS Student % of Undergrad'!$A$3,"Category2","Group1")</t>
  </si>
  <si>
    <t>=+GETPIVOTDATA("Sum of New-HS % of Total",'Pivot-HS Student % of Undergrad'!$A$3,"Category",7,"Category2","Two-Year")</t>
  </si>
  <si>
    <t>=+GETPIVOTDATA("Sum of New-HS % of Total",'Pivot-HS Student % of Undergrad'!$A$3,"Category",8,"Category2","Two-Year")</t>
  </si>
  <si>
    <t>=+GETPIVOTDATA("Sum of New-HS % of Total",'Pivot-HS Student % of Undergrad'!$A$3,"Category",9,"Category2","Two-Year")</t>
  </si>
  <si>
    <t>=+GETPIVOTDATA("Sum of New-HS % of Total",'Pivot-HS Student % of Undergrad'!$A$3,"Category",10,"Category2","Two-Year")</t>
  </si>
  <si>
    <t>=+GETPIVOTDATA("Sum of New-HS % of Total",'Pivot-HS Student % of Undergrad'!$A$3,"Category2","Group2")</t>
  </si>
  <si>
    <t>=+GETPIVOTDATA("Sum of New-HS % of Total",'Pivot-HS Student % of Undergrad'!$A$3,"Category",12,"Category2","Technical")</t>
  </si>
  <si>
    <t>=+GETPIVOTDATA("Sum of New-HS % of Total",'Pivot-HS Student % of Undergrad'!$A$3,"Category",13,"Category2","Technical")</t>
  </si>
  <si>
    <t>=+GETPIVOTDATA("Sum of New-HS % of Total",'Pivot-HS Student % of Undergrad'!$A$3,"Category2","Group3")</t>
  </si>
  <si>
    <t>=+GETPIVOTDATA("Sum of Old-HS % of Total",'Pivot-HS Student % of Undergrad'!$A$3,"Category",12,"Category2","Technical")</t>
  </si>
  <si>
    <t>=+GETPIVOTDATA("Sum of Old-HS % of Total",'Pivot-HS Student % of Undergrad'!$A$3,"Category",13,"Category2","Technical")</t>
  </si>
  <si>
    <t>=+GETPIVOTDATA("Sum of Old-HS % of Total",'Pivot-HS Student % of Undergrad'!$A$3,"Category2","Group3")</t>
  </si>
  <si>
    <t>IPEDS #</t>
  </si>
  <si>
    <t>Semester or Quarter</t>
  </si>
  <si>
    <t>Total Hours</t>
  </si>
  <si>
    <t>Total Hours for HS % of Total Calculation</t>
  </si>
  <si>
    <t>Note</t>
  </si>
  <si>
    <r>
      <t>……….</t>
    </r>
    <r>
      <rPr>
        <b/>
        <sz val="14"/>
        <color rgb="FFC00000"/>
        <rFont val="Arial"/>
        <family val="2"/>
      </rPr>
      <t>Discontinued but still used for summary info and Fact Book</t>
    </r>
    <r>
      <rPr>
        <b/>
        <sz val="14"/>
        <rFont val="Arial"/>
        <family val="2"/>
      </rPr>
      <t>-----</t>
    </r>
  </si>
  <si>
    <r>
      <t>………. "86B"</t>
    </r>
    <r>
      <rPr>
        <b/>
        <sz val="14"/>
        <color rgb="FFC00000"/>
        <rFont val="Arial"/>
        <family val="2"/>
      </rPr>
      <t>Discontinued but still used for summary info and Fact Book</t>
    </r>
    <r>
      <rPr>
        <b/>
        <sz val="14"/>
        <rFont val="Arial"/>
        <family val="2"/>
      </rPr>
      <t>-------see sections to right---------------&gt;&gt;&gt;&gt;&gt;&gt;&gt;&gt;</t>
    </r>
  </si>
  <si>
    <t>for use in Highlights and Fact Book</t>
  </si>
  <si>
    <t>"8" minus "8b"</t>
  </si>
  <si>
    <t>OLD for funding</t>
  </si>
  <si>
    <t>New for funding</t>
  </si>
  <si>
    <t xml:space="preserve">Part 4: Credit/Contact Hours </t>
  </si>
  <si>
    <r>
      <t xml:space="preserve">Data Columns:  </t>
    </r>
    <r>
      <rPr>
        <sz val="10"/>
        <rFont val="Arial"/>
        <family val="2"/>
      </rPr>
      <t xml:space="preserve">White = New Data, Peach = Old Data, Purple/Grey = Calculated Data. </t>
    </r>
    <r>
      <rPr>
        <b/>
        <sz val="10"/>
        <rFont val="Arial"/>
        <family val="2"/>
      </rPr>
      <t xml:space="preserve"> Please highlight changes in YELLOW</t>
    </r>
  </si>
  <si>
    <t>Comments:  Please look for comments and answer questions; add comments as needed</t>
  </si>
  <si>
    <t>Classification Notes</t>
  </si>
  <si>
    <t xml:space="preserve"> HS Percentage-point Change</t>
  </si>
  <si>
    <t>Total  HS Percentage-point Change</t>
  </si>
  <si>
    <t>Do not use regional figures until all states participate in the H.S. hour survey.</t>
  </si>
  <si>
    <t>=+GETPIVOTDATA("Sum of Old-HS % of Total",'Pivot-HS Student % of Undergrad'!$A$3,"Category",7,"Category2","Two-Year")</t>
  </si>
  <si>
    <t>=+GETPIVOTDATA("Sum of Old-HS % of Total",'Pivot-HS Student % of Undergrad'!$A$3,"Category",1,"Category2","Four-Year")</t>
  </si>
  <si>
    <t>=+GETPIVOTDATA("Sum of Old-HS % of Total",'Pivot-HS Student % of Undergrad'!$A$3,"Category",2,"Category2","Four-Year")</t>
  </si>
  <si>
    <t>=+GETPIVOTDATA("Sum of Old-HS % of Total",'Pivot-HS Student % of Undergrad'!$A$3,"Category",3,"Category2","Four-Year")</t>
  </si>
  <si>
    <t>=+GETPIVOTDATA("Sum of Old-HS % of Total",'Pivot-HS Student % of Undergrad'!$A$3,"Category",4,"Category2","Four-Year")</t>
  </si>
  <si>
    <t>=+GETPIVOTDATA("Sum of Old-HS % of Total",'Pivot-HS Student % of Undergrad'!$A$3,"Category",5,"Category2","Four-Year")</t>
  </si>
  <si>
    <t>=+GETPIVOTDATA("Sum of Old-HS % of Total",'Pivot-HS Student % of Undergrad'!$A$3,"Category",6,"Category2","Four-Year")</t>
  </si>
  <si>
    <t>=+GETPIVOTDATA("Sum of Old-HS % of Total",'Pivot-HS Student % of Undergrad'!$A$3,"Category2","Four-Year")</t>
  </si>
  <si>
    <t>=+GETPIVOTDATA("Sum of Old-HS % of Total",'Pivot-HS Student % of Undergrad'!$A$3,"Category",8,"Category2","Two-Year")</t>
  </si>
  <si>
    <t>=+GETPIVOTDATA("Sum of Old-HS % of Total",'Pivot-HS Student % of Undergrad'!$A$3,"Category",9,"Category2","Two-Year")</t>
  </si>
  <si>
    <t>=+GETPIVOTDATA("Sum of Old-HS % of Total",'Pivot-HS Student % of Undergrad'!$A$3,"Category",10,"Category2","Two-Year")</t>
  </si>
  <si>
    <t>=+GETPIVOTDATA("Sum of Old-HS % of Total",'Pivot-HS Student % of Undergrad'!$A$3,"Category2","Two-Year")</t>
  </si>
  <si>
    <t>KY</t>
  </si>
  <si>
    <t>Four-Year Total</t>
  </si>
  <si>
    <t>Two-Year</t>
  </si>
  <si>
    <t>Two-Year Total</t>
  </si>
  <si>
    <t>8</t>
  </si>
  <si>
    <t>9</t>
  </si>
  <si>
    <t>10</t>
  </si>
  <si>
    <t>AL</t>
  </si>
  <si>
    <t>13</t>
  </si>
  <si>
    <t>LA</t>
  </si>
  <si>
    <t>NC</t>
  </si>
  <si>
    <t>7</t>
  </si>
  <si>
    <t>MS</t>
  </si>
  <si>
    <t>WV</t>
  </si>
  <si>
    <t>OK</t>
  </si>
  <si>
    <t>TX</t>
  </si>
  <si>
    <t>08b</t>
  </si>
  <si>
    <t>09b</t>
  </si>
  <si>
    <t>TN</t>
  </si>
  <si>
    <t>AR</t>
  </si>
  <si>
    <t>11</t>
  </si>
  <si>
    <t>11 Total</t>
  </si>
  <si>
    <t>99 Total</t>
  </si>
  <si>
    <t>08b Total</t>
  </si>
  <si>
    <t>09b Total</t>
  </si>
  <si>
    <t>10b Total</t>
  </si>
  <si>
    <t>FL</t>
  </si>
  <si>
    <t>DE</t>
  </si>
  <si>
    <t>MD</t>
  </si>
  <si>
    <t>SC</t>
  </si>
  <si>
    <t>VA</t>
  </si>
  <si>
    <t>Pct by Students Still in HS</t>
  </si>
  <si>
    <t>For use in FB_42_43</t>
  </si>
  <si>
    <t>w/ Bachelors</t>
  </si>
  <si>
    <t>Public Four-Year Institutions, 2014-15</t>
  </si>
  <si>
    <t>Public Two-Year Colleges and Technical Institutes or Colleges, 2014-15</t>
  </si>
  <si>
    <t>Public Two-Year Colleges, 2014-15</t>
  </si>
  <si>
    <t>Public Technical Institutes or Colleges, 2014-15</t>
  </si>
  <si>
    <t xml:space="preserve"> and Technical Institutes or Colleges, 2014-15</t>
  </si>
  <si>
    <t>Albany Technical College</t>
  </si>
  <si>
    <t>Athens Technical College</t>
  </si>
  <si>
    <t>Atlanta Technical College</t>
  </si>
  <si>
    <t>Augusta Technical College</t>
  </si>
  <si>
    <t>Central Georgia Technical College</t>
  </si>
  <si>
    <t>Chattahoochee Technical College</t>
  </si>
  <si>
    <t>Coastal Pines Technical College</t>
  </si>
  <si>
    <t>Columbus Technical College</t>
  </si>
  <si>
    <t>Georgia Northwestern Technical College</t>
  </si>
  <si>
    <t>Georgia Piedmont Technical College</t>
  </si>
  <si>
    <t>Gwinnett Technical College</t>
  </si>
  <si>
    <t>Lanier Technical College</t>
  </si>
  <si>
    <t>North Georgia Technical College</t>
  </si>
  <si>
    <t>Oconee Fall Line Technical College</t>
  </si>
  <si>
    <t>Ogeechee Technical College</t>
  </si>
  <si>
    <t>Savannah Technical College</t>
  </si>
  <si>
    <t>South Georgia Technical College</t>
  </si>
  <si>
    <t>Southeastern Technical College</t>
  </si>
  <si>
    <t>Southern Crescent Technical College</t>
  </si>
  <si>
    <t>West Georgia Technical College</t>
  </si>
  <si>
    <t>Wiregrass Georgia Technical College</t>
  </si>
  <si>
    <t>Southern Regional Technical College</t>
  </si>
  <si>
    <t xml:space="preserve">Georgia State University </t>
  </si>
  <si>
    <t>University of Georgia</t>
  </si>
  <si>
    <t>Georgia Institute of Technology</t>
  </si>
  <si>
    <t>Georgia Southern University</t>
  </si>
  <si>
    <t>Kennesaw State University</t>
  </si>
  <si>
    <t>University of West Georgia</t>
  </si>
  <si>
    <t xml:space="preserve">Valdosta State University </t>
  </si>
  <si>
    <t xml:space="preserve">Albany State University </t>
  </si>
  <si>
    <t>Armstrong State University</t>
  </si>
  <si>
    <t>Clayton State University</t>
  </si>
  <si>
    <t>Columbus State University</t>
  </si>
  <si>
    <t>Georgia College and State University</t>
  </si>
  <si>
    <t>Georgia Regents University</t>
  </si>
  <si>
    <t>University of North Georgia</t>
  </si>
  <si>
    <t>Fort Valley State University</t>
  </si>
  <si>
    <t>Georgia Southwestern State University</t>
  </si>
  <si>
    <t>Savannah State University</t>
  </si>
  <si>
    <t xml:space="preserve">Dalton State College </t>
  </si>
  <si>
    <t>Georgia Gwinnett College</t>
  </si>
  <si>
    <t>Middle Georgia State College</t>
  </si>
  <si>
    <t xml:space="preserve">Abraham Baldwin Agricultural College </t>
  </si>
  <si>
    <t xml:space="preserve">College of Coastal Georgia </t>
  </si>
  <si>
    <t xml:space="preserve">Gordon State College </t>
  </si>
  <si>
    <t xml:space="preserve">Georgia Perimeter College </t>
  </si>
  <si>
    <t>Atlanta Metropolitan State College</t>
  </si>
  <si>
    <t xml:space="preserve">Bainbridge State College </t>
  </si>
  <si>
    <t xml:space="preserve">Darton State College </t>
  </si>
  <si>
    <t>East Georgia State College</t>
  </si>
  <si>
    <t>Georgia Highlands College</t>
  </si>
  <si>
    <t>South Georgia State College</t>
  </si>
  <si>
    <t>Met the criteria for Four-Year 3 in 2015-16.</t>
  </si>
  <si>
    <t>Reclassified: Met the criteria for Four-Year 4 in 2013-14, 2014-15, and 2015-16.</t>
  </si>
  <si>
    <t>Met the criteria for Four-Year 4 in 2015-16.</t>
  </si>
  <si>
    <t xml:space="preserve">Met the criteria for Four-Year 6 in 2014-15 and 2015-16. </t>
  </si>
  <si>
    <t xml:space="preserve">Met the criteria for Four-Year 6 in 2015-16. </t>
  </si>
  <si>
    <t xml:space="preserve">Met the criteria for Two-Year with Bachelor's in 2014-15 and 2015-16. </t>
  </si>
  <si>
    <t>Met the criteria for Two-Year 3 in 2014-15 and 2015-16.</t>
  </si>
  <si>
    <t xml:space="preserve">Met the criteria for Two-Year with Bachelor's in 2015-16. </t>
  </si>
  <si>
    <t xml:space="preserve">Broward College </t>
  </si>
  <si>
    <t xml:space="preserve">Chipola College </t>
  </si>
  <si>
    <t xml:space="preserve">Daytona State College </t>
  </si>
  <si>
    <t>Florida State College at Jacksonville</t>
  </si>
  <si>
    <t xml:space="preserve">Gulf Coast State College </t>
  </si>
  <si>
    <t xml:space="preserve">Indian River State College </t>
  </si>
  <si>
    <t xml:space="preserve">Miami Dade College </t>
  </si>
  <si>
    <t>Northwest Florida State College</t>
  </si>
  <si>
    <t xml:space="preserve">Palm Beach State College </t>
  </si>
  <si>
    <t xml:space="preserve">Pensacola State College </t>
  </si>
  <si>
    <t xml:space="preserve">Polk State College </t>
  </si>
  <si>
    <t xml:space="preserve">Santa Fe College </t>
  </si>
  <si>
    <t>Seminole State College of Florida</t>
  </si>
  <si>
    <t xml:space="preserve">St. Johns River State College </t>
  </si>
  <si>
    <t xml:space="preserve">St. Petersburg College </t>
  </si>
  <si>
    <t>State College of Florida, Manatee-Sarasota</t>
  </si>
  <si>
    <t>College of Central Florida</t>
  </si>
  <si>
    <t>Eastern Florida State College</t>
  </si>
  <si>
    <t xml:space="preserve">Hillsborough Community College </t>
  </si>
  <si>
    <t xml:space="preserve">Tallahassee Community College </t>
  </si>
  <si>
    <t xml:space="preserve">Valencia College </t>
  </si>
  <si>
    <t>Florida Gateway College</t>
  </si>
  <si>
    <t xml:space="preserve">Lake-Sumter State College </t>
  </si>
  <si>
    <t xml:space="preserve">South Florida State College </t>
  </si>
  <si>
    <t xml:space="preserve">Florida Keys Community College </t>
  </si>
  <si>
    <t xml:space="preserve">North Florida Community College </t>
  </si>
  <si>
    <t>Florida SouthWestern State College</t>
  </si>
  <si>
    <t>Reclassified: Met the criteria for Two-Year with Bachelor's in 2013-14, 2014-15, and 2015-16.</t>
  </si>
  <si>
    <t xml:space="preserve">Pasco-Hernando State College </t>
  </si>
  <si>
    <t>Met the criteria for Two-Year with Bachelor's in 2014-15 and 2015-16.</t>
  </si>
  <si>
    <t xml:space="preserve">Canadian Valley Technology Center                 </t>
  </si>
  <si>
    <t xml:space="preserve">Francis Tuttle Technology Center                  </t>
  </si>
  <si>
    <t xml:space="preserve">Metro Technology Centers                          </t>
  </si>
  <si>
    <t xml:space="preserve">Autry Technology Center                           </t>
  </si>
  <si>
    <t xml:space="preserve">Caddo Kiowa Technology Center                     </t>
  </si>
  <si>
    <t xml:space="preserve">Central Technology Center                         </t>
  </si>
  <si>
    <t xml:space="preserve">Chisholm Trail Technology Center                  </t>
  </si>
  <si>
    <t xml:space="preserve">Eastern Oklahoma County Technology Center         </t>
  </si>
  <si>
    <t xml:space="preserve">Gordon Cooper Technology Center                   </t>
  </si>
  <si>
    <t xml:space="preserve">Great Plains Technology Center                    </t>
  </si>
  <si>
    <t xml:space="preserve">Green Country Technology Center                   </t>
  </si>
  <si>
    <t xml:space="preserve">High Plains Technology Center                     </t>
  </si>
  <si>
    <t xml:space="preserve">Indian Capital Technology Center-Muskogee         </t>
  </si>
  <si>
    <t xml:space="preserve">Indian Capital Technology Center-Sallisaw         </t>
  </si>
  <si>
    <t xml:space="preserve">Indian Capital Technology Center-Stilwell         </t>
  </si>
  <si>
    <t xml:space="preserve">Indian Capital Technology Center-Tahlequah        </t>
  </si>
  <si>
    <t xml:space="preserve">Kiamichi Technology Center-Atoka                  </t>
  </si>
  <si>
    <t xml:space="preserve">Kiamichi Technology Center-Durant                 </t>
  </si>
  <si>
    <t xml:space="preserve">Kiamichi Technology Center-Hugo                   </t>
  </si>
  <si>
    <t xml:space="preserve">Kiamichi Technology Center-Idabel                 </t>
  </si>
  <si>
    <t xml:space="preserve">Kiamichi Technology Center-McAlester              </t>
  </si>
  <si>
    <t xml:space="preserve">Kiamichi Technology Center-Poteau                 </t>
  </si>
  <si>
    <t xml:space="preserve">Kiamichi Technology Center-Spiro                  </t>
  </si>
  <si>
    <t xml:space="preserve">Kiamichi Technology Center-Stigler                </t>
  </si>
  <si>
    <t xml:space="preserve">Kiamichi Technology Center-Talihina               </t>
  </si>
  <si>
    <t xml:space="preserve">Meridian Technology Center                        </t>
  </si>
  <si>
    <t xml:space="preserve">Mid-America Technology Center                     </t>
  </si>
  <si>
    <t xml:space="preserve">Mid-Del Technology Center                         </t>
  </si>
  <si>
    <t xml:space="preserve">Moore Norman Technology Center                    </t>
  </si>
  <si>
    <t xml:space="preserve">Northeast Technology Center-Afton                 </t>
  </si>
  <si>
    <t>Northeast Technology Center-Claremore</t>
  </si>
  <si>
    <t xml:space="preserve">Northeast Technology Center-Kansas                </t>
  </si>
  <si>
    <t xml:space="preserve">Northeast Technology Center-Pryor                 </t>
  </si>
  <si>
    <t xml:space="preserve">Northwest Technology Center-Alva                  </t>
  </si>
  <si>
    <t xml:space="preserve">Northwest Technology Center-Fairview              </t>
  </si>
  <si>
    <t xml:space="preserve">Pioneer Technology Center                         </t>
  </si>
  <si>
    <t xml:space="preserve">Pontotoc Technology Center                        </t>
  </si>
  <si>
    <t xml:space="preserve">Red River Technology Center                       </t>
  </si>
  <si>
    <t xml:space="preserve">Southern Oklahoma Technology Center               </t>
  </si>
  <si>
    <t xml:space="preserve">Southwest Technology Center                       </t>
  </si>
  <si>
    <t xml:space="preserve">Tri County Technology Center                      </t>
  </si>
  <si>
    <t xml:space="preserve">Tulsa County Area Voc Tech School Dist 18-Peoria  </t>
  </si>
  <si>
    <t xml:space="preserve">Tulsa Technology Center-Broken Arrow Campus       </t>
  </si>
  <si>
    <t xml:space="preserve">Tulsa Technology Center-Lemley Campus             </t>
  </si>
  <si>
    <r>
      <t xml:space="preserve">Tulsa Technology Center-Owasso </t>
    </r>
    <r>
      <rPr>
        <sz val="10"/>
        <color rgb="FFFF0000"/>
        <rFont val="Arial"/>
        <family val="2"/>
      </rPr>
      <t>NEW</t>
    </r>
  </si>
  <si>
    <t xml:space="preserve">Tulsa Technology Center-Riverside Campus          </t>
  </si>
  <si>
    <r>
      <t>Tulsa Technology Center-Sand Springs</t>
    </r>
    <r>
      <rPr>
        <sz val="10"/>
        <color rgb="FFFF0000"/>
        <rFont val="Arial"/>
        <family val="2"/>
      </rPr>
      <t xml:space="preserve"> NEW</t>
    </r>
  </si>
  <si>
    <t xml:space="preserve">Wes Watkins Technology Center                     </t>
  </si>
  <si>
    <t xml:space="preserve">Western Technology Center                         </t>
  </si>
  <si>
    <t>Met the criteria for Technical Institute or College 1 in 2015-16.</t>
  </si>
  <si>
    <t>Reclassified: Met the criteria for Technical Institute or College 1 in 2013-14, 2014-15, and 2015-16.</t>
  </si>
  <si>
    <t>Met the criteria for Technical Institute or College 2 in 2015-16.</t>
  </si>
  <si>
    <t>Mississippi State University</t>
  </si>
  <si>
    <t>University of Southern Mississippi</t>
  </si>
  <si>
    <t xml:space="preserve">Jackson State University </t>
  </si>
  <si>
    <t>University of Mississippi</t>
  </si>
  <si>
    <t>Alcorn State University</t>
  </si>
  <si>
    <t>Delta State University</t>
  </si>
  <si>
    <t>Mississippi Valley State University</t>
  </si>
  <si>
    <t>Mississippi University for Women</t>
  </si>
  <si>
    <t>Met the criteria for Four-Year 1 in 2015-16.</t>
  </si>
  <si>
    <t>University of Memphis</t>
  </si>
  <si>
    <t>University of Tennessee, Knoxville</t>
  </si>
  <si>
    <t xml:space="preserve">Tennessee State University </t>
  </si>
  <si>
    <t xml:space="preserve">Austin Peay State University </t>
  </si>
  <si>
    <t xml:space="preserve">East Tennessee State University </t>
  </si>
  <si>
    <t xml:space="preserve">Middle Tennessee State University </t>
  </si>
  <si>
    <t xml:space="preserve">Tennessee Technological University </t>
  </si>
  <si>
    <t>University of Tennessee at Chattanooga</t>
  </si>
  <si>
    <t>University of Tennessee at Martin</t>
  </si>
  <si>
    <t xml:space="preserve">Chattanooga State Technical Community College </t>
  </si>
  <si>
    <t>Nashville State Technical Community College</t>
  </si>
  <si>
    <t>Pellissippi State Technical Community College</t>
  </si>
  <si>
    <t>Southwest Tennessee Community College</t>
  </si>
  <si>
    <t xml:space="preserve">Volunteer State Community College </t>
  </si>
  <si>
    <t xml:space="preserve">Cleveland State Community College </t>
  </si>
  <si>
    <t xml:space="preserve">Columbia State Community College </t>
  </si>
  <si>
    <t xml:space="preserve">Dyersburg State Community College </t>
  </si>
  <si>
    <t xml:space="preserve">Jackson State Community College </t>
  </si>
  <si>
    <t xml:space="preserve">Motlow State Community College </t>
  </si>
  <si>
    <t>Northeast State Technical Community College</t>
  </si>
  <si>
    <t xml:space="preserve">Roane State Community College </t>
  </si>
  <si>
    <t xml:space="preserve">Walters State Community College </t>
  </si>
  <si>
    <t>Tennessee College of Applied Technology at Chattanooga</t>
  </si>
  <si>
    <t>Tennessee College of Applied Technology at Athens</t>
  </si>
  <si>
    <t>Tennessee College of Applied Technology at Covington</t>
  </si>
  <si>
    <t>Tennessee College of Applied Technology at Crossville</t>
  </si>
  <si>
    <t>Tennessee College of Applied Technology at Crump</t>
  </si>
  <si>
    <t>Tennessee College of Applied Technology at Dickson</t>
  </si>
  <si>
    <t>Tennessee College of Applied Technology at Elizabethton</t>
  </si>
  <si>
    <t>Tennessee College of Applied Technology at Harriman</t>
  </si>
  <si>
    <t>Tennessee College of Applied Technology at Hartsville</t>
  </si>
  <si>
    <t>Tennessee College of Applied Technology at Hohenwald</t>
  </si>
  <si>
    <t>Tennessee College of Applied Technology at Jacksboro</t>
  </si>
  <si>
    <t>Tennessee College of Applied Technology at Jackson</t>
  </si>
  <si>
    <t>Tennessee College of Applied Technology at Knoxville</t>
  </si>
  <si>
    <t>Tennessee College of Applied Technology at Livingston</t>
  </si>
  <si>
    <t>Tennessee College of Applied Technology at McKenzie</t>
  </si>
  <si>
    <t>Tennessee College of Applied Technology at McMinnville</t>
  </si>
  <si>
    <t>Tennessee College of Applied Technology at Memphis</t>
  </si>
  <si>
    <t>Tennessee College of Applied Technology at Morristown</t>
  </si>
  <si>
    <t>Tennessee College of Applied Technology at Murfreesboro</t>
  </si>
  <si>
    <t>Tennessee College of Applied Technology at Nashville</t>
  </si>
  <si>
    <t>Tennessee College of Applied Technology at Newbern</t>
  </si>
  <si>
    <t>Tennessee College of Applied Technology at Oneida</t>
  </si>
  <si>
    <t>Tennessee College of Applied Technology at Paris</t>
  </si>
  <si>
    <t>Tennessee College of Applied Technology at Pulaski</t>
  </si>
  <si>
    <t>Tennessee College of Applied Technology at Ripley</t>
  </si>
  <si>
    <t>Tennessee College of Applied Technology at Shelbyville</t>
  </si>
  <si>
    <t>Tennessee College of Applied Technology at Whiteville</t>
  </si>
  <si>
    <t>Reclassified: Met the criteria for Four-Year 2 in 2013-14, 2014-15, and 2015-16.</t>
  </si>
  <si>
    <t>Met the criteria for Four-Year 2 in 2015-16.</t>
  </si>
  <si>
    <t>219824B</t>
  </si>
  <si>
    <t xml:space="preserve">North Carolina State University </t>
  </si>
  <si>
    <t xml:space="preserve">University of North Carolina at Chapel Hill </t>
  </si>
  <si>
    <t>University of North Carolina at Charlotte</t>
  </si>
  <si>
    <t>University of North Carolina at Greensboro</t>
  </si>
  <si>
    <t xml:space="preserve">East Carolina University </t>
  </si>
  <si>
    <t xml:space="preserve">Appalachian State University </t>
  </si>
  <si>
    <t>North Carolina A&amp;T State University</t>
  </si>
  <si>
    <t xml:space="preserve">North Carolina Central University </t>
  </si>
  <si>
    <t>University of North Carolina at Wilmington</t>
  </si>
  <si>
    <t xml:space="preserve">Western Carolina University </t>
  </si>
  <si>
    <t xml:space="preserve">Fayetteville State University </t>
  </si>
  <si>
    <t>University of North Carolina at Pembroke</t>
  </si>
  <si>
    <t xml:space="preserve">Winston-Salem State University </t>
  </si>
  <si>
    <t xml:space="preserve">Elizabeth City State University </t>
  </si>
  <si>
    <t>University of North Carolina at Asheville</t>
  </si>
  <si>
    <t>Auburn University</t>
  </si>
  <si>
    <t xml:space="preserve">University of Alabama </t>
  </si>
  <si>
    <t>University of Alabama at Birmingham</t>
  </si>
  <si>
    <t>University of Alabama in Huntsville</t>
  </si>
  <si>
    <t>Alabama Agricultural &amp; Mechanical University</t>
  </si>
  <si>
    <t xml:space="preserve">Jacksonville State University </t>
  </si>
  <si>
    <t>Troy University</t>
  </si>
  <si>
    <t>University of South Alabama</t>
  </si>
  <si>
    <t xml:space="preserve">Alabama State University </t>
  </si>
  <si>
    <t>Auburn University at Montgomery</t>
  </si>
  <si>
    <t>University of North Alabama</t>
  </si>
  <si>
    <t>University of Montevallo</t>
  </si>
  <si>
    <t>University of West Alabama</t>
  </si>
  <si>
    <t>Athens State University</t>
  </si>
  <si>
    <t>Gadsden State Community College</t>
  </si>
  <si>
    <t>Jefferson State Community College</t>
  </si>
  <si>
    <t xml:space="preserve">John C. Calhoun State Community College </t>
  </si>
  <si>
    <t>Bevill State Community College</t>
  </si>
  <si>
    <t>Bishop State Community College</t>
  </si>
  <si>
    <t>George C. Wallace State Community College - Dothan</t>
  </si>
  <si>
    <t>James H. Faulkner State Community College</t>
  </si>
  <si>
    <t xml:space="preserve">Lawson State Community College </t>
  </si>
  <si>
    <t xml:space="preserve">Northeast Alabama State Community College </t>
  </si>
  <si>
    <t>Northwest-Shoals Community College</t>
  </si>
  <si>
    <t>Shelton State Community College</t>
  </si>
  <si>
    <t>Southern Union State Community College</t>
  </si>
  <si>
    <t>Wallace Community College - Hanceville</t>
  </si>
  <si>
    <t>Alabama Southern Community College</t>
  </si>
  <si>
    <t>Central Alabama Community College</t>
  </si>
  <si>
    <t xml:space="preserve">Chattahoochee Valley State Community College </t>
  </si>
  <si>
    <t>George Corley Wallace State Community College - Selma</t>
  </si>
  <si>
    <t>Jefferson Davis Community College</t>
  </si>
  <si>
    <t xml:space="preserve">Lurleen B. Wallace Community College </t>
  </si>
  <si>
    <t xml:space="preserve">Snead State Community College </t>
  </si>
  <si>
    <t xml:space="preserve">Trenholm State Technical College </t>
  </si>
  <si>
    <t xml:space="preserve">J.F. Drake State Technical College </t>
  </si>
  <si>
    <t xml:space="preserve">J.F. Ingram State Technical College </t>
  </si>
  <si>
    <t xml:space="preserve">Reid State Technical College </t>
  </si>
  <si>
    <t>Reclassified: Met the criteria for Two-Year 2 in 2013-14, 2014-15, and 2015-16.</t>
  </si>
  <si>
    <t>Enterprise-Ozark Community College</t>
  </si>
  <si>
    <t>Met the criteria for Two-Year 3 in 2015-16.</t>
  </si>
  <si>
    <t>Met the criteria for Two-Year 2 in 2015-16.</t>
  </si>
  <si>
    <t>Met the criteria for Four-Year 3 in 2014-15 and 2015-16.</t>
  </si>
  <si>
    <t>University of Kentucky</t>
  </si>
  <si>
    <t>University of Louisville</t>
  </si>
  <si>
    <t xml:space="preserve">Eastern Kentucky University </t>
  </si>
  <si>
    <t xml:space="preserve">Morehead State University </t>
  </si>
  <si>
    <t xml:space="preserve">Murray State University </t>
  </si>
  <si>
    <t xml:space="preserve">Northern Kentucky University </t>
  </si>
  <si>
    <t xml:space="preserve">Western Kentucky University </t>
  </si>
  <si>
    <t xml:space="preserve">Kentucky State University </t>
  </si>
  <si>
    <t>Bluegrass Community and Technical College</t>
  </si>
  <si>
    <t xml:space="preserve">Jefferson Community and Technical College </t>
  </si>
  <si>
    <t>Ashland Community and Technical College</t>
  </si>
  <si>
    <t xml:space="preserve">Big Sandy Community and Technical College </t>
  </si>
  <si>
    <t xml:space="preserve">Elizabethtown Community and Technical College </t>
  </si>
  <si>
    <t>Hazard Community and Technical College</t>
  </si>
  <si>
    <t xml:space="preserve">Hopkinsville Community College </t>
  </si>
  <si>
    <t>Madisonville Community College</t>
  </si>
  <si>
    <t xml:space="preserve">Maysville Community and Technical College </t>
  </si>
  <si>
    <t xml:space="preserve">Owensboro Community and Technical College </t>
  </si>
  <si>
    <t xml:space="preserve">Somerset Community and Technical College </t>
  </si>
  <si>
    <t>Southeast Kentucky Community and Technical College</t>
  </si>
  <si>
    <t>West Kentucky Community and Technical College</t>
  </si>
  <si>
    <t xml:space="preserve">Henderson Community College </t>
  </si>
  <si>
    <t>Gateway Community and Technical College</t>
  </si>
  <si>
    <t>Southcentral Kentucky Community and Technical College</t>
  </si>
  <si>
    <t>Louisiana State University and A&amp;M College</t>
  </si>
  <si>
    <t xml:space="preserve">Louisiana Tech University </t>
  </si>
  <si>
    <t>quar</t>
  </si>
  <si>
    <t>University of Louisiana at Lafayette</t>
  </si>
  <si>
    <t>University of New Orleans</t>
  </si>
  <si>
    <t xml:space="preserve">Southeastern Louisiana University </t>
  </si>
  <si>
    <t xml:space="preserve">Southern University and A&amp;M College at Baton Rouge </t>
  </si>
  <si>
    <t>University of Louisiana at Monroe</t>
  </si>
  <si>
    <t>Grambling State University</t>
  </si>
  <si>
    <t>Louisiana State University in Shreveport</t>
  </si>
  <si>
    <t>McNeese State University</t>
  </si>
  <si>
    <t xml:space="preserve">Nicholls State University </t>
  </si>
  <si>
    <t>Northwestern State University</t>
  </si>
  <si>
    <t>Southern University at New Orleans</t>
  </si>
  <si>
    <t>Louisiana State University at Alexandria</t>
  </si>
  <si>
    <t>Baton Rouge Community College</t>
  </si>
  <si>
    <t>Bossier Parish Community College</t>
  </si>
  <si>
    <t xml:space="preserve">Delgado Community College </t>
  </si>
  <si>
    <t>Louisiana Delta Community College</t>
  </si>
  <si>
    <t>Louisiana State University at Eunice</t>
  </si>
  <si>
    <t>South Louisiana Community College</t>
  </si>
  <si>
    <t>Southern University in Shreveport</t>
  </si>
  <si>
    <t>Nunez Community College</t>
  </si>
  <si>
    <t>River Parishes Community College</t>
  </si>
  <si>
    <t>Central LA Technical College</t>
  </si>
  <si>
    <t xml:space="preserve">     </t>
  </si>
  <si>
    <t>L.E. Fletcher Technical Community College</t>
  </si>
  <si>
    <t>Northshore Technical College</t>
  </si>
  <si>
    <t>Northwest LA Technical College</t>
  </si>
  <si>
    <t>South Central LA Technical College</t>
  </si>
  <si>
    <t>Sowela Technical Community College</t>
  </si>
  <si>
    <t xml:space="preserve">Reclassified: Met the criteria for Two-Year 3 in 2013-14, 2014-15, and 2015-16. </t>
  </si>
  <si>
    <t>University of Maryland College Park</t>
  </si>
  <si>
    <t>Morgan State University</t>
  </si>
  <si>
    <t>University of Maryland, Baltimore County</t>
  </si>
  <si>
    <t xml:space="preserve">Towson University </t>
  </si>
  <si>
    <t xml:space="preserve">Bowie State University </t>
  </si>
  <si>
    <t xml:space="preserve">Frostburg State University </t>
  </si>
  <si>
    <t xml:space="preserve">Salisbury University </t>
  </si>
  <si>
    <t>University of Baltimore</t>
  </si>
  <si>
    <t xml:space="preserve">University of Maryland Eastern Shore </t>
  </si>
  <si>
    <t>Coppin State University</t>
  </si>
  <si>
    <t>Saint Mary's College of Maryland</t>
  </si>
  <si>
    <t xml:space="preserve">Anne Arundel Community College </t>
  </si>
  <si>
    <t>College of Southern Maryland</t>
  </si>
  <si>
    <t>Community College of Baltimore County (all campuses)</t>
  </si>
  <si>
    <t xml:space="preserve">Howard Community College </t>
  </si>
  <si>
    <t>Montgomery College (all campuses)</t>
  </si>
  <si>
    <t xml:space="preserve">Prince George's Community College </t>
  </si>
  <si>
    <t>Allegany College of Maryland</t>
  </si>
  <si>
    <t>Baltimore City Community College</t>
  </si>
  <si>
    <t>Carroll Community College</t>
  </si>
  <si>
    <t xml:space="preserve">Frederick Community College </t>
  </si>
  <si>
    <t xml:space="preserve">Hagerstown Community College </t>
  </si>
  <si>
    <t xml:space="preserve">Harford Community College </t>
  </si>
  <si>
    <t xml:space="preserve">Wor-Wic Community College </t>
  </si>
  <si>
    <t xml:space="preserve">Cecil Community College </t>
  </si>
  <si>
    <t xml:space="preserve">Chesapeake College </t>
  </si>
  <si>
    <t xml:space="preserve">Garrett College </t>
  </si>
  <si>
    <t>Asheville-Buncombe Technical Community College</t>
  </si>
  <si>
    <t>Cape Fear Community College</t>
  </si>
  <si>
    <t xml:space="preserve">Central Piedmont Community College </t>
  </si>
  <si>
    <t>Fayetteville Technical Community College</t>
  </si>
  <si>
    <t>Forsyth Technical Community College</t>
  </si>
  <si>
    <t>Guilford Technical Community College</t>
  </si>
  <si>
    <t>Pitt Community College</t>
  </si>
  <si>
    <t>Rowan-Cabarrus Community College</t>
  </si>
  <si>
    <t>Wake Technical Community College</t>
  </si>
  <si>
    <t>Alamance Community College</t>
  </si>
  <si>
    <t>Caldwell Community College &amp; Technical Institute</t>
  </si>
  <si>
    <t>Catawba Valley Community College</t>
  </si>
  <si>
    <t>Central Carolina Commuity College</t>
  </si>
  <si>
    <t>Cleveland Community College</t>
  </si>
  <si>
    <t xml:space="preserve">Coastal Carolina Community College </t>
  </si>
  <si>
    <t xml:space="preserve">Craven Community College </t>
  </si>
  <si>
    <t xml:space="preserve">Davidson County Community College </t>
  </si>
  <si>
    <t>Durham Technical Community College</t>
  </si>
  <si>
    <t>Edgecombe Community College</t>
  </si>
  <si>
    <t xml:space="preserve">Gaston College </t>
  </si>
  <si>
    <t>Johnston Community College</t>
  </si>
  <si>
    <t xml:space="preserve">Lenoir Community College </t>
  </si>
  <si>
    <t xml:space="preserve">Mitchell Community College </t>
  </si>
  <si>
    <t>Nash Community College</t>
  </si>
  <si>
    <t>Randolph Community College</t>
  </si>
  <si>
    <t>Richmond Community College</t>
  </si>
  <si>
    <t>Robeson Community College</t>
  </si>
  <si>
    <t xml:space="preserve">Sandhills Community College </t>
  </si>
  <si>
    <t>Stanly Community College</t>
  </si>
  <si>
    <t xml:space="preserve">Surry Community College </t>
  </si>
  <si>
    <t xml:space="preserve">Vance-Granville Community College </t>
  </si>
  <si>
    <t>Wayne Community College</t>
  </si>
  <si>
    <t xml:space="preserve">Western Piedmont Community College </t>
  </si>
  <si>
    <t xml:space="preserve">Wilkes Community College </t>
  </si>
  <si>
    <t xml:space="preserve">Beaufort County Community College </t>
  </si>
  <si>
    <t>Bladen Community College</t>
  </si>
  <si>
    <t>Blue Ridge Community College</t>
  </si>
  <si>
    <t>Brunswick Community College</t>
  </si>
  <si>
    <t>Carteret Community College</t>
  </si>
  <si>
    <t>College of the Albemarle</t>
  </si>
  <si>
    <t xml:space="preserve">Halifax Community College </t>
  </si>
  <si>
    <t>Haywood Community College</t>
  </si>
  <si>
    <t xml:space="preserve">Isothermal Community College </t>
  </si>
  <si>
    <t>James Sprunt Community College</t>
  </si>
  <si>
    <t xml:space="preserve">Martin Community College </t>
  </si>
  <si>
    <t>Mayland Community College</t>
  </si>
  <si>
    <t>McDowell Technical Community College</t>
  </si>
  <si>
    <t>Montgomery Community College</t>
  </si>
  <si>
    <t>Pamlico Community College</t>
  </si>
  <si>
    <t>Piedmont Community College</t>
  </si>
  <si>
    <t>Roanoke-Chowan Community College</t>
  </si>
  <si>
    <t xml:space="preserve">Rockingham Community College </t>
  </si>
  <si>
    <t>Sampson Community College</t>
  </si>
  <si>
    <t>South Piedmont Community College</t>
  </si>
  <si>
    <t xml:space="preserve">Southeastern Community College </t>
  </si>
  <si>
    <t xml:space="preserve">Southwestern Community College </t>
  </si>
  <si>
    <t xml:space="preserve">Tri-County Community College </t>
  </si>
  <si>
    <t>Wilson Community College</t>
  </si>
  <si>
    <t>West Virginia University</t>
  </si>
  <si>
    <t xml:space="preserve">Marshall University </t>
  </si>
  <si>
    <t>Fairmont State University</t>
  </si>
  <si>
    <t xml:space="preserve">Shepherd University </t>
  </si>
  <si>
    <t xml:space="preserve">Bluefield State College </t>
  </si>
  <si>
    <t xml:space="preserve">Concord University </t>
  </si>
  <si>
    <t xml:space="preserve">Glenville State College </t>
  </si>
  <si>
    <t>West Liberty University</t>
  </si>
  <si>
    <t xml:space="preserve">West Virginia State University </t>
  </si>
  <si>
    <t>West Virginia University Institute of Technology</t>
  </si>
  <si>
    <t>Potomac State College of West Virginia University</t>
  </si>
  <si>
    <t>West Virginia University at Parkersburg</t>
  </si>
  <si>
    <t>New River Community &amp; Technical College</t>
  </si>
  <si>
    <t>Pierpont Community &amp; Technical College</t>
  </si>
  <si>
    <t>Blue Ridge Community &amp; Technical College</t>
  </si>
  <si>
    <t>BridgeValley Community &amp; Technical College</t>
  </si>
  <si>
    <t>New</t>
  </si>
  <si>
    <t>Eastern West Virginia Community &amp; Technical College</t>
  </si>
  <si>
    <t>Mountwest Community &amp; Technical College</t>
  </si>
  <si>
    <t xml:space="preserve">Southern West Virginia Community &amp; Technical College </t>
  </si>
  <si>
    <t>West Virginia Northern Community College</t>
  </si>
  <si>
    <t>Met the criteria for Four-Year 5 in 2014-15 and 2015-16.</t>
  </si>
  <si>
    <t>Reclassified: Met the criteria for Four-Year 6 in 2013-14, 2014-15, and 2015-16.</t>
  </si>
  <si>
    <t>Met the criteria for Two-Year 2 in 2014-15 and 2015-16.</t>
  </si>
  <si>
    <t xml:space="preserve">University of Central Florida </t>
  </si>
  <si>
    <t xml:space="preserve">Florida Atlantic University </t>
  </si>
  <si>
    <t>Florida International University</t>
  </si>
  <si>
    <t xml:space="preserve">Florida State University </t>
  </si>
  <si>
    <t>University of Florida</t>
  </si>
  <si>
    <t xml:space="preserve">University of South Florida </t>
  </si>
  <si>
    <t xml:space="preserve">Florida Agricultural &amp; Mechanical University </t>
  </si>
  <si>
    <t>University of North Florida</t>
  </si>
  <si>
    <t>University of West Florida</t>
  </si>
  <si>
    <t>Florida Gulf Coast University</t>
  </si>
  <si>
    <t>New College of Florida</t>
  </si>
  <si>
    <t xml:space="preserve">Hinds Community College </t>
  </si>
  <si>
    <t xml:space="preserve">Itawamba Community College </t>
  </si>
  <si>
    <t xml:space="preserve">Mississippi Gulf Coast Community College </t>
  </si>
  <si>
    <t xml:space="preserve">Northwest Mississippi Community College </t>
  </si>
  <si>
    <t xml:space="preserve">Copiah-Lincoln Community College </t>
  </si>
  <si>
    <t xml:space="preserve">East Central Community College </t>
  </si>
  <si>
    <t xml:space="preserve">East Mississippi Community College </t>
  </si>
  <si>
    <t xml:space="preserve">Holmes Community College </t>
  </si>
  <si>
    <t xml:space="preserve">Jones County Junior College </t>
  </si>
  <si>
    <t xml:space="preserve">Meridian Community College </t>
  </si>
  <si>
    <t xml:space="preserve">Mississippi Delta Community College </t>
  </si>
  <si>
    <t xml:space="preserve">Northeast Mississippi Community College </t>
  </si>
  <si>
    <t xml:space="preserve">Pearl River Community College </t>
  </si>
  <si>
    <t xml:space="preserve">Coahoma Community College </t>
  </si>
  <si>
    <t>Southwest Mississippi Community College</t>
  </si>
  <si>
    <t>Met the criteria for Two-Year 1 in 2015-16.</t>
  </si>
  <si>
    <t>Oklahoma State University Main Campus</t>
  </si>
  <si>
    <t>University of Oklahoma Norman Campus</t>
  </si>
  <si>
    <t>Northeastern State University</t>
  </si>
  <si>
    <t>University of Central Oklahoma</t>
  </si>
  <si>
    <t xml:space="preserve">Southeastern Oklahoma State University </t>
  </si>
  <si>
    <t xml:space="preserve">Cameron University </t>
  </si>
  <si>
    <t xml:space="preserve">East Central University </t>
  </si>
  <si>
    <t>Langston University</t>
  </si>
  <si>
    <t xml:space="preserve">Northwestern Oklahoma State University </t>
  </si>
  <si>
    <t>Southwestern Oklahoma State University</t>
  </si>
  <si>
    <t xml:space="preserve">Oklahoma Panhandle State University </t>
  </si>
  <si>
    <t>Rogers State University</t>
  </si>
  <si>
    <t>University of Science and Arts of Oklahoma</t>
  </si>
  <si>
    <t xml:space="preserve">Oklahoma State University Technical Branch-Okmulgee </t>
  </si>
  <si>
    <t xml:space="preserve">Oklahoma State University-Oklahoma City </t>
  </si>
  <si>
    <t xml:space="preserve">Oklahoma City Community College </t>
  </si>
  <si>
    <t xml:space="preserve">Rose State College </t>
  </si>
  <si>
    <t xml:space="preserve">Tulsa Community College </t>
  </si>
  <si>
    <t>Carl Albert State College</t>
  </si>
  <si>
    <t xml:space="preserve">Northern Oklahoma College </t>
  </si>
  <si>
    <t xml:space="preserve">Connors State College </t>
  </si>
  <si>
    <t xml:space="preserve">Eastern Oklahoma State College </t>
  </si>
  <si>
    <t xml:space="preserve">Murray State College </t>
  </si>
  <si>
    <t xml:space="preserve">Northeastern Oklahoma A &amp; M College </t>
  </si>
  <si>
    <t>Redlands Community College</t>
  </si>
  <si>
    <t xml:space="preserve">Seminole State College </t>
  </si>
  <si>
    <t xml:space="preserve">Western Oklahoma State College </t>
  </si>
  <si>
    <t>Reclassified: Met the criteria for Two-Year 2 institution in 2013-14, 2014-15, and 2015-16.</t>
  </si>
  <si>
    <t>Reclassified: Met the criteria for Two-Year 3 institution in 2013-14, 2014-15, and 2015-16.</t>
  </si>
  <si>
    <t xml:space="preserve">Texas A&amp;M University </t>
  </si>
  <si>
    <t xml:space="preserve">Texas Tech University </t>
  </si>
  <si>
    <t>University of Houston</t>
  </si>
  <si>
    <t>University of North Texas</t>
  </si>
  <si>
    <t>University of Texas at Arlington</t>
  </si>
  <si>
    <t>University of Texas at Austin</t>
  </si>
  <si>
    <t>University of Texas at Dallas</t>
  </si>
  <si>
    <t>Texas Woman's University</t>
  </si>
  <si>
    <t>University of Texas at El Paso</t>
  </si>
  <si>
    <t>University of Texas at San Antonio</t>
  </si>
  <si>
    <t>Angelo State University</t>
  </si>
  <si>
    <t>Lamar University</t>
  </si>
  <si>
    <t>Midwestern State University</t>
  </si>
  <si>
    <t>Prairie View A&amp;M University</t>
  </si>
  <si>
    <t xml:space="preserve">Sam Houston State University </t>
  </si>
  <si>
    <t>Stephen F. Austin State University</t>
  </si>
  <si>
    <t xml:space="preserve">Sul Ross State University </t>
  </si>
  <si>
    <t>Tarleton State University</t>
  </si>
  <si>
    <t>Texas A&amp;M International University</t>
  </si>
  <si>
    <t>Texas A&amp;M University-Commerce</t>
  </si>
  <si>
    <t xml:space="preserve">Texas A&amp;M University-Corpus Christi </t>
  </si>
  <si>
    <t>Texas A&amp;M University-Kingsville</t>
  </si>
  <si>
    <t xml:space="preserve">Texas Southern University </t>
  </si>
  <si>
    <t>Texas State University</t>
  </si>
  <si>
    <t xml:space="preserve">University of Houston-Clear Lake </t>
  </si>
  <si>
    <t>University of Texas at Tyler</t>
  </si>
  <si>
    <t>University of Texas of the Permian Basin</t>
  </si>
  <si>
    <t>West Texas A&amp;M University</t>
  </si>
  <si>
    <t>Texas A &amp; M University - Central Texas</t>
  </si>
  <si>
    <t>Texas A&amp;M -Texarkana</t>
  </si>
  <si>
    <t>University of Houston-Victoria</t>
  </si>
  <si>
    <t>Sul Ross State University-Rio Grande College</t>
  </si>
  <si>
    <t>Texas A &amp; M University - San Antonio</t>
  </si>
  <si>
    <t>University of Houston-Downtown</t>
  </si>
  <si>
    <t>Texas A&amp;M University at Galveston</t>
  </si>
  <si>
    <t xml:space="preserve">Brazosport College </t>
  </si>
  <si>
    <t xml:space="preserve">Midland College </t>
  </si>
  <si>
    <t>South Texas College</t>
  </si>
  <si>
    <t xml:space="preserve">Amarillo College </t>
  </si>
  <si>
    <t xml:space="preserve">Austin Community College </t>
  </si>
  <si>
    <t xml:space="preserve">Blinn College </t>
  </si>
  <si>
    <t>Brookhaven College  (DCCCD)</t>
  </si>
  <si>
    <t xml:space="preserve">Central Texas College </t>
  </si>
  <si>
    <t>Collin County Community College District</t>
  </si>
  <si>
    <t xml:space="preserve">Del Mar College </t>
  </si>
  <si>
    <t>Eastfield College  (DCCCD)</t>
  </si>
  <si>
    <t>El Centro College  (DCCCD)</t>
  </si>
  <si>
    <t>El Paso County Community College District</t>
  </si>
  <si>
    <t>Houston Community College</t>
  </si>
  <si>
    <t xml:space="preserve">Kilgore College </t>
  </si>
  <si>
    <t xml:space="preserve">Laredo Community College </t>
  </si>
  <si>
    <t>Lone Star College System District</t>
  </si>
  <si>
    <t xml:space="preserve">McLennan Community College </t>
  </si>
  <si>
    <t xml:space="preserve">Navarro College </t>
  </si>
  <si>
    <t>North Central Texas Community College</t>
  </si>
  <si>
    <t>North Lake College  (DCCCD)</t>
  </si>
  <si>
    <t>Northwest Vista College (ACCD)</t>
  </si>
  <si>
    <t>Palo Alto College  (ACCD)</t>
  </si>
  <si>
    <t>Richland College  (DCCCD)</t>
  </si>
  <si>
    <t>San Antonio College (ACCD)</t>
  </si>
  <si>
    <t>San Jacinto College</t>
  </si>
  <si>
    <t xml:space="preserve">South Plains College </t>
  </si>
  <si>
    <t>St. Philip's College  (ACCD)</t>
  </si>
  <si>
    <t>Tarrant County College</t>
  </si>
  <si>
    <t>Trinity Valley Community College</t>
  </si>
  <si>
    <t xml:space="preserve">Tyler Junior College </t>
  </si>
  <si>
    <t xml:space="preserve">Alvin Community College </t>
  </si>
  <si>
    <t xml:space="preserve">Angelina College </t>
  </si>
  <si>
    <t>Cedar Valley College  (DCCCD)</t>
  </si>
  <si>
    <t>Cisco Junior College</t>
  </si>
  <si>
    <t>Coastal Bend College</t>
  </si>
  <si>
    <t>College of the Mainland</t>
  </si>
  <si>
    <t xml:space="preserve">Grayson County College </t>
  </si>
  <si>
    <t>Hill College</t>
  </si>
  <si>
    <t>Howard College (HCJCD)</t>
  </si>
  <si>
    <t>Lamar Institute of Technology</t>
  </si>
  <si>
    <t>Lamar State College-Port Arthur</t>
  </si>
  <si>
    <t xml:space="preserve">Lee College </t>
  </si>
  <si>
    <t>Mountain View College  (DCCCD)</t>
  </si>
  <si>
    <t xml:space="preserve">Northeast Texas Community College </t>
  </si>
  <si>
    <t xml:space="preserve">Odessa College </t>
  </si>
  <si>
    <t>Paris Junior College</t>
  </si>
  <si>
    <t xml:space="preserve">Southwest Texas Junior College </t>
  </si>
  <si>
    <t xml:space="preserve">Temple College </t>
  </si>
  <si>
    <t xml:space="preserve">Texarkana College </t>
  </si>
  <si>
    <t xml:space="preserve">Texas Southmost College </t>
  </si>
  <si>
    <t xml:space="preserve">Texas State Technical College-Harlingen </t>
  </si>
  <si>
    <t>Texas State Technical College-Waco</t>
  </si>
  <si>
    <t xml:space="preserve">Vernon College </t>
  </si>
  <si>
    <t xml:space="preserve">Victoria College </t>
  </si>
  <si>
    <t xml:space="preserve">Weatherford College </t>
  </si>
  <si>
    <t xml:space="preserve">Wharton County Junior College </t>
  </si>
  <si>
    <t xml:space="preserve">Clarendon College </t>
  </si>
  <si>
    <t xml:space="preserve">Frank Phillips College </t>
  </si>
  <si>
    <t xml:space="preserve">Galveston College </t>
  </si>
  <si>
    <t>Lamar State College-Orange</t>
  </si>
  <si>
    <t>Northeast Lakeview College (ACCD)</t>
  </si>
  <si>
    <t>???</t>
  </si>
  <si>
    <t>Panola College</t>
  </si>
  <si>
    <t xml:space="preserve">Ranger College </t>
  </si>
  <si>
    <t>Southwest Collegiate Institute for the Deaf (HCJCD)</t>
  </si>
  <si>
    <t>Texas State Technical College-Marshall</t>
  </si>
  <si>
    <t>Texas State Technical College-West Texas</t>
  </si>
  <si>
    <t xml:space="preserve">Western Texas College </t>
  </si>
  <si>
    <t>Alamo Community College District (ACCD)</t>
  </si>
  <si>
    <t>Dallas County Community College District (DCCD)</t>
  </si>
  <si>
    <t>Howard County Community/Junior College District (HCJCD)</t>
  </si>
  <si>
    <t>University of North Texas at Dallas</t>
  </si>
  <si>
    <t>New fall 2009. No degrees yet granted.</t>
  </si>
  <si>
    <t>University of North Texas at Dallas College of Law</t>
  </si>
  <si>
    <t>New Fall 2014?</t>
  </si>
  <si>
    <t>Met the criteria for Four-Year 1 in 2014-15 and 2015-16.</t>
  </si>
  <si>
    <t>Met the criteria for Four-Year 2 in 2014-15 and 2015-16.</t>
  </si>
  <si>
    <t>228501B</t>
  </si>
  <si>
    <t>University of Arkansas, Fayetteville</t>
  </si>
  <si>
    <t>University of Arkansas at Little Rock</t>
  </si>
  <si>
    <t>Arkansas State University</t>
  </si>
  <si>
    <t>Arkansas Tech University</t>
  </si>
  <si>
    <t xml:space="preserve">University of Central Arkansas </t>
  </si>
  <si>
    <t>Henderson State University</t>
  </si>
  <si>
    <t>Southern Arkansas University</t>
  </si>
  <si>
    <t>University of Arkansas at Monticello</t>
  </si>
  <si>
    <t>University of Arkansas at Fort Smith</t>
  </si>
  <si>
    <t>University of Arkansas at Pine Bluff</t>
  </si>
  <si>
    <t xml:space="preserve">Northwest Arkansas Community College </t>
  </si>
  <si>
    <t>Pulaski Technical College</t>
  </si>
  <si>
    <t>Arkansas State University-Beebe</t>
  </si>
  <si>
    <t>Arkansas Northeastern College</t>
  </si>
  <si>
    <t>Arkansas State University Mountain Home</t>
  </si>
  <si>
    <t>Arkansas State University-Newport</t>
  </si>
  <si>
    <t>Black River Technical College</t>
  </si>
  <si>
    <t>College of the Ouachitas</t>
  </si>
  <si>
    <t>Cossatot Community College of the University of Arkansas</t>
  </si>
  <si>
    <t xml:space="preserve">East Arkansas Community College </t>
  </si>
  <si>
    <t>North Arkansas College</t>
  </si>
  <si>
    <t xml:space="preserve">Ozarka College </t>
  </si>
  <si>
    <t>Phillips Community College of the Univ of Arkansas</t>
  </si>
  <si>
    <t xml:space="preserve">Rich Mountain Community College </t>
  </si>
  <si>
    <t>South Arkansas Community College</t>
  </si>
  <si>
    <t>Southeast Arkansas College</t>
  </si>
  <si>
    <t>Southern Arkansas University Tech</t>
  </si>
  <si>
    <t>University of Arkansas Community College at Batesville</t>
  </si>
  <si>
    <t>University of Arkansas Community College at Hope</t>
  </si>
  <si>
    <t>University of Arkansas Community College at Morrilton</t>
  </si>
  <si>
    <t xml:space="preserve">George Mason University </t>
  </si>
  <si>
    <t xml:space="preserve">Old Dominion University </t>
  </si>
  <si>
    <t>University of Virginia</t>
  </si>
  <si>
    <t xml:space="preserve">Virginia Tech </t>
  </si>
  <si>
    <t>College of William &amp; Mary</t>
  </si>
  <si>
    <t>Virginia Commonwealth University</t>
  </si>
  <si>
    <t>James Madison University</t>
  </si>
  <si>
    <t xml:space="preserve">Longwood University </t>
  </si>
  <si>
    <t xml:space="preserve">Norfolk State University </t>
  </si>
  <si>
    <t>Radford University</t>
  </si>
  <si>
    <t xml:space="preserve">University of Mary Washington </t>
  </si>
  <si>
    <t xml:space="preserve">Virginia State University </t>
  </si>
  <si>
    <t>Christopher Newport University</t>
  </si>
  <si>
    <t xml:space="preserve">University of Virginia's College at Wise </t>
  </si>
  <si>
    <t>J.S. Reynolds Community College</t>
  </si>
  <si>
    <t>John Tyler Community College</t>
  </si>
  <si>
    <t xml:space="preserve">Northern Virginia Community College </t>
  </si>
  <si>
    <t xml:space="preserve">Thomas Nelson Community College </t>
  </si>
  <si>
    <t xml:space="preserve">Tidewater Community College </t>
  </si>
  <si>
    <t xml:space="preserve">Blue Ridge Community College </t>
  </si>
  <si>
    <t xml:space="preserve">Central Virginia Community College </t>
  </si>
  <si>
    <t xml:space="preserve">Danville Community College </t>
  </si>
  <si>
    <t>Germanna Community College</t>
  </si>
  <si>
    <t>Lord Fairfax Community College</t>
  </si>
  <si>
    <t>Mountain Empire Community College</t>
  </si>
  <si>
    <t xml:space="preserve">New River Community College </t>
  </si>
  <si>
    <t xml:space="preserve">Patrick Henry Community College </t>
  </si>
  <si>
    <t xml:space="preserve">Piedmont Virginia Community College </t>
  </si>
  <si>
    <t>Southside Virginia Community College</t>
  </si>
  <si>
    <t xml:space="preserve">Virginia Western Community College </t>
  </si>
  <si>
    <t xml:space="preserve">Wytheville Community College </t>
  </si>
  <si>
    <t xml:space="preserve">D.S. Lancaster Community College </t>
  </si>
  <si>
    <t>Eastern Shore Community College</t>
  </si>
  <si>
    <t>Paul D. Camp Community College</t>
  </si>
  <si>
    <t>Rappahannock Community College</t>
  </si>
  <si>
    <t xml:space="preserve">Richard Bland College </t>
  </si>
  <si>
    <t xml:space="preserve">Southwest Virginia Community College </t>
  </si>
  <si>
    <t xml:space="preserve">Virginia Highlands Community College </t>
  </si>
  <si>
    <t>All Community Colleges except R. Bland</t>
  </si>
  <si>
    <t>All CC - Bland</t>
  </si>
  <si>
    <t>all 8's</t>
  </si>
  <si>
    <t>all 9's</t>
  </si>
  <si>
    <t>Richard Bland College B</t>
  </si>
  <si>
    <t>All'10's except R.B.</t>
  </si>
  <si>
    <t xml:space="preserve">Met the criteria for Two-Year 2 in 2015-16. </t>
  </si>
  <si>
    <t xml:space="preserve">Met the criteria for Two-Year 3 in 2015-16. </t>
  </si>
  <si>
    <t>Reclassified: Met the criteria for Four-Year 1 in 2013-14, 2014-15, and 2015-16.</t>
  </si>
  <si>
    <t>University of Delaware</t>
  </si>
  <si>
    <t>Delaware State University</t>
  </si>
  <si>
    <t>Delaware Technical and Community College--Terry</t>
  </si>
  <si>
    <t xml:space="preserve">Met the criteria for Two-Year 1 in 2015-16. </t>
  </si>
  <si>
    <t>Clemson University</t>
  </si>
  <si>
    <t>University of South Carolina-Columbia</t>
  </si>
  <si>
    <t>College of Charleston</t>
  </si>
  <si>
    <t xml:space="preserve">The Citadel, the Military College of South Carolina </t>
  </si>
  <si>
    <t xml:space="preserve">Winthrop University </t>
  </si>
  <si>
    <t>Coastal Carolina University</t>
  </si>
  <si>
    <t>Met the criteria for Four-Year 4 in 2013-14 and 2014-15.</t>
  </si>
  <si>
    <t xml:space="preserve">Francis Marion University </t>
  </si>
  <si>
    <t xml:space="preserve">South Carolina State University </t>
  </si>
  <si>
    <t>Lander University</t>
  </si>
  <si>
    <t>University of South Carolina-Aiken</t>
  </si>
  <si>
    <t>University of South Carolina-Beaufort</t>
  </si>
  <si>
    <t>University of South Carolina-Upstate</t>
  </si>
  <si>
    <t xml:space="preserve">Florence-Darlington Technical College </t>
  </si>
  <si>
    <t xml:space="preserve">Greenville Technical College </t>
  </si>
  <si>
    <t xml:space="preserve">Horry-Georgetown Technical College </t>
  </si>
  <si>
    <t xml:space="preserve">Midlands Technical College </t>
  </si>
  <si>
    <t xml:space="preserve">Piedmont Technical College </t>
  </si>
  <si>
    <t xml:space="preserve">Tri-County Technical College </t>
  </si>
  <si>
    <t xml:space="preserve">Trident Technical College </t>
  </si>
  <si>
    <t xml:space="preserve">Aiken Technical College </t>
  </si>
  <si>
    <t xml:space="preserve">Central Carolina Technical College </t>
  </si>
  <si>
    <t xml:space="preserve">Orangeburg-Calhoun Technical College </t>
  </si>
  <si>
    <t xml:space="preserve">Spartanburg Community College </t>
  </si>
  <si>
    <t xml:space="preserve">York Technical College </t>
  </si>
  <si>
    <t xml:space="preserve">Denmark Technical College </t>
  </si>
  <si>
    <t xml:space="preserve">Northeastern Technical College </t>
  </si>
  <si>
    <t>Technical College of the Lowcountry</t>
  </si>
  <si>
    <t>University of South Carolina-Lancaster</t>
  </si>
  <si>
    <t>University of South Carolina-Salkehatchie</t>
  </si>
  <si>
    <t>University of South Carolina-Sumter</t>
  </si>
  <si>
    <t>University of South Carolina-Union</t>
  </si>
  <si>
    <t xml:space="preserve">Willamsburg Technical College </t>
  </si>
  <si>
    <t>National Park College</t>
  </si>
  <si>
    <t>Arkansas State University Mid-South</t>
  </si>
  <si>
    <t>University of Texas - Rio Grande Valley</t>
  </si>
  <si>
    <t>Public Four-Year Institutions, 2015-16</t>
  </si>
  <si>
    <t>Public Two-Year Colleges and Technical Institutes or Colleges, 2015-16</t>
  </si>
  <si>
    <t>Public Two-Year Colleges, 2015-16</t>
  </si>
  <si>
    <t>Public Technical Institutes or Colleges, 2015-16</t>
  </si>
  <si>
    <t>March 2017</t>
  </si>
  <si>
    <t>Notes: Full-year full-time-equivalent (FTE) undergraduate enrollment for 2015-16 is estimated by taking the credit hours from calendar year 2015 (i.e. winter, spring, summer and fall terms of 2015) and by dividing total undergraduate semester credit hours by 30 and total undergraduate quarter hours by 45.</t>
  </si>
  <si>
    <t>Notes: Full-year full-time-equivalent (FTE) graduate enrollment for 2015-16 is estimated by taking the credit hours from calendar year 2015 (i.e. winter, spring, summer and fall terms of 2015) and by dividing total graduate semester credit hours by 24 and total graduate quarter hours by 36.</t>
  </si>
  <si>
    <t>Notes: Full-year full-time-equivalent (FTE) enrollment for 2015-16 is estimated by taking the credit hours from calendar year 2015 (i.e. winter, spring, summer and fall terms of 2015), and by dividing total undergraduate semester credit hours by 30; total undergraduate quarter hours by 45; total graduate semester credit hours by 24; and total graduate quarter hours by 36.</t>
  </si>
  <si>
    <r>
      <t>Notes:  Full-year full-time-equivalent (FTE) undergraduate enrollment for 2015-16 is estimated by taking the credit hours from calendar year 2015 (i.e. winter, spring, summer and fall terms of 2015) and by dividing total undergraduate semester credit hours by 30; total undergraduate contact hours by 900 (the equivalent of a 30 hour week);</t>
    </r>
    <r>
      <rPr>
        <sz val="8"/>
        <color rgb="FFFF0000"/>
        <rFont val="Arial"/>
        <family val="2"/>
      </rPr>
      <t xml:space="preserve"> </t>
    </r>
    <r>
      <rPr>
        <sz val="8"/>
        <color theme="1"/>
        <rFont val="Arial"/>
        <family val="2"/>
      </rPr>
      <t>and total graduate semester credit hours by 24</t>
    </r>
    <r>
      <rPr>
        <sz val="8"/>
        <rFont val="Arial"/>
        <family val="2"/>
      </rPr>
      <t xml:space="preserve">. </t>
    </r>
  </si>
  <si>
    <t xml:space="preserve">Notes:  Full-year full-time-equivalent (FTE) undergraduate enrollment for 2015-16 is estimated by taking the credit hours from calendar year 2015 (i.e. winter, spring, summer and fall terms of 2015) and by dividing total undergraduate semester credit hours by 30; total undergraduate quarter hours by 45; total undergraduate contact hours by 900 (the equivalent of a 30 hour week); total graduate semester credit hours by 24; and total graduate quarter hours by 36. </t>
  </si>
  <si>
    <t xml:space="preserve"> and Technical Institutes or Colleges, 2015-16</t>
  </si>
  <si>
    <t>Notes: Full-year full-time-equivalent (FTE) undergraduate enrollment for 2014-15 is estimated by taking the credit hours from calendar year 2014 (i.e. winter, spring, summer and fall terms of 2014) and by dividing total undergraduate semester credit hours by 30 and total undergraduate quarter hours by 45.</t>
  </si>
  <si>
    <t>Notes: Full-year full-time-equivalent (FTE) undergraduate enrollment for 2014-15 is estimated by taking the credit hours from calendar year 2014 (i.e. winter, spring, summer and fall terms of 2014) and by dividing total graduate semester credit hours by 24 and total graduate quarter hours by 36.</t>
  </si>
  <si>
    <t>Notes: Full-year full-time-equivalent (FTE) undergraduate enrollment for 2014-15 is estimated by taking the credit hours from calendar year 2014 (i.e. winter, spring, summer and fall terms of 2014) and by dividing total undergraduate semester credit hours by 30; total undergraduate quarter hours by 45; total graduate semester hours by 24; and total graduate quarter hours by 36.</t>
  </si>
  <si>
    <t xml:space="preserve">Notes:  Full-year full-time-equivalent (FTE) undergraduate enrollment for 2014-15 is estimated by taking the credit hours from calendar year 2014 (i.e. winter, spring, summer and fall terms of 2014) and by dividing total undergraduate semester credit hours by 30; total undergraduate quarter hours by 45; total undergraduate contact hours by 900 (the equivalent of a 30 hour week); total graduate semester credit hours by 24; and total graduate quarter hours by 36.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</si>
</sst>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0_)"/>
    <numFmt numFmtId="165" formatCode="_(* #,##0_);_(* \(#,##0\);_(* &quot;-&quot;??_);_(@_)"/>
    <numFmt numFmtId="166" formatCode="#,##0.0"/>
    <numFmt numFmtId="167" formatCode="General_)"/>
    <numFmt numFmtId="168" formatCode="0.0%"/>
    <numFmt numFmtId="169" formatCode="0.0"/>
    <numFmt numFmtId="170" formatCode="0.000"/>
    <numFmt numFmtId="171" formatCode="#,##0.000"/>
  </numFmts>
  <fonts count="103">
    <font>
      <sz val="8"/>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Garamond"/>
      <family val="3"/>
    </font>
    <font>
      <sz val="12"/>
      <name val="AGaramond"/>
      <family val="1"/>
    </font>
    <font>
      <sz val="8"/>
      <name val="Arial"/>
      <family val="2"/>
    </font>
    <font>
      <sz val="9"/>
      <name val="Arial"/>
      <family val="2"/>
    </font>
    <font>
      <sz val="10"/>
      <name val="Arial"/>
      <family val="2"/>
    </font>
    <font>
      <sz val="14"/>
      <name val="Arial"/>
      <family val="2"/>
    </font>
    <font>
      <sz val="12"/>
      <name val="Arial"/>
      <family val="2"/>
    </font>
    <font>
      <b/>
      <sz val="12"/>
      <name val="Arial"/>
      <family val="2"/>
    </font>
    <font>
      <sz val="8"/>
      <name val="Arial"/>
      <family val="2"/>
    </font>
    <font>
      <b/>
      <sz val="8"/>
      <color indexed="81"/>
      <name val="Tahoma"/>
      <family val="2"/>
    </font>
    <font>
      <sz val="8"/>
      <color indexed="81"/>
      <name val="Tahoma"/>
      <family val="2"/>
    </font>
    <font>
      <b/>
      <sz val="14"/>
      <name val="Arial"/>
      <family val="2"/>
    </font>
    <font>
      <b/>
      <sz val="10"/>
      <name val="Arial"/>
      <family val="2"/>
    </font>
    <font>
      <b/>
      <sz val="9"/>
      <name val="Arial"/>
      <family val="2"/>
    </font>
    <font>
      <b/>
      <sz val="10"/>
      <color indexed="81"/>
      <name val="Tahoma"/>
      <family val="2"/>
    </font>
    <font>
      <sz val="10"/>
      <color indexed="8"/>
      <name val="Arial"/>
      <family val="2"/>
    </font>
    <font>
      <b/>
      <sz val="10"/>
      <color indexed="12"/>
      <name val="Arial"/>
      <family val="2"/>
    </font>
    <font>
      <sz val="10"/>
      <color indexed="10"/>
      <name val="Arial"/>
      <family val="2"/>
    </font>
    <font>
      <sz val="10"/>
      <color indexed="12"/>
      <name val="Arial"/>
      <family val="2"/>
    </font>
    <font>
      <sz val="10"/>
      <color indexed="81"/>
      <name val="Tahoma"/>
      <family val="2"/>
    </font>
    <font>
      <sz val="10"/>
      <color indexed="16"/>
      <name val="Arial"/>
      <family val="2"/>
    </font>
    <font>
      <b/>
      <sz val="9"/>
      <color indexed="12"/>
      <name val="Arial"/>
      <family val="2"/>
    </font>
    <font>
      <sz val="9"/>
      <color indexed="12"/>
      <name val="Arial"/>
      <family val="2"/>
    </font>
    <font>
      <sz val="10"/>
      <name val="Helv"/>
    </font>
    <font>
      <sz val="10"/>
      <name val="Arial"/>
      <family val="2"/>
    </font>
    <font>
      <b/>
      <sz val="10"/>
      <color indexed="8"/>
      <name val="Arial"/>
      <family val="2"/>
    </font>
    <font>
      <b/>
      <sz val="10"/>
      <color rgb="FFC00000"/>
      <name val="ARIAL"/>
      <family val="2"/>
    </font>
    <font>
      <sz val="10"/>
      <color rgb="FFC00000"/>
      <name val="Arial"/>
      <family val="2"/>
    </font>
    <font>
      <sz val="10"/>
      <color indexed="17"/>
      <name val="Arial"/>
      <family val="2"/>
    </font>
    <font>
      <sz val="10"/>
      <color rgb="FF0000FF"/>
      <name val="Arial"/>
      <family val="2"/>
    </font>
    <font>
      <b/>
      <sz val="14"/>
      <color rgb="FFC00000"/>
      <name val="Arial"/>
      <family val="2"/>
    </font>
    <font>
      <sz val="10"/>
      <name val="Calibri"/>
      <family val="2"/>
    </font>
    <font>
      <sz val="10"/>
      <color theme="0"/>
      <name val="Arial"/>
      <family val="2"/>
    </font>
    <font>
      <b/>
      <sz val="10"/>
      <color theme="0"/>
      <name val="Arial"/>
      <family val="2"/>
    </font>
    <font>
      <b/>
      <sz val="10"/>
      <color rgb="FF0000FF"/>
      <name val="Arial"/>
      <family val="2"/>
    </font>
    <font>
      <b/>
      <sz val="12"/>
      <color rgb="FF0000FF"/>
      <name val="Arial"/>
      <family val="2"/>
    </font>
    <font>
      <b/>
      <sz val="14"/>
      <color theme="0"/>
      <name val="Arial"/>
      <family val="2"/>
    </font>
    <font>
      <b/>
      <sz val="10"/>
      <color rgb="FFFF0000"/>
      <name val="Arial"/>
      <family val="2"/>
    </font>
    <font>
      <sz val="10"/>
      <color theme="1"/>
      <name val="Arial"/>
      <family val="2"/>
    </font>
    <font>
      <sz val="11"/>
      <color indexed="8"/>
      <name val="Calibri"/>
      <family val="2"/>
    </font>
    <font>
      <sz val="10"/>
      <name val="Courier"/>
      <family val="3"/>
    </font>
    <font>
      <sz val="12"/>
      <name val="AGaramond"/>
      <family val="1"/>
    </font>
    <font>
      <sz val="10"/>
      <color rgb="FF000000"/>
      <name val="Times New Roman"/>
      <family val="1"/>
    </font>
    <font>
      <sz val="10"/>
      <color rgb="FF000000"/>
      <name val="Times New Roman"/>
      <family val="1"/>
    </font>
    <font>
      <sz val="8"/>
      <color rgb="FFFF0000"/>
      <name val="Arial"/>
      <family val="2"/>
    </font>
    <font>
      <sz val="8"/>
      <color theme="1"/>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AGaramond"/>
    </font>
    <font>
      <sz val="10"/>
      <name val="Arial"/>
      <family val="2"/>
    </font>
    <font>
      <sz val="10"/>
      <color rgb="FFFFFF00"/>
      <name val="Arial"/>
      <family val="2"/>
    </font>
    <font>
      <sz val="10"/>
      <name val="Arial"/>
      <family val="2"/>
    </font>
    <font>
      <b/>
      <sz val="10"/>
      <name val="Arial"/>
      <family val="2"/>
    </font>
    <font>
      <b/>
      <sz val="8"/>
      <name val="Times New Roman"/>
      <family val="1"/>
    </font>
    <font>
      <b/>
      <sz val="8"/>
      <color rgb="FFC00000"/>
      <name val="Times New Roman"/>
      <family val="1"/>
    </font>
    <font>
      <sz val="9"/>
      <color indexed="81"/>
      <name val="Tahoma"/>
      <family val="2"/>
    </font>
    <font>
      <b/>
      <sz val="9"/>
      <color indexed="81"/>
      <name val="Tahoma"/>
      <family val="2"/>
    </font>
    <font>
      <b/>
      <sz val="8"/>
      <color rgb="FFFF0000"/>
      <name val="Times New Roman"/>
      <family val="1"/>
    </font>
    <font>
      <sz val="10"/>
      <color rgb="FFFF0000"/>
      <name val="Arial"/>
      <family val="2"/>
    </font>
    <font>
      <sz val="8"/>
      <name val="Times New Roman"/>
      <family val="1"/>
    </font>
    <font>
      <b/>
      <sz val="10"/>
      <name val="Times New Roman"/>
      <family val="1"/>
    </font>
    <font>
      <b/>
      <sz val="10"/>
      <color rgb="FFC00000"/>
      <name val="Times New Roman"/>
      <family val="1"/>
    </font>
    <font>
      <sz val="11"/>
      <name val="Calibri"/>
      <family val="2"/>
    </font>
    <font>
      <sz val="10"/>
      <color rgb="FF000000"/>
      <name val="Arial"/>
      <family val="2"/>
    </font>
    <font>
      <sz val="10"/>
      <name val="AGaramond"/>
    </font>
    <font>
      <sz val="10"/>
      <color rgb="FF0000FF"/>
      <name val="AGaramond"/>
    </font>
    <font>
      <b/>
      <sz val="9"/>
      <color indexed="81"/>
      <name val="Tahoma"/>
      <charset val="1"/>
    </font>
    <font>
      <sz val="9"/>
      <color indexed="81"/>
      <name val="Tahoma"/>
      <charset val="1"/>
    </font>
  </fonts>
  <fills count="65">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1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B2A1C7"/>
        <bgColor indexed="64"/>
      </patternFill>
    </fill>
    <fill>
      <patternFill patternType="solid">
        <fgColor theme="0"/>
        <bgColor indexed="64"/>
      </patternFill>
    </fill>
    <fill>
      <patternFill patternType="solid">
        <fgColor rgb="FFC00000"/>
        <bgColor indexed="64"/>
      </patternFill>
    </fill>
    <fill>
      <patternFill patternType="solid">
        <fgColor rgb="FFFFFF00"/>
        <bgColor indexed="64"/>
      </patternFill>
    </fill>
    <fill>
      <patternFill patternType="solid">
        <fgColor rgb="FFCCFFCC"/>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5"/>
        <bgColor indexed="64"/>
      </patternFill>
    </fill>
    <fill>
      <patternFill patternType="solid">
        <fgColor rgb="FFFF99CC"/>
        <bgColor indexed="64"/>
      </patternFill>
    </fill>
    <fill>
      <patternFill patternType="solid">
        <fgColor indexed="44"/>
        <bgColor indexed="64"/>
      </patternFill>
    </fill>
    <fill>
      <patternFill patternType="solid">
        <fgColor indexed="44"/>
        <bgColor indexed="42"/>
      </patternFill>
    </fill>
    <fill>
      <patternFill patternType="solid">
        <fgColor indexed="15"/>
        <bgColor indexed="64"/>
      </patternFill>
    </fill>
    <fill>
      <patternFill patternType="solid">
        <fgColor indexed="43"/>
        <bgColor indexed="64"/>
      </patternFill>
    </fill>
    <fill>
      <patternFill patternType="solid">
        <fgColor indexed="46"/>
        <bgColor indexed="64"/>
      </patternFill>
    </fill>
    <fill>
      <patternFill patternType="solid">
        <fgColor indexed="47"/>
        <bgColor indexed="42"/>
      </patternFill>
    </fill>
    <fill>
      <patternFill patternType="solid">
        <fgColor indexed="51"/>
        <bgColor indexed="64"/>
      </patternFill>
    </fill>
    <fill>
      <patternFill patternType="solid">
        <fgColor rgb="FF00FF00"/>
        <bgColor indexed="64"/>
      </patternFill>
    </fill>
    <fill>
      <patternFill patternType="solid">
        <fgColor rgb="FFFFCC00"/>
        <bgColor indexed="64"/>
      </patternFill>
    </fill>
    <fill>
      <patternFill patternType="solid">
        <fgColor indexed="43"/>
        <bgColor indexed="42"/>
      </patternFill>
    </fill>
    <fill>
      <patternFill patternType="solid">
        <fgColor rgb="FF00FFFF"/>
        <bgColor indexed="64"/>
      </patternFill>
    </fill>
    <fill>
      <patternFill patternType="solid">
        <fgColor indexed="15"/>
        <bgColor indexed="42"/>
      </patternFill>
    </fill>
    <fill>
      <patternFill patternType="solid">
        <fgColor indexed="45"/>
        <bgColor indexed="42"/>
      </patternFill>
    </fill>
    <fill>
      <patternFill patternType="solid">
        <fgColor indexed="42"/>
        <bgColor indexed="42"/>
      </patternFill>
    </fill>
    <fill>
      <patternFill patternType="solid">
        <fgColor indexed="22"/>
        <bgColor indexed="64"/>
      </patternFill>
    </fill>
    <fill>
      <patternFill patternType="solid">
        <fgColor indexed="50"/>
        <bgColor indexed="64"/>
      </patternFill>
    </fill>
    <fill>
      <patternFill patternType="solid">
        <fgColor theme="9" tint="0.79998168889431442"/>
        <bgColor indexed="64"/>
      </patternFill>
    </fill>
    <fill>
      <patternFill patternType="solid">
        <fgColor indexed="49"/>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rgb="FF92D050"/>
        <bgColor indexed="64"/>
      </patternFill>
    </fill>
    <fill>
      <patternFill patternType="solid">
        <fgColor rgb="FF00FFFF"/>
        <bgColor indexed="42"/>
      </patternFill>
    </fill>
    <fill>
      <patternFill patternType="solid">
        <fgColor theme="5" tint="0.59999389629810485"/>
        <bgColor indexed="64"/>
      </patternFill>
    </fill>
    <fill>
      <patternFill patternType="solid">
        <fgColor rgb="FFFFFFCC"/>
        <bgColor indexed="64"/>
      </patternFill>
    </fill>
    <fill>
      <patternFill patternType="solid">
        <fgColor rgb="FFFFC000"/>
        <bgColor indexed="64"/>
      </patternFill>
    </fill>
  </fills>
  <borders count="91">
    <border>
      <left/>
      <right/>
      <top/>
      <bottom/>
      <diagonal/>
    </border>
    <border>
      <left style="medium">
        <color indexed="64"/>
      </left>
      <right style="medium">
        <color indexed="64"/>
      </right>
      <top/>
      <bottom/>
      <diagonal/>
    </border>
    <border>
      <left style="thin">
        <color indexed="8"/>
      </left>
      <right/>
      <top style="thin">
        <color indexed="65"/>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8"/>
      </left>
      <right/>
      <top/>
      <bottom/>
      <diagonal/>
    </border>
    <border>
      <left style="thin">
        <color indexed="8"/>
      </left>
      <right/>
      <top/>
      <bottom style="thin">
        <color indexed="64"/>
      </bottom>
      <diagonal/>
    </border>
    <border>
      <left/>
      <right style="thin">
        <color indexed="8"/>
      </right>
      <top/>
      <bottom/>
      <diagonal/>
    </border>
    <border>
      <left/>
      <right style="thin">
        <color indexed="8"/>
      </right>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8"/>
      </top>
      <bottom style="thin">
        <color indexed="64"/>
      </bottom>
      <diagonal/>
    </border>
    <border>
      <left style="thin">
        <color indexed="8"/>
      </left>
      <right/>
      <top style="thin">
        <color indexed="8"/>
      </top>
      <bottom/>
      <diagonal/>
    </border>
    <border>
      <left/>
      <right style="thin">
        <color indexed="8"/>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right style="thin">
        <color indexed="64"/>
      </right>
      <top style="thin">
        <color indexed="64"/>
      </top>
      <bottom/>
      <diagonal/>
    </border>
    <border>
      <left style="thin">
        <color indexed="64"/>
      </left>
      <right/>
      <top style="thin">
        <color indexed="8"/>
      </top>
      <bottom/>
      <diagonal/>
    </border>
    <border>
      <left style="thin">
        <color indexed="64"/>
      </left>
      <right/>
      <top style="thin">
        <color indexed="8"/>
      </top>
      <bottom style="thin">
        <color indexed="8"/>
      </bottom>
      <diagonal/>
    </border>
    <border>
      <left style="double">
        <color indexed="64"/>
      </left>
      <right/>
      <top style="thin">
        <color indexed="64"/>
      </top>
      <bottom style="thin">
        <color indexed="64"/>
      </bottom>
      <diagonal/>
    </border>
    <border>
      <left style="thin">
        <color indexed="64"/>
      </left>
      <right/>
      <top style="thin">
        <color indexed="64"/>
      </top>
      <bottom/>
      <diagonal/>
    </border>
    <border>
      <left style="double">
        <color indexed="64"/>
      </left>
      <right/>
      <top/>
      <bottom/>
      <diagonal/>
    </border>
    <border>
      <left style="thin">
        <color indexed="64"/>
      </left>
      <right/>
      <top style="thin">
        <color indexed="8"/>
      </top>
      <bottom style="thin">
        <color indexed="64"/>
      </bottom>
      <diagonal/>
    </border>
    <border>
      <left style="thin">
        <color indexed="65"/>
      </left>
      <right/>
      <top style="thin">
        <color indexed="65"/>
      </top>
      <bottom/>
      <diagonal/>
    </border>
    <border>
      <left style="thin">
        <color indexed="8"/>
      </left>
      <right style="thin">
        <color indexed="8"/>
      </right>
      <top style="thin">
        <color indexed="65"/>
      </top>
      <bottom/>
      <diagonal/>
    </border>
    <border>
      <left style="thin">
        <color indexed="8"/>
      </left>
      <right style="thin">
        <color indexed="8"/>
      </right>
      <top/>
      <bottom/>
      <diagonal/>
    </border>
    <border>
      <left style="thin">
        <color indexed="8"/>
      </left>
      <right/>
      <top style="thin">
        <color indexed="65"/>
      </top>
      <bottom style="thin">
        <color indexed="64"/>
      </bottom>
      <diagonal/>
    </border>
    <border>
      <left style="thin">
        <color indexed="8"/>
      </left>
      <right style="thin">
        <color indexed="8"/>
      </right>
      <top/>
      <bottom style="thin">
        <color indexed="64"/>
      </bottom>
      <diagonal/>
    </border>
    <border>
      <left style="thin">
        <color indexed="64"/>
      </left>
      <right/>
      <top/>
      <bottom style="thin">
        <color indexed="8"/>
      </bottom>
      <diagonal/>
    </border>
    <border>
      <left style="thin">
        <color indexed="64"/>
      </left>
      <right style="thin">
        <color indexed="64"/>
      </right>
      <top/>
      <bottom/>
      <diagonal/>
    </border>
    <border>
      <left style="thin">
        <color indexed="8"/>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style="thin">
        <color indexed="8"/>
      </left>
      <right style="thin">
        <color indexed="8"/>
      </right>
      <top style="thin">
        <color indexed="64"/>
      </top>
      <bottom/>
      <diagonal/>
    </border>
    <border>
      <left/>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style="thin">
        <color indexed="64"/>
      </right>
      <top/>
      <bottom/>
      <diagonal/>
    </border>
    <border>
      <left/>
      <right style="medium">
        <color indexed="64"/>
      </right>
      <top/>
      <bottom/>
      <diagonal/>
    </border>
    <border>
      <left style="double">
        <color indexed="64"/>
      </left>
      <right style="thin">
        <color indexed="64"/>
      </right>
      <top/>
      <bottom/>
      <diagonal/>
    </border>
    <border>
      <left style="thin">
        <color indexed="64"/>
      </left>
      <right style="double">
        <color indexed="64"/>
      </right>
      <top/>
      <bottom/>
      <diagonal/>
    </border>
    <border>
      <left style="medium">
        <color indexed="64"/>
      </left>
      <right style="medium">
        <color indexed="64"/>
      </right>
      <top style="medium">
        <color indexed="64"/>
      </top>
      <bottom style="medium">
        <color indexed="64"/>
      </bottom>
      <diagonal/>
    </border>
    <border>
      <left style="thin">
        <color indexed="8"/>
      </left>
      <right style="thin">
        <color indexed="64"/>
      </right>
      <top/>
      <bottom/>
      <diagonal/>
    </border>
    <border>
      <left/>
      <right/>
      <top style="thin">
        <color indexed="64"/>
      </top>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style="thin">
        <color indexed="8"/>
      </right>
      <top style="thin">
        <color indexed="8"/>
      </top>
      <bottom/>
      <diagonal/>
    </border>
    <border>
      <left/>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style="thin">
        <color indexed="64"/>
      </left>
      <right/>
      <top style="thin">
        <color indexed="8"/>
      </top>
      <bottom/>
      <diagonal/>
    </border>
    <border>
      <left style="thin">
        <color indexed="8"/>
      </left>
      <right style="thin">
        <color indexed="64"/>
      </right>
      <top style="thin">
        <color indexed="8"/>
      </top>
      <bottom/>
      <diagonal/>
    </border>
    <border>
      <left style="thin">
        <color indexed="64"/>
      </left>
      <right/>
      <top style="thin">
        <color indexed="8"/>
      </top>
      <bottom style="thin">
        <color indexed="64"/>
      </bottom>
      <diagonal/>
    </border>
    <border>
      <left/>
      <right/>
      <top style="thin">
        <color indexed="8"/>
      </top>
      <bottom style="thin">
        <color indexed="8"/>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auto="1"/>
      </top>
      <bottom/>
      <diagonal/>
    </border>
    <border>
      <left/>
      <right style="thin">
        <color indexed="64"/>
      </right>
      <top style="thin">
        <color indexed="64"/>
      </top>
      <bottom/>
      <diagonal/>
    </border>
    <border>
      <left style="medium">
        <color indexed="64"/>
      </left>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style="thin">
        <color rgb="FF999999"/>
      </right>
      <top style="thin">
        <color rgb="FF999999"/>
      </top>
      <bottom/>
      <diagonal/>
    </border>
    <border>
      <left style="thin">
        <color rgb="FF999999"/>
      </left>
      <right style="thin">
        <color rgb="FF999999"/>
      </right>
      <top style="thin">
        <color indexed="65"/>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indexed="64"/>
      </bottom>
      <diagonal/>
    </border>
    <border>
      <left style="thin">
        <color rgb="FF999999"/>
      </left>
      <right style="thin">
        <color rgb="FF999999"/>
      </right>
      <top style="thin">
        <color rgb="FF999999"/>
      </top>
      <bottom style="thin">
        <color indexed="64"/>
      </bottom>
      <diagonal/>
    </border>
  </borders>
  <cellStyleXfs count="26069">
    <xf numFmtId="3" fontId="0" fillId="0" borderId="0"/>
    <xf numFmtId="43" fontId="22" fillId="0" borderId="0" applyFont="0" applyFill="0" applyBorder="0" applyAlignment="0" applyProtection="0"/>
    <xf numFmtId="167" fontId="44" fillId="0" borderId="0"/>
    <xf numFmtId="167" fontId="44" fillId="0" borderId="0"/>
    <xf numFmtId="3" fontId="23" fillId="0" borderId="0"/>
    <xf numFmtId="3" fontId="23" fillId="0" borderId="0"/>
    <xf numFmtId="3" fontId="23" fillId="0" borderId="0"/>
    <xf numFmtId="9" fontId="22" fillId="0" borderId="0" applyFont="0" applyFill="0" applyBorder="0" applyAlignment="0" applyProtection="0"/>
    <xf numFmtId="3" fontId="25" fillId="0" borderId="1" applyFont="0"/>
    <xf numFmtId="164" fontId="33" fillId="0" borderId="2" applyNumberFormat="0" applyFont="0" applyBorder="0" applyAlignment="0"/>
    <xf numFmtId="164" fontId="2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43" fontId="22" fillId="0" borderId="0" applyFont="0" applyFill="0" applyBorder="0" applyAlignment="0" applyProtection="0"/>
    <xf numFmtId="164" fontId="22" fillId="0" borderId="0"/>
    <xf numFmtId="43" fontId="21" fillId="0" borderId="0" applyFont="0" applyFill="0" applyBorder="0" applyAlignment="0" applyProtection="0"/>
    <xf numFmtId="0" fontId="25" fillId="0" borderId="0"/>
    <xf numFmtId="164" fontId="22" fillId="0" borderId="0"/>
    <xf numFmtId="0" fontId="25" fillId="0" borderId="0"/>
    <xf numFmtId="0" fontId="25" fillId="0" borderId="0"/>
    <xf numFmtId="0" fontId="59" fillId="0" borderId="0"/>
    <xf numFmtId="9" fontId="59" fillId="0" borderId="0" applyFont="0" applyFill="0" applyBorder="0" applyAlignment="0" applyProtection="0"/>
    <xf numFmtId="9" fontId="22" fillId="0" borderId="0" applyFont="0" applyFill="0" applyBorder="0" applyAlignment="0" applyProtection="0"/>
    <xf numFmtId="164" fontId="22" fillId="0" borderId="0"/>
    <xf numFmtId="0" fontId="20" fillId="0" borderId="0"/>
    <xf numFmtId="0" fontId="59" fillId="0" borderId="0"/>
    <xf numFmtId="9" fontId="59" fillId="0" borderId="0" applyFont="0" applyFill="0" applyBorder="0" applyAlignment="0" applyProtection="0"/>
    <xf numFmtId="43" fontId="59" fillId="0" borderId="0" applyFont="0" applyFill="0" applyBorder="0" applyAlignment="0" applyProtection="0"/>
    <xf numFmtId="0" fontId="60" fillId="0" borderId="0"/>
    <xf numFmtId="0" fontId="60" fillId="0" borderId="0"/>
    <xf numFmtId="0" fontId="60" fillId="0" borderId="0"/>
    <xf numFmtId="0" fontId="60" fillId="0" borderId="0"/>
    <xf numFmtId="0" fontId="36" fillId="0" borderId="0"/>
    <xf numFmtId="0" fontId="36" fillId="0" borderId="0">
      <alignment vertical="top"/>
    </xf>
    <xf numFmtId="0" fontId="25" fillId="0" borderId="0"/>
    <xf numFmtId="0" fontId="25" fillId="0" borderId="0"/>
    <xf numFmtId="0" fontId="20" fillId="0" borderId="0"/>
    <xf numFmtId="43" fontId="2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61" fillId="0" borderId="0">
      <alignment horizontal="left" wrapText="1"/>
    </xf>
    <xf numFmtId="0" fontId="59" fillId="0" borderId="0"/>
    <xf numFmtId="0" fontId="27" fillId="0" borderId="0"/>
    <xf numFmtId="0" fontId="25" fillId="0" borderId="0"/>
    <xf numFmtId="0" fontId="25" fillId="0" borderId="0"/>
    <xf numFmtId="0" fontId="25" fillId="0" borderId="0"/>
    <xf numFmtId="0" fontId="20" fillId="0" borderId="0"/>
    <xf numFmtId="0" fontId="25" fillId="0" borderId="0"/>
    <xf numFmtId="0" fontId="25" fillId="0" borderId="0"/>
    <xf numFmtId="0" fontId="25" fillId="0" borderId="0"/>
    <xf numFmtId="0" fontId="25" fillId="0" borderId="0"/>
    <xf numFmtId="0" fontId="25" fillId="0" borderId="0"/>
    <xf numFmtId="0" fontId="25" fillId="0" borderId="0"/>
    <xf numFmtId="164" fontId="62" fillId="0" borderId="0"/>
    <xf numFmtId="164" fontId="62" fillId="0" borderId="0"/>
    <xf numFmtId="164" fontId="21" fillId="0" borderId="0"/>
    <xf numFmtId="9" fontId="21" fillId="0" borderId="0" applyFont="0" applyFill="0" applyBorder="0" applyAlignment="0" applyProtection="0"/>
    <xf numFmtId="43" fontId="21"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4" fontId="62" fillId="0" borderId="0"/>
    <xf numFmtId="0" fontId="19" fillId="0" borderId="0"/>
    <xf numFmtId="0" fontId="19" fillId="0" borderId="0"/>
    <xf numFmtId="0" fontId="19" fillId="0" borderId="0"/>
    <xf numFmtId="3" fontId="25" fillId="0" borderId="1" applyFont="0"/>
    <xf numFmtId="0" fontId="25" fillId="0" borderId="0"/>
    <xf numFmtId="0" fontId="25" fillId="0" borderId="0"/>
    <xf numFmtId="0" fontId="25" fillId="0" borderId="0"/>
    <xf numFmtId="0" fontId="25" fillId="0" borderId="0"/>
    <xf numFmtId="0" fontId="25" fillId="0" borderId="0"/>
    <xf numFmtId="43" fontId="22" fillId="0" borderId="0" applyFont="0" applyFill="0" applyBorder="0" applyAlignment="0" applyProtection="0"/>
    <xf numFmtId="0" fontId="19" fillId="0" borderId="0"/>
    <xf numFmtId="0" fontId="19" fillId="0" borderId="0"/>
    <xf numFmtId="0" fontId="19" fillId="0" borderId="0"/>
    <xf numFmtId="0" fontId="19" fillId="0" borderId="0"/>
    <xf numFmtId="0" fontId="59" fillId="0" borderId="0"/>
    <xf numFmtId="9" fontId="5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3" fontId="23" fillId="0" borderId="0"/>
    <xf numFmtId="43" fontId="22" fillId="0" borderId="0" applyFont="0" applyFill="0" applyBorder="0" applyAlignment="0" applyProtection="0"/>
    <xf numFmtId="167" fontId="44" fillId="0" borderId="0"/>
    <xf numFmtId="0" fontId="59" fillId="0" borderId="0"/>
    <xf numFmtId="9" fontId="59" fillId="0" borderId="0" applyFont="0" applyFill="0" applyBorder="0" applyAlignment="0" applyProtection="0"/>
    <xf numFmtId="0" fontId="25"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164" fontId="62" fillId="0" borderId="0"/>
    <xf numFmtId="164" fontId="62" fillId="0" borderId="0"/>
    <xf numFmtId="164" fontId="62"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167" fontId="44" fillId="0" borderId="0"/>
    <xf numFmtId="0" fontId="25" fillId="0" borderId="0"/>
    <xf numFmtId="0" fontId="25" fillId="0" borderId="0"/>
    <xf numFmtId="0" fontId="25" fillId="0" borderId="0"/>
    <xf numFmtId="0" fontId="25" fillId="0" borderId="0"/>
    <xf numFmtId="0" fontId="17" fillId="0" borderId="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164" fontId="62" fillId="0" borderId="0"/>
    <xf numFmtId="164" fontId="62"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167" fontId="44" fillId="0" borderId="0"/>
    <xf numFmtId="164" fontId="62" fillId="0" borderId="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167" fontId="44" fillId="0" borderId="0"/>
    <xf numFmtId="0" fontId="16" fillId="0" borderId="0"/>
    <xf numFmtId="0" fontId="16" fillId="0" borderId="0"/>
    <xf numFmtId="0" fontId="16" fillId="0" borderId="0"/>
    <xf numFmtId="9" fontId="21" fillId="0" borderId="0" applyFont="0" applyFill="0" applyBorder="0" applyAlignment="0" applyProtection="0"/>
    <xf numFmtId="0" fontId="16" fillId="0" borderId="0"/>
    <xf numFmtId="0" fontId="25"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25" fillId="0" borderId="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63" fillId="0" borderId="0"/>
    <xf numFmtId="0" fontId="15" fillId="0" borderId="0"/>
    <xf numFmtId="0" fontId="64" fillId="0" borderId="0"/>
    <xf numFmtId="0" fontId="15" fillId="0" borderId="0"/>
    <xf numFmtId="0" fontId="63" fillId="0" borderId="0"/>
    <xf numFmtId="0" fontId="15" fillId="0" borderId="0"/>
    <xf numFmtId="0" fontId="15" fillId="0" borderId="0"/>
    <xf numFmtId="164" fontId="62" fillId="0" borderId="0"/>
    <xf numFmtId="164" fontId="62"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4" fontId="22" fillId="0" borderId="0"/>
    <xf numFmtId="164" fontId="22" fillId="0" borderId="0"/>
    <xf numFmtId="164" fontId="22" fillId="0" borderId="0"/>
    <xf numFmtId="0" fontId="13" fillId="0" borderId="0"/>
    <xf numFmtId="0" fontId="13" fillId="0" borderId="0"/>
    <xf numFmtId="0" fontId="13" fillId="0" borderId="0"/>
    <xf numFmtId="0" fontId="13" fillId="0" borderId="0"/>
    <xf numFmtId="0" fontId="13" fillId="0" borderId="0"/>
    <xf numFmtId="164" fontId="22" fillId="0" borderId="0"/>
    <xf numFmtId="164" fontId="22" fillId="0" borderId="0"/>
    <xf numFmtId="164" fontId="22" fillId="0" borderId="0"/>
    <xf numFmtId="164" fontId="22" fillId="0" borderId="0"/>
    <xf numFmtId="164" fontId="22" fillId="0" borderId="0"/>
    <xf numFmtId="164"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15" borderId="69" applyNumberFormat="0" applyFont="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9"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60" fillId="24" borderId="0" applyNumberFormat="0" applyBorder="0" applyAlignment="0" applyProtection="0"/>
    <xf numFmtId="0" fontId="60" fillId="19" borderId="0" applyNumberFormat="0" applyBorder="0" applyAlignment="0" applyProtection="0"/>
    <xf numFmtId="0" fontId="60" fillId="22" borderId="0" applyNumberFormat="0" applyBorder="0" applyAlignment="0" applyProtection="0"/>
    <xf numFmtId="0" fontId="60" fillId="25" borderId="0" applyNumberFormat="0" applyBorder="0" applyAlignment="0" applyProtection="0"/>
    <xf numFmtId="0" fontId="67" fillId="26" borderId="0" applyNumberFormat="0" applyBorder="0" applyAlignment="0" applyProtection="0"/>
    <xf numFmtId="0" fontId="67" fillId="23" borderId="0" applyNumberFormat="0" applyBorder="0" applyAlignment="0" applyProtection="0"/>
    <xf numFmtId="0" fontId="67" fillId="24" borderId="0" applyNumberFormat="0" applyBorder="0" applyAlignment="0" applyProtection="0"/>
    <xf numFmtId="0" fontId="67" fillId="27"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1" borderId="0" applyNumberFormat="0" applyBorder="0" applyAlignment="0" applyProtection="0"/>
    <xf numFmtId="0" fontId="67" fillId="32" borderId="0" applyNumberFormat="0" applyBorder="0" applyAlignment="0" applyProtection="0"/>
    <xf numFmtId="0" fontId="67" fillId="27" borderId="0" applyNumberFormat="0" applyBorder="0" applyAlignment="0" applyProtection="0"/>
    <xf numFmtId="0" fontId="67" fillId="28" borderId="0" applyNumberFormat="0" applyBorder="0" applyAlignment="0" applyProtection="0"/>
    <xf numFmtId="0" fontId="67" fillId="33" borderId="0" applyNumberFormat="0" applyBorder="0" applyAlignment="0" applyProtection="0"/>
    <xf numFmtId="0" fontId="68" fillId="17" borderId="0" applyNumberFormat="0" applyBorder="0" applyAlignment="0" applyProtection="0"/>
    <xf numFmtId="0" fontId="69" fillId="34" borderId="70" applyNumberFormat="0" applyAlignment="0" applyProtection="0"/>
    <xf numFmtId="0" fontId="70" fillId="35" borderId="71" applyNumberFormat="0" applyAlignment="0" applyProtection="0"/>
    <xf numFmtId="43" fontId="60" fillId="0" borderId="0" applyFont="0" applyFill="0" applyBorder="0" applyAlignment="0" applyProtection="0"/>
    <xf numFmtId="0" fontId="71" fillId="0" borderId="0" applyNumberFormat="0" applyFill="0" applyBorder="0" applyAlignment="0" applyProtection="0"/>
    <xf numFmtId="0" fontId="72" fillId="18" borderId="0" applyNumberFormat="0" applyBorder="0" applyAlignment="0" applyProtection="0"/>
    <xf numFmtId="0" fontId="73" fillId="0" borderId="72" applyNumberFormat="0" applyFill="0" applyAlignment="0" applyProtection="0"/>
    <xf numFmtId="0" fontId="74" fillId="0" borderId="73" applyNumberFormat="0" applyFill="0" applyAlignment="0" applyProtection="0"/>
    <xf numFmtId="0" fontId="75" fillId="0" borderId="74" applyNumberFormat="0" applyFill="0" applyAlignment="0" applyProtection="0"/>
    <xf numFmtId="0" fontId="75" fillId="0" borderId="0" applyNumberFormat="0" applyFill="0" applyBorder="0" applyAlignment="0" applyProtection="0"/>
    <xf numFmtId="0" fontId="76" fillId="21" borderId="70" applyNumberFormat="0" applyAlignment="0" applyProtection="0"/>
    <xf numFmtId="0" fontId="77" fillId="0" borderId="75" applyNumberFormat="0" applyFill="0" applyAlignment="0" applyProtection="0"/>
    <xf numFmtId="0" fontId="78" fillId="36" borderId="0" applyNumberFormat="0" applyBorder="0" applyAlignment="0" applyProtection="0"/>
    <xf numFmtId="0" fontId="60" fillId="0" borderId="0"/>
    <xf numFmtId="0" fontId="25" fillId="37" borderId="76" applyNumberFormat="0" applyFont="0" applyAlignment="0" applyProtection="0"/>
    <xf numFmtId="0" fontId="60" fillId="37" borderId="76" applyNumberFormat="0" applyFont="0" applyAlignment="0" applyProtection="0"/>
    <xf numFmtId="0" fontId="79" fillId="34" borderId="77" applyNumberFormat="0" applyAlignment="0" applyProtection="0"/>
    <xf numFmtId="9" fontId="25" fillId="0" borderId="0" applyFont="0" applyFill="0" applyBorder="0" applyAlignment="0" applyProtection="0"/>
    <xf numFmtId="9" fontId="60" fillId="0" borderId="0" applyFont="0" applyFill="0" applyBorder="0" applyAlignment="0" applyProtection="0"/>
    <xf numFmtId="0" fontId="80" fillId="0" borderId="0" applyNumberFormat="0" applyFill="0" applyBorder="0" applyAlignment="0" applyProtection="0"/>
    <xf numFmtId="0" fontId="81" fillId="0" borderId="78" applyNumberFormat="0" applyFill="0" applyAlignment="0" applyProtection="0"/>
    <xf numFmtId="0" fontId="82" fillId="0" borderId="0" applyNumberFormat="0" applyFill="0" applyBorder="0" applyAlignment="0" applyProtection="0"/>
    <xf numFmtId="0" fontId="60" fillId="37" borderId="76" applyNumberFormat="0" applyFont="0" applyAlignment="0" applyProtection="0"/>
    <xf numFmtId="0" fontId="25" fillId="37" borderId="76" applyNumberFormat="0" applyFont="0" applyAlignment="0" applyProtection="0"/>
    <xf numFmtId="0" fontId="76" fillId="21" borderId="70" applyNumberFormat="0" applyAlignment="0" applyProtection="0"/>
    <xf numFmtId="0" fontId="69" fillId="34" borderId="70" applyNumberFormat="0" applyAlignment="0" applyProtection="0"/>
    <xf numFmtId="0" fontId="79" fillId="34" borderId="77" applyNumberFormat="0" applyAlignment="0" applyProtection="0"/>
    <xf numFmtId="0" fontId="81" fillId="0" borderId="78" applyNumberFormat="0" applyFill="0" applyAlignment="0" applyProtection="0"/>
    <xf numFmtId="164" fontId="83"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4" fontId="83" fillId="0" borderId="0"/>
    <xf numFmtId="167" fontId="44"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164" fontId="22" fillId="0" borderId="0"/>
    <xf numFmtId="164" fontId="22" fillId="0" borderId="0"/>
    <xf numFmtId="164" fontId="2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164" fontId="22" fillId="0" borderId="0"/>
    <xf numFmtId="164" fontId="22" fillId="0" borderId="0"/>
    <xf numFmtId="164" fontId="22"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164" fontId="22" fillId="0" borderId="0"/>
    <xf numFmtId="164" fontId="22"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164" fontId="22"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63" fillId="0" borderId="0"/>
    <xf numFmtId="0" fontId="11" fillId="0" borderId="0"/>
    <xf numFmtId="0" fontId="11" fillId="0" borderId="0"/>
    <xf numFmtId="0" fontId="11" fillId="0" borderId="0"/>
    <xf numFmtId="164" fontId="22" fillId="0" borderId="0"/>
    <xf numFmtId="164" fontId="22"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5" borderId="69" applyNumberFormat="0" applyFont="0" applyAlignment="0" applyProtection="0"/>
    <xf numFmtId="164" fontId="83"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5" borderId="69"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22" fillId="0" borderId="0"/>
    <xf numFmtId="164" fontId="22" fillId="0" borderId="0"/>
    <xf numFmtId="164" fontId="22" fillId="0" borderId="0"/>
    <xf numFmtId="0" fontId="11" fillId="0" borderId="0"/>
    <xf numFmtId="0" fontId="11" fillId="0" borderId="0"/>
    <xf numFmtId="0" fontId="11" fillId="0" borderId="0"/>
    <xf numFmtId="0" fontId="11" fillId="0" borderId="0"/>
    <xf numFmtId="0" fontId="11" fillId="0" borderId="0"/>
    <xf numFmtId="164" fontId="22" fillId="0" borderId="0"/>
    <xf numFmtId="164" fontId="22" fillId="0" borderId="0"/>
    <xf numFmtId="164" fontId="22" fillId="0" borderId="0"/>
    <xf numFmtId="164" fontId="22" fillId="0" borderId="0"/>
    <xf numFmtId="164" fontId="22" fillId="0" borderId="0"/>
    <xf numFmtId="164" fontId="2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 fontId="2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15" borderId="69" applyNumberFormat="0" applyFont="0" applyAlignment="0" applyProtection="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 fontId="2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 fontId="23"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83" fillId="0" borderId="0"/>
    <xf numFmtId="164" fontId="83" fillId="0" borderId="0"/>
    <xf numFmtId="167" fontId="44" fillId="0" borderId="0"/>
    <xf numFmtId="167" fontId="44" fillId="0" borderId="0"/>
    <xf numFmtId="167" fontId="44" fillId="0" borderId="0"/>
    <xf numFmtId="164" fontId="83" fillId="0" borderId="0"/>
    <xf numFmtId="164" fontId="83" fillId="0" borderId="0"/>
    <xf numFmtId="164" fontId="83" fillId="0" borderId="0"/>
    <xf numFmtId="164" fontId="8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4" fontId="83" fillId="0" borderId="0"/>
    <xf numFmtId="164" fontId="83" fillId="0" borderId="0"/>
    <xf numFmtId="164" fontId="83"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164" fontId="83"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15" borderId="69" applyNumberFormat="0" applyFont="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5" borderId="69"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15" borderId="69" applyNumberFormat="0" applyFont="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5" borderId="69" applyNumberFormat="0" applyFont="0" applyAlignment="0" applyProtection="0"/>
    <xf numFmtId="3" fontId="23"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5" borderId="69"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5" borderId="69"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15" borderId="69" applyNumberFormat="0" applyFont="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 fontId="23" fillId="0" borderId="0"/>
    <xf numFmtId="164" fontId="83"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5" borderId="69"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5" borderId="69"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15" borderId="69" applyNumberFormat="0" applyFont="0" applyAlignment="0" applyProtection="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5" borderId="69"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5" borderId="69"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5" borderId="69"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15" borderId="69" applyNumberFormat="0" applyFont="0" applyAlignment="0" applyProtection="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84" fillId="0" borderId="0"/>
    <xf numFmtId="0" fontId="84" fillId="0" borderId="0"/>
    <xf numFmtId="0" fontId="84" fillId="0" borderId="0"/>
    <xf numFmtId="0" fontId="84" fillId="0" borderId="0"/>
    <xf numFmtId="43"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164" fontId="21" fillId="0" borderId="0"/>
    <xf numFmtId="164" fontId="22" fillId="0" borderId="0"/>
    <xf numFmtId="164" fontId="21" fillId="0" borderId="0"/>
    <xf numFmtId="164" fontId="21" fillId="0" borderId="0"/>
    <xf numFmtId="3"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1" fillId="0" borderId="0"/>
    <xf numFmtId="164" fontId="21" fillId="0" borderId="0"/>
    <xf numFmtId="0" fontId="97" fillId="0" borderId="0"/>
    <xf numFmtId="0" fontId="97" fillId="0" borderId="0"/>
    <xf numFmtId="0" fontId="97" fillId="0" borderId="0"/>
    <xf numFmtId="0" fontId="97" fillId="0" borderId="0"/>
    <xf numFmtId="164" fontId="21" fillId="0" borderId="0"/>
    <xf numFmtId="37" fontId="61" fillId="0" borderId="0"/>
  </cellStyleXfs>
  <cellXfs count="848">
    <xf numFmtId="3" fontId="0" fillId="0" borderId="0" xfId="0"/>
    <xf numFmtId="3" fontId="25" fillId="0" borderId="0" xfId="0" applyFont="1"/>
    <xf numFmtId="3" fontId="25" fillId="0" borderId="0" xfId="0" applyNumberFormat="1" applyFont="1"/>
    <xf numFmtId="3" fontId="25" fillId="0" borderId="3" xfId="0" applyFont="1" applyBorder="1"/>
    <xf numFmtId="3" fontId="25" fillId="0" borderId="0" xfId="0" applyFont="1" applyFill="1"/>
    <xf numFmtId="37" fontId="25" fillId="0" borderId="0" xfId="0" applyNumberFormat="1" applyFont="1" applyAlignment="1">
      <alignment horizontal="right"/>
    </xf>
    <xf numFmtId="37" fontId="25" fillId="0" borderId="3" xfId="0" applyNumberFormat="1" applyFont="1" applyBorder="1" applyAlignment="1">
      <alignment horizontal="right"/>
    </xf>
    <xf numFmtId="3" fontId="25" fillId="0" borderId="0" xfId="0" applyNumberFormat="1" applyFont="1" applyAlignment="1">
      <alignment horizontal="right"/>
    </xf>
    <xf numFmtId="3" fontId="25" fillId="0" borderId="4" xfId="0" applyNumberFormat="1" applyFont="1" applyBorder="1" applyAlignment="1">
      <alignment horizontal="right"/>
    </xf>
    <xf numFmtId="3" fontId="25" fillId="0" borderId="3" xfId="0" applyNumberFormat="1" applyFont="1" applyBorder="1" applyAlignment="1">
      <alignment horizontal="right"/>
    </xf>
    <xf numFmtId="3" fontId="25" fillId="0" borderId="5" xfId="0" applyNumberFormat="1" applyFont="1" applyBorder="1" applyAlignment="1">
      <alignment horizontal="right"/>
    </xf>
    <xf numFmtId="3" fontId="25" fillId="0" borderId="0" xfId="1" applyNumberFormat="1" applyFont="1" applyAlignment="1">
      <alignment horizontal="right"/>
    </xf>
    <xf numFmtId="3" fontId="25" fillId="0" borderId="4" xfId="1" applyNumberFormat="1" applyFont="1" applyBorder="1" applyAlignment="1">
      <alignment horizontal="right"/>
    </xf>
    <xf numFmtId="3" fontId="25" fillId="0" borderId="3" xfId="1" applyNumberFormat="1" applyFont="1" applyBorder="1" applyAlignment="1">
      <alignment horizontal="right"/>
    </xf>
    <xf numFmtId="3" fontId="25" fillId="0" borderId="5" xfId="1" applyNumberFormat="1" applyFont="1" applyBorder="1" applyAlignment="1">
      <alignment horizontal="right"/>
    </xf>
    <xf numFmtId="37" fontId="25" fillId="0" borderId="0" xfId="0" applyNumberFormat="1" applyFont="1" applyBorder="1" applyAlignment="1">
      <alignment horizontal="right"/>
    </xf>
    <xf numFmtId="37" fontId="25" fillId="0" borderId="6" xfId="0" applyNumberFormat="1" applyFont="1" applyBorder="1" applyAlignment="1">
      <alignment horizontal="right"/>
    </xf>
    <xf numFmtId="3" fontId="27" fillId="0" borderId="0" xfId="0" applyFont="1" applyAlignment="1">
      <alignment horizontal="centerContinuous"/>
    </xf>
    <xf numFmtId="37" fontId="25" fillId="0" borderId="7" xfId="0" applyNumberFormat="1" applyFont="1" applyBorder="1" applyAlignment="1">
      <alignment horizontal="right"/>
    </xf>
    <xf numFmtId="37" fontId="25" fillId="0" borderId="8" xfId="0" applyNumberFormat="1" applyFont="1" applyBorder="1" applyAlignment="1">
      <alignment horizontal="right"/>
    </xf>
    <xf numFmtId="3" fontId="26" fillId="0" borderId="0" xfId="0" applyFont="1" applyAlignment="1">
      <alignment horizontal="centerContinuous"/>
    </xf>
    <xf numFmtId="3" fontId="28" fillId="0" borderId="0" xfId="0" applyFont="1" applyAlignment="1">
      <alignment horizontal="centerContinuous"/>
    </xf>
    <xf numFmtId="3" fontId="25" fillId="0" borderId="0" xfId="0" applyFont="1" applyAlignment="1">
      <alignment horizontal="centerContinuous"/>
    </xf>
    <xf numFmtId="37" fontId="25" fillId="0" borderId="9" xfId="0" applyNumberFormat="1" applyFont="1" applyBorder="1" applyAlignment="1">
      <alignment horizontal="right"/>
    </xf>
    <xf numFmtId="37" fontId="25" fillId="0" borderId="10" xfId="0" applyNumberFormat="1" applyFont="1" applyBorder="1" applyAlignment="1">
      <alignment horizontal="right"/>
    </xf>
    <xf numFmtId="3" fontId="25" fillId="0" borderId="0" xfId="0" applyFont="1" applyBorder="1"/>
    <xf numFmtId="3" fontId="25" fillId="0" borderId="0" xfId="0" applyNumberFormat="1" applyFont="1" applyBorder="1"/>
    <xf numFmtId="3" fontId="24" fillId="0" borderId="11" xfId="0" applyFont="1" applyBorder="1" applyAlignment="1">
      <alignment horizontal="centerContinuous"/>
    </xf>
    <xf numFmtId="3" fontId="24" fillId="0" borderId="12" xfId="0" applyFont="1" applyBorder="1" applyAlignment="1">
      <alignment horizontal="centerContinuous"/>
    </xf>
    <xf numFmtId="3" fontId="24" fillId="0" borderId="13" xfId="0" applyFont="1" applyBorder="1" applyAlignment="1">
      <alignment horizontal="centerContinuous"/>
    </xf>
    <xf numFmtId="3" fontId="25" fillId="0" borderId="11" xfId="0" applyFont="1" applyBorder="1" applyAlignment="1">
      <alignment horizontal="centerContinuous"/>
    </xf>
    <xf numFmtId="3" fontId="25" fillId="0" borderId="7" xfId="0" applyFont="1" applyBorder="1"/>
    <xf numFmtId="3" fontId="25" fillId="0" borderId="0" xfId="0" applyNumberFormat="1" applyFont="1" applyBorder="1" applyAlignment="1">
      <alignment horizontal="right"/>
    </xf>
    <xf numFmtId="3" fontId="25" fillId="0" borderId="0" xfId="1" applyNumberFormat="1" applyFont="1" applyBorder="1" applyAlignment="1">
      <alignment horizontal="right"/>
    </xf>
    <xf numFmtId="3" fontId="26" fillId="0" borderId="0" xfId="0" applyFont="1" applyBorder="1" applyAlignment="1">
      <alignment horizontal="centerContinuous"/>
    </xf>
    <xf numFmtId="3" fontId="28" fillId="0" borderId="0" xfId="0" applyFont="1" applyBorder="1" applyAlignment="1">
      <alignment horizontal="centerContinuous"/>
    </xf>
    <xf numFmtId="3" fontId="25" fillId="0" borderId="14" xfId="0" applyFont="1" applyBorder="1"/>
    <xf numFmtId="3" fontId="25" fillId="0" borderId="15" xfId="0" applyFont="1" applyBorder="1"/>
    <xf numFmtId="3" fontId="25" fillId="0" borderId="16" xfId="0" applyFont="1" applyBorder="1"/>
    <xf numFmtId="37" fontId="25" fillId="0" borderId="0" xfId="0" applyNumberFormat="1" applyFont="1" applyBorder="1" applyAlignment="1">
      <alignment horizontal="center"/>
    </xf>
    <xf numFmtId="37" fontId="25" fillId="0" borderId="3" xfId="0" applyNumberFormat="1" applyFont="1" applyBorder="1" applyAlignment="1">
      <alignment horizontal="center"/>
    </xf>
    <xf numFmtId="37" fontId="32" fillId="0" borderId="0" xfId="0" applyNumberFormat="1" applyFont="1" applyAlignment="1" applyProtection="1">
      <alignment horizontal="centerContinuous"/>
    </xf>
    <xf numFmtId="37" fontId="25" fillId="0" borderId="0" xfId="0" quotePrefix="1" applyNumberFormat="1" applyFont="1" applyBorder="1" applyAlignment="1">
      <alignment horizontal="left"/>
    </xf>
    <xf numFmtId="37" fontId="28" fillId="0" borderId="0" xfId="0" applyNumberFormat="1" applyFont="1" applyAlignment="1" applyProtection="1">
      <alignment horizontal="centerContinuous"/>
    </xf>
    <xf numFmtId="37" fontId="33" fillId="0" borderId="13" xfId="0" applyNumberFormat="1" applyFont="1" applyBorder="1" applyProtection="1"/>
    <xf numFmtId="37" fontId="33" fillId="0" borderId="17" xfId="0" applyNumberFormat="1" applyFont="1" applyBorder="1" applyAlignment="1" applyProtection="1">
      <alignment horizontal="center"/>
    </xf>
    <xf numFmtId="37" fontId="34" fillId="0" borderId="17" xfId="0" applyNumberFormat="1" applyFont="1" applyBorder="1" applyAlignment="1" applyProtection="1">
      <alignment horizontal="right"/>
    </xf>
    <xf numFmtId="37" fontId="34" fillId="0" borderId="11" xfId="0" applyNumberFormat="1" applyFont="1" applyBorder="1" applyAlignment="1" applyProtection="1">
      <alignment horizontal="right"/>
    </xf>
    <xf numFmtId="3" fontId="29" fillId="0" borderId="0" xfId="0" applyFont="1"/>
    <xf numFmtId="37" fontId="29" fillId="0" borderId="0" xfId="0" applyNumberFormat="1" applyFont="1" applyAlignment="1" applyProtection="1">
      <alignment horizontal="left"/>
    </xf>
    <xf numFmtId="3" fontId="29" fillId="0" borderId="0" xfId="0" applyNumberFormat="1" applyFont="1"/>
    <xf numFmtId="39" fontId="28" fillId="0" borderId="0" xfId="0" applyNumberFormat="1" applyFont="1" applyAlignment="1" applyProtection="1">
      <alignment horizontal="centerContinuous"/>
    </xf>
    <xf numFmtId="37" fontId="34" fillId="0" borderId="11" xfId="0" applyNumberFormat="1" applyFont="1" applyBorder="1" applyAlignment="1" applyProtection="1">
      <alignment horizontal="centerContinuous"/>
    </xf>
    <xf numFmtId="37" fontId="34" fillId="0" borderId="17" xfId="0" applyNumberFormat="1" applyFont="1" applyBorder="1" applyAlignment="1" applyProtection="1">
      <alignment horizontal="center"/>
    </xf>
    <xf numFmtId="37" fontId="34" fillId="0" borderId="10" xfId="0" applyNumberFormat="1" applyFont="1" applyBorder="1" applyAlignment="1" applyProtection="1">
      <alignment horizontal="right"/>
    </xf>
    <xf numFmtId="37" fontId="27" fillId="0" borderId="0" xfId="0" applyNumberFormat="1" applyFont="1" applyAlignment="1" applyProtection="1">
      <alignment horizontal="centerContinuous"/>
    </xf>
    <xf numFmtId="37" fontId="34" fillId="0" borderId="13" xfId="0" applyNumberFormat="1" applyFont="1" applyBorder="1" applyAlignment="1" applyProtection="1">
      <alignment horizontal="centerContinuous"/>
    </xf>
    <xf numFmtId="37" fontId="34" fillId="0" borderId="18" xfId="0" applyNumberFormat="1" applyFont="1" applyBorder="1" applyAlignment="1" applyProtection="1">
      <alignment horizontal="centerContinuous"/>
    </xf>
    <xf numFmtId="37" fontId="34" fillId="0" borderId="17" xfId="0" applyNumberFormat="1" applyFont="1" applyBorder="1" applyAlignment="1" applyProtection="1">
      <alignment horizontal="center" wrapText="1"/>
    </xf>
    <xf numFmtId="37" fontId="34" fillId="0" borderId="19" xfId="0" applyNumberFormat="1" applyFont="1" applyBorder="1" applyAlignment="1" applyProtection="1">
      <alignment horizontal="right"/>
    </xf>
    <xf numFmtId="37" fontId="34" fillId="0" borderId="20" xfId="0" applyNumberFormat="1" applyFont="1" applyBorder="1" applyAlignment="1" applyProtection="1">
      <alignment horizontal="center" wrapText="1"/>
    </xf>
    <xf numFmtId="37" fontId="33" fillId="0" borderId="13" xfId="0" applyNumberFormat="1" applyFont="1" applyBorder="1" applyAlignment="1" applyProtection="1">
      <alignment horizontal="centerContinuous"/>
    </xf>
    <xf numFmtId="37" fontId="28" fillId="0" borderId="0" xfId="0" applyNumberFormat="1" applyFont="1" applyBorder="1" applyAlignment="1" applyProtection="1">
      <alignment horizontal="centerContinuous"/>
    </xf>
    <xf numFmtId="37" fontId="33" fillId="0" borderId="17" xfId="0" applyNumberFormat="1" applyFont="1" applyBorder="1" applyProtection="1"/>
    <xf numFmtId="37" fontId="34" fillId="0" borderId="14" xfId="0" applyNumberFormat="1" applyFont="1" applyBorder="1" applyAlignment="1" applyProtection="1">
      <alignment horizontal="centerContinuous"/>
    </xf>
    <xf numFmtId="37" fontId="34" fillId="0" borderId="14" xfId="0" applyNumberFormat="1" applyFont="1" applyBorder="1" applyAlignment="1" applyProtection="1">
      <alignment horizontal="centerContinuous" wrapText="1"/>
    </xf>
    <xf numFmtId="37" fontId="34" fillId="0" borderId="21" xfId="0" applyNumberFormat="1" applyFont="1" applyBorder="1" applyAlignment="1" applyProtection="1">
      <alignment horizontal="centerContinuous"/>
    </xf>
    <xf numFmtId="37" fontId="25" fillId="0" borderId="0" xfId="0" quotePrefix="1" applyNumberFormat="1" applyFont="1" applyBorder="1" applyAlignment="1">
      <alignment horizontal="right"/>
    </xf>
    <xf numFmtId="3" fontId="25" fillId="2" borderId="0" xfId="0" applyFont="1" applyFill="1"/>
    <xf numFmtId="37" fontId="34" fillId="2" borderId="14" xfId="0" applyNumberFormat="1" applyFont="1" applyFill="1" applyBorder="1" applyAlignment="1" applyProtection="1">
      <alignment horizontal="centerContinuous"/>
    </xf>
    <xf numFmtId="37" fontId="34" fillId="2" borderId="14" xfId="0" applyNumberFormat="1" applyFont="1" applyFill="1" applyBorder="1" applyAlignment="1" applyProtection="1">
      <alignment horizontal="centerContinuous" wrapText="1"/>
    </xf>
    <xf numFmtId="168" fontId="25" fillId="2" borderId="0" xfId="7" applyNumberFormat="1" applyFont="1" applyFill="1"/>
    <xf numFmtId="3" fontId="25" fillId="0" borderId="0" xfId="6" applyFont="1" applyFill="1" applyBorder="1" applyAlignment="1">
      <alignment horizontal="center"/>
    </xf>
    <xf numFmtId="3" fontId="25" fillId="0" borderId="0" xfId="0" applyFont="1" applyFill="1" applyBorder="1"/>
    <xf numFmtId="37" fontId="34" fillId="0" borderId="0" xfId="0" applyNumberFormat="1" applyFont="1" applyBorder="1" applyAlignment="1" applyProtection="1">
      <alignment horizontal="centerContinuous" wrapText="1"/>
    </xf>
    <xf numFmtId="3" fontId="25" fillId="0" borderId="0" xfId="0" applyFont="1" applyAlignment="1">
      <alignment vertical="center"/>
    </xf>
    <xf numFmtId="3" fontId="25" fillId="0" borderId="6" xfId="0" applyFont="1" applyBorder="1"/>
    <xf numFmtId="39" fontId="27" fillId="0" borderId="0" xfId="0" applyNumberFormat="1" applyFont="1" applyAlignment="1" applyProtection="1">
      <alignment horizontal="left"/>
    </xf>
    <xf numFmtId="3" fontId="25" fillId="2" borderId="4" xfId="0" applyFont="1" applyFill="1" applyBorder="1"/>
    <xf numFmtId="37" fontId="34" fillId="2" borderId="22" xfId="0" applyNumberFormat="1" applyFont="1" applyFill="1" applyBorder="1" applyAlignment="1" applyProtection="1">
      <alignment horizontal="centerContinuous" wrapText="1"/>
    </xf>
    <xf numFmtId="3" fontId="25" fillId="3" borderId="0" xfId="0" applyFont="1" applyFill="1" applyAlignment="1">
      <alignment vertical="center"/>
    </xf>
    <xf numFmtId="3" fontId="25" fillId="3" borderId="15" xfId="0" applyFont="1" applyFill="1" applyBorder="1" applyAlignment="1">
      <alignment vertical="center"/>
    </xf>
    <xf numFmtId="3" fontId="25" fillId="0" borderId="23" xfId="0" applyFont="1" applyFill="1" applyBorder="1"/>
    <xf numFmtId="3" fontId="25" fillId="0" borderId="3" xfId="0" applyFont="1" applyFill="1" applyBorder="1"/>
    <xf numFmtId="3" fontId="25" fillId="0" borderId="0" xfId="5" applyFont="1" applyFill="1" applyBorder="1" applyAlignment="1"/>
    <xf numFmtId="168" fontId="25" fillId="2" borderId="16" xfId="7" applyNumberFormat="1" applyFont="1" applyFill="1" applyBorder="1"/>
    <xf numFmtId="168" fontId="25" fillId="2" borderId="3" xfId="7" applyNumberFormat="1" applyFont="1" applyFill="1" applyBorder="1"/>
    <xf numFmtId="165" fontId="25" fillId="2" borderId="24" xfId="1" applyNumberFormat="1" applyFont="1" applyFill="1" applyBorder="1"/>
    <xf numFmtId="165" fontId="25" fillId="2" borderId="4" xfId="1" applyNumberFormat="1" applyFont="1" applyFill="1" applyBorder="1"/>
    <xf numFmtId="165" fontId="25" fillId="2" borderId="5" xfId="1" applyNumberFormat="1" applyFont="1" applyFill="1" applyBorder="1"/>
    <xf numFmtId="3" fontId="24" fillId="0" borderId="13" xfId="0" applyFont="1" applyFill="1" applyBorder="1" applyAlignment="1">
      <alignment horizontal="centerContinuous"/>
    </xf>
    <xf numFmtId="3" fontId="25" fillId="0" borderId="11" xfId="0" applyFont="1" applyFill="1" applyBorder="1" applyAlignment="1">
      <alignment horizontal="centerContinuous"/>
    </xf>
    <xf numFmtId="37" fontId="34" fillId="0" borderId="17" xfId="0" applyNumberFormat="1" applyFont="1" applyFill="1" applyBorder="1" applyAlignment="1" applyProtection="1">
      <alignment horizontal="right"/>
    </xf>
    <xf numFmtId="37" fontId="34" fillId="0" borderId="11" xfId="0" applyNumberFormat="1" applyFont="1" applyFill="1" applyBorder="1" applyAlignment="1" applyProtection="1">
      <alignment horizontal="right"/>
    </xf>
    <xf numFmtId="3" fontId="41" fillId="0" borderId="0" xfId="0" applyFont="1"/>
    <xf numFmtId="168" fontId="25" fillId="0" borderId="0" xfId="7" applyNumberFormat="1" applyFont="1"/>
    <xf numFmtId="3" fontId="25" fillId="3" borderId="3" xfId="0" applyFont="1" applyFill="1" applyBorder="1" applyAlignment="1">
      <alignment vertical="center"/>
    </xf>
    <xf numFmtId="3" fontId="25" fillId="3" borderId="0" xfId="0" applyFont="1" applyFill="1" applyBorder="1" applyAlignment="1">
      <alignment vertical="center"/>
    </xf>
    <xf numFmtId="3" fontId="25" fillId="3" borderId="7" xfId="0" applyFont="1" applyFill="1" applyBorder="1" applyAlignment="1">
      <alignment vertical="center"/>
    </xf>
    <xf numFmtId="3" fontId="25" fillId="3" borderId="0" xfId="0" applyFont="1" applyFill="1"/>
    <xf numFmtId="3" fontId="25" fillId="3" borderId="3" xfId="0" applyFont="1" applyFill="1" applyBorder="1"/>
    <xf numFmtId="3" fontId="38" fillId="0" borderId="0" xfId="0" applyFont="1"/>
    <xf numFmtId="37" fontId="25" fillId="0" borderId="0" xfId="0" applyNumberFormat="1" applyFont="1" applyFill="1" applyBorder="1" applyAlignment="1">
      <alignment horizontal="right"/>
    </xf>
    <xf numFmtId="3" fontId="26" fillId="0" borderId="0" xfId="0" applyFont="1" applyFill="1" applyAlignment="1">
      <alignment horizontal="centerContinuous"/>
    </xf>
    <xf numFmtId="3" fontId="28" fillId="0" borderId="0" xfId="0" applyFont="1" applyFill="1" applyAlignment="1">
      <alignment horizontal="centerContinuous"/>
    </xf>
    <xf numFmtId="3" fontId="25" fillId="0" borderId="0" xfId="0" applyFont="1" applyFill="1" applyAlignment="1">
      <alignment horizontal="centerContinuous"/>
    </xf>
    <xf numFmtId="3" fontId="25" fillId="0" borderId="0" xfId="0" applyNumberFormat="1" applyFont="1" applyFill="1"/>
    <xf numFmtId="3" fontId="24" fillId="0" borderId="13" xfId="0" applyFont="1" applyFill="1" applyBorder="1" applyAlignment="1">
      <alignment horizontal="center"/>
    </xf>
    <xf numFmtId="37" fontId="25" fillId="0" borderId="6" xfId="0" applyNumberFormat="1" applyFont="1" applyFill="1" applyBorder="1" applyAlignment="1">
      <alignment horizontal="right"/>
    </xf>
    <xf numFmtId="37" fontId="28" fillId="0" borderId="0" xfId="0" applyNumberFormat="1" applyFont="1" applyFill="1" applyAlignment="1" applyProtection="1">
      <alignment horizontal="centerContinuous"/>
    </xf>
    <xf numFmtId="37" fontId="34" fillId="0" borderId="13" xfId="0" applyNumberFormat="1" applyFont="1" applyFill="1" applyBorder="1" applyProtection="1"/>
    <xf numFmtId="3" fontId="25" fillId="0" borderId="0" xfId="1" applyNumberFormat="1" applyFont="1" applyFill="1" applyAlignment="1">
      <alignment horizontal="right"/>
    </xf>
    <xf numFmtId="3" fontId="25" fillId="0" borderId="0" xfId="1" applyNumberFormat="1" applyFont="1" applyFill="1" applyBorder="1" applyAlignment="1">
      <alignment horizontal="right"/>
    </xf>
    <xf numFmtId="3" fontId="25" fillId="0" borderId="3" xfId="1" applyNumberFormat="1" applyFont="1" applyFill="1" applyBorder="1" applyAlignment="1">
      <alignment horizontal="right"/>
    </xf>
    <xf numFmtId="37" fontId="32" fillId="0" borderId="0" xfId="0" applyNumberFormat="1" applyFont="1" applyFill="1" applyAlignment="1" applyProtection="1">
      <alignment horizontal="centerContinuous"/>
    </xf>
    <xf numFmtId="37" fontId="25" fillId="0" borderId="3" xfId="0" applyNumberFormat="1" applyFont="1" applyFill="1" applyBorder="1" applyAlignment="1">
      <alignment horizontal="right"/>
    </xf>
    <xf numFmtId="3" fontId="27" fillId="0" borderId="0" xfId="0" applyFont="1" applyFill="1" applyAlignment="1">
      <alignment horizontal="centerContinuous"/>
    </xf>
    <xf numFmtId="3" fontId="25" fillId="0" borderId="0" xfId="0" applyNumberFormat="1" applyFont="1" applyFill="1" applyAlignment="1">
      <alignment horizontal="right"/>
    </xf>
    <xf numFmtId="3" fontId="25" fillId="0" borderId="0" xfId="0" applyNumberFormat="1" applyFont="1" applyFill="1" applyBorder="1" applyAlignment="1">
      <alignment horizontal="right"/>
    </xf>
    <xf numFmtId="3" fontId="25" fillId="0" borderId="3" xfId="0" applyNumberFormat="1" applyFont="1" applyFill="1" applyBorder="1" applyAlignment="1">
      <alignment horizontal="right"/>
    </xf>
    <xf numFmtId="37" fontId="34" fillId="0" borderId="14" xfId="0" applyNumberFormat="1" applyFont="1" applyFill="1" applyBorder="1" applyAlignment="1" applyProtection="1">
      <alignment horizontal="center" wrapText="1"/>
    </xf>
    <xf numFmtId="3" fontId="25" fillId="0" borderId="0" xfId="0" applyFont="1" applyFill="1" applyBorder="1" applyAlignment="1">
      <alignment horizontal="right"/>
    </xf>
    <xf numFmtId="37" fontId="34" fillId="0" borderId="0" xfId="0" applyNumberFormat="1" applyFont="1" applyFill="1" applyBorder="1" applyAlignment="1" applyProtection="1">
      <alignment horizontal="right"/>
    </xf>
    <xf numFmtId="3" fontId="29" fillId="0" borderId="0" xfId="0" applyNumberFormat="1" applyFont="1" applyFill="1"/>
    <xf numFmtId="3" fontId="25" fillId="3" borderId="16" xfId="0" applyFont="1" applyFill="1" applyBorder="1" applyAlignment="1">
      <alignment vertical="center"/>
    </xf>
    <xf numFmtId="3" fontId="39" fillId="0" borderId="0" xfId="0" applyFont="1"/>
    <xf numFmtId="3" fontId="43" fillId="0" borderId="13" xfId="0" applyFont="1" applyFill="1" applyBorder="1" applyAlignment="1">
      <alignment horizontal="center"/>
    </xf>
    <xf numFmtId="37" fontId="42" fillId="0" borderId="17" xfId="0" applyNumberFormat="1" applyFont="1" applyBorder="1" applyAlignment="1" applyProtection="1">
      <alignment horizontal="right"/>
    </xf>
    <xf numFmtId="37" fontId="42" fillId="0" borderId="11" xfId="0" applyNumberFormat="1" applyFont="1" applyBorder="1" applyAlignment="1" applyProtection="1">
      <alignment horizontal="right"/>
    </xf>
    <xf numFmtId="37" fontId="42" fillId="0" borderId="20" xfId="0" applyNumberFormat="1" applyFont="1" applyFill="1" applyBorder="1" applyAlignment="1" applyProtection="1">
      <alignment horizontal="right"/>
    </xf>
    <xf numFmtId="3" fontId="37" fillId="2" borderId="0" xfId="0" applyFont="1" applyFill="1"/>
    <xf numFmtId="37" fontId="28" fillId="0" borderId="0" xfId="0" applyNumberFormat="1" applyFont="1" applyAlignment="1" applyProtection="1">
      <alignment horizontal="center"/>
    </xf>
    <xf numFmtId="3" fontId="37" fillId="3" borderId="0" xfId="0" applyFont="1" applyFill="1"/>
    <xf numFmtId="3" fontId="33" fillId="3" borderId="0" xfId="0" applyFont="1" applyFill="1"/>
    <xf numFmtId="37" fontId="34" fillId="3" borderId="13" xfId="0" applyNumberFormat="1" applyFont="1" applyFill="1" applyBorder="1" applyAlignment="1" applyProtection="1">
      <alignment horizontal="centerContinuous"/>
    </xf>
    <xf numFmtId="3" fontId="24" fillId="3" borderId="11" xfId="0" applyFont="1" applyFill="1" applyBorder="1" applyAlignment="1">
      <alignment horizontal="centerContinuous"/>
    </xf>
    <xf numFmtId="37" fontId="34" fillId="3" borderId="25" xfId="0" applyNumberFormat="1" applyFont="1" applyFill="1" applyBorder="1" applyAlignment="1" applyProtection="1">
      <alignment horizontal="centerContinuous"/>
    </xf>
    <xf numFmtId="3" fontId="24" fillId="3" borderId="13" xfId="0" applyFont="1" applyFill="1" applyBorder="1" applyAlignment="1">
      <alignment horizontal="centerContinuous"/>
    </xf>
    <xf numFmtId="3" fontId="25" fillId="3" borderId="13" xfId="0" applyFont="1" applyFill="1" applyBorder="1" applyAlignment="1">
      <alignment horizontal="centerContinuous"/>
    </xf>
    <xf numFmtId="3" fontId="25" fillId="3" borderId="11" xfId="0" applyFont="1" applyFill="1" applyBorder="1" applyAlignment="1">
      <alignment horizontal="centerContinuous"/>
    </xf>
    <xf numFmtId="37" fontId="34" fillId="3" borderId="17" xfId="0" applyNumberFormat="1" applyFont="1" applyFill="1" applyBorder="1" applyAlignment="1" applyProtection="1">
      <alignment horizontal="center" wrapText="1"/>
    </xf>
    <xf numFmtId="37" fontId="34" fillId="3" borderId="17" xfId="0" applyNumberFormat="1" applyFont="1" applyFill="1" applyBorder="1" applyAlignment="1" applyProtection="1">
      <alignment horizontal="right"/>
    </xf>
    <xf numFmtId="37" fontId="34" fillId="3" borderId="26" xfId="0" applyNumberFormat="1" applyFont="1" applyFill="1" applyBorder="1" applyAlignment="1" applyProtection="1">
      <alignment horizontal="center" wrapText="1"/>
    </xf>
    <xf numFmtId="37" fontId="34" fillId="3" borderId="11" xfId="0" applyNumberFormat="1" applyFont="1" applyFill="1" applyBorder="1" applyAlignment="1" applyProtection="1">
      <alignment horizontal="right"/>
    </xf>
    <xf numFmtId="3" fontId="25" fillId="3" borderId="0" xfId="0" applyFont="1" applyFill="1" applyBorder="1"/>
    <xf numFmtId="3" fontId="39" fillId="0" borderId="0" xfId="0" applyFont="1" applyFill="1"/>
    <xf numFmtId="37" fontId="37" fillId="0" borderId="14" xfId="6" applyNumberFormat="1" applyFont="1" applyFill="1" applyBorder="1" applyAlignment="1" applyProtection="1">
      <alignment horizontal="center"/>
    </xf>
    <xf numFmtId="3" fontId="25" fillId="4" borderId="0" xfId="4" applyFont="1" applyFill="1" applyBorder="1" applyAlignment="1" applyProtection="1">
      <alignment wrapText="1"/>
    </xf>
    <xf numFmtId="0" fontId="25" fillId="4" borderId="0" xfId="4" applyNumberFormat="1" applyFont="1" applyFill="1" applyBorder="1" applyAlignment="1" applyProtection="1">
      <alignment horizontal="center" wrapText="1"/>
    </xf>
    <xf numFmtId="3" fontId="25" fillId="4" borderId="0" xfId="4" applyFont="1" applyFill="1" applyBorder="1" applyAlignment="1" applyProtection="1">
      <alignment horizontal="center" wrapText="1"/>
    </xf>
    <xf numFmtId="37" fontId="25" fillId="4" borderId="0" xfId="4" applyNumberFormat="1" applyFont="1" applyFill="1" applyBorder="1" applyAlignment="1" applyProtection="1">
      <alignment horizontal="center" wrapText="1"/>
    </xf>
    <xf numFmtId="3" fontId="25" fillId="4" borderId="0" xfId="4" applyFont="1" applyFill="1" applyBorder="1" applyAlignment="1">
      <alignment wrapText="1"/>
    </xf>
    <xf numFmtId="3" fontId="25" fillId="4" borderId="29" xfId="4" applyFont="1" applyFill="1" applyBorder="1" applyAlignment="1">
      <alignment horizontal="center" wrapText="1"/>
    </xf>
    <xf numFmtId="3" fontId="25" fillId="4" borderId="0" xfId="4" applyFont="1" applyFill="1" applyBorder="1" applyAlignment="1">
      <alignment horizontal="center" wrapText="1"/>
    </xf>
    <xf numFmtId="3" fontId="25" fillId="0" borderId="0" xfId="4" applyFont="1" applyFill="1" applyBorder="1" applyAlignment="1">
      <alignment wrapText="1"/>
    </xf>
    <xf numFmtId="3" fontId="25" fillId="0" borderId="0" xfId="4" applyFont="1" applyFill="1" applyBorder="1"/>
    <xf numFmtId="3" fontId="37" fillId="0" borderId="0" xfId="4" applyFont="1" applyFill="1" applyBorder="1"/>
    <xf numFmtId="0" fontId="25" fillId="0" borderId="0" xfId="4" applyNumberFormat="1" applyFont="1" applyFill="1" applyBorder="1" applyAlignment="1">
      <alignment horizontal="center"/>
    </xf>
    <xf numFmtId="3" fontId="25" fillId="0" borderId="0" xfId="4" applyFont="1" applyFill="1" applyBorder="1" applyAlignment="1">
      <alignment horizontal="center"/>
    </xf>
    <xf numFmtId="3" fontId="36" fillId="0" borderId="0" xfId="4" applyFont="1" applyFill="1" applyBorder="1" applyAlignment="1">
      <alignment horizontal="center"/>
    </xf>
    <xf numFmtId="3" fontId="37" fillId="0" borderId="0" xfId="4" applyFont="1" applyFill="1" applyBorder="1" applyAlignment="1">
      <alignment horizontal="center"/>
    </xf>
    <xf numFmtId="3" fontId="36" fillId="0" borderId="0" xfId="4" applyFont="1" applyFill="1" applyBorder="1"/>
    <xf numFmtId="37" fontId="29" fillId="0" borderId="0" xfId="0" applyNumberFormat="1" applyFont="1" applyBorder="1" applyAlignment="1" applyProtection="1">
      <alignment horizontal="left" vertical="top" wrapText="1"/>
    </xf>
    <xf numFmtId="37" fontId="32" fillId="0" borderId="0" xfId="0" applyNumberFormat="1" applyFont="1" applyAlignment="1" applyProtection="1">
      <alignment horizontal="center"/>
    </xf>
    <xf numFmtId="3" fontId="24" fillId="0" borderId="17" xfId="0" applyFont="1" applyFill="1" applyBorder="1" applyAlignment="1">
      <alignment horizontal="center"/>
    </xf>
    <xf numFmtId="37" fontId="34" fillId="0" borderId="14" xfId="0" applyNumberFormat="1" applyFont="1" applyBorder="1" applyAlignment="1" applyProtection="1">
      <alignment horizontal="center" wrapText="1"/>
    </xf>
    <xf numFmtId="168" fontId="25" fillId="0" borderId="0" xfId="7" applyNumberFormat="1" applyFont="1" applyBorder="1" applyAlignment="1">
      <alignment horizontal="right"/>
    </xf>
    <xf numFmtId="168" fontId="25" fillId="0" borderId="3" xfId="7" applyNumberFormat="1" applyFont="1" applyBorder="1" applyAlignment="1">
      <alignment horizontal="right"/>
    </xf>
    <xf numFmtId="49" fontId="0" fillId="0" borderId="0" xfId="0" applyNumberFormat="1" applyFill="1" applyAlignment="1">
      <alignment horizontal="right"/>
    </xf>
    <xf numFmtId="3" fontId="25" fillId="0" borderId="0" xfId="0" applyFont="1" applyFill="1" applyBorder="1" applyAlignment="1">
      <alignment horizontal="centerContinuous"/>
    </xf>
    <xf numFmtId="3" fontId="25" fillId="0" borderId="3" xfId="0" applyNumberFormat="1" applyFont="1" applyBorder="1"/>
    <xf numFmtId="37" fontId="34" fillId="0" borderId="30" xfId="0" applyNumberFormat="1" applyFont="1" applyBorder="1" applyAlignment="1" applyProtection="1">
      <alignment horizontal="right"/>
    </xf>
    <xf numFmtId="3" fontId="25" fillId="0" borderId="15" xfId="0" applyNumberFormat="1" applyFont="1" applyBorder="1" applyAlignment="1">
      <alignment horizontal="right"/>
    </xf>
    <xf numFmtId="3" fontId="25" fillId="0" borderId="16" xfId="0" applyNumberFormat="1" applyFont="1" applyBorder="1" applyAlignment="1">
      <alignment horizontal="right"/>
    </xf>
    <xf numFmtId="3" fontId="25" fillId="0" borderId="15" xfId="0" applyNumberFormat="1" applyFont="1" applyFill="1" applyBorder="1" applyAlignment="1">
      <alignment horizontal="right"/>
    </xf>
    <xf numFmtId="3" fontId="25" fillId="0" borderId="16" xfId="0" applyNumberFormat="1" applyFont="1" applyFill="1" applyBorder="1" applyAlignment="1">
      <alignment horizontal="right"/>
    </xf>
    <xf numFmtId="37" fontId="32" fillId="0" borderId="0" xfId="0" applyNumberFormat="1" applyFont="1" applyFill="1" applyAlignment="1" applyProtection="1">
      <alignment horizontal="center"/>
    </xf>
    <xf numFmtId="37" fontId="32" fillId="0" borderId="0" xfId="0" applyNumberFormat="1" applyFont="1" applyFill="1" applyBorder="1" applyAlignment="1" applyProtection="1">
      <alignment horizontal="center"/>
    </xf>
    <xf numFmtId="37" fontId="42" fillId="0" borderId="11" xfId="0" applyNumberFormat="1" applyFont="1" applyBorder="1" applyAlignment="1" applyProtection="1">
      <alignment horizontal="center"/>
    </xf>
    <xf numFmtId="3" fontId="43" fillId="0" borderId="11" xfId="0" applyFont="1" applyBorder="1" applyAlignment="1">
      <alignment horizontal="center"/>
    </xf>
    <xf numFmtId="3" fontId="45" fillId="0" borderId="0" xfId="0" applyFont="1"/>
    <xf numFmtId="37" fontId="25" fillId="0" borderId="15" xfId="0" applyNumberFormat="1" applyFont="1" applyBorder="1" applyAlignment="1">
      <alignment horizontal="right"/>
    </xf>
    <xf numFmtId="37" fontId="25" fillId="0" borderId="16" xfId="0" applyNumberFormat="1" applyFont="1" applyBorder="1" applyAlignment="1">
      <alignment horizontal="right"/>
    </xf>
    <xf numFmtId="37" fontId="33" fillId="0" borderId="14" xfId="0" applyNumberFormat="1" applyFont="1" applyBorder="1" applyAlignment="1" applyProtection="1">
      <alignment horizontal="center"/>
    </xf>
    <xf numFmtId="37" fontId="34" fillId="0" borderId="17" xfId="0" applyNumberFormat="1" applyFont="1" applyBorder="1" applyAlignment="1" applyProtection="1">
      <alignment horizontal="centerContinuous"/>
    </xf>
    <xf numFmtId="37" fontId="34" fillId="0" borderId="30" xfId="0" applyNumberFormat="1" applyFont="1" applyBorder="1" applyAlignment="1" applyProtection="1">
      <alignment horizontal="centerContinuous"/>
    </xf>
    <xf numFmtId="3" fontId="25" fillId="0" borderId="0" xfId="0" applyNumberFormat="1" applyFont="1" applyFill="1" applyBorder="1"/>
    <xf numFmtId="37" fontId="34" fillId="0" borderId="14" xfId="0" applyNumberFormat="1" applyFont="1" applyFill="1" applyBorder="1" applyAlignment="1" applyProtection="1">
      <alignment horizontal="centerContinuous" wrapText="1"/>
    </xf>
    <xf numFmtId="3" fontId="29" fillId="0" borderId="0" xfId="0" applyNumberFormat="1" applyFont="1" applyFill="1" applyBorder="1"/>
    <xf numFmtId="37" fontId="34" fillId="0" borderId="14" xfId="0" applyNumberFormat="1" applyFont="1" applyBorder="1" applyAlignment="1" applyProtection="1">
      <alignment horizontal="center"/>
    </xf>
    <xf numFmtId="37" fontId="34" fillId="0" borderId="21" xfId="0" applyNumberFormat="1" applyFont="1" applyBorder="1" applyAlignment="1" applyProtection="1">
      <alignment horizontal="center"/>
    </xf>
    <xf numFmtId="37" fontId="28" fillId="0" borderId="0" xfId="0" applyNumberFormat="1" applyFont="1" applyAlignment="1" applyProtection="1">
      <alignment horizontal="left"/>
    </xf>
    <xf numFmtId="3" fontId="25" fillId="0" borderId="0" xfId="0" applyFont="1" applyAlignment="1">
      <alignment horizontal="left"/>
    </xf>
    <xf numFmtId="3" fontId="28" fillId="0" borderId="0" xfId="0" applyFont="1" applyFill="1" applyBorder="1" applyAlignment="1">
      <alignment horizontal="centerContinuous"/>
    </xf>
    <xf numFmtId="37" fontId="28" fillId="0" borderId="0" xfId="0" applyNumberFormat="1" applyFont="1" applyFill="1" applyBorder="1" applyAlignment="1" applyProtection="1">
      <alignment horizontal="center"/>
    </xf>
    <xf numFmtId="37" fontId="29" fillId="0" borderId="0" xfId="0" applyNumberFormat="1" applyFont="1" applyFill="1" applyBorder="1" applyAlignment="1" applyProtection="1">
      <alignment horizontal="left" vertical="top" wrapText="1"/>
    </xf>
    <xf numFmtId="49" fontId="23" fillId="0" borderId="0" xfId="0" quotePrefix="1" applyNumberFormat="1" applyFont="1" applyFill="1" applyBorder="1" applyAlignment="1">
      <alignment horizontal="right"/>
    </xf>
    <xf numFmtId="3" fontId="25" fillId="0" borderId="3" xfId="0" applyNumberFormat="1" applyFont="1" applyFill="1" applyBorder="1"/>
    <xf numFmtId="37" fontId="33" fillId="0" borderId="3" xfId="0" applyNumberFormat="1" applyFont="1" applyBorder="1" applyAlignment="1" applyProtection="1">
      <alignment horizontal="center"/>
    </xf>
    <xf numFmtId="37" fontId="34" fillId="0" borderId="3" xfId="0" applyNumberFormat="1" applyFont="1" applyBorder="1" applyAlignment="1" applyProtection="1">
      <alignment horizontal="center" wrapText="1"/>
    </xf>
    <xf numFmtId="37" fontId="34" fillId="0" borderId="16" xfId="0" applyNumberFormat="1" applyFont="1" applyBorder="1" applyAlignment="1" applyProtection="1">
      <alignment horizontal="center" wrapText="1"/>
    </xf>
    <xf numFmtId="37" fontId="34" fillId="0" borderId="21" xfId="0" applyNumberFormat="1" applyFont="1" applyBorder="1" applyAlignment="1" applyProtection="1">
      <alignment horizontal="right"/>
    </xf>
    <xf numFmtId="37" fontId="25" fillId="0" borderId="0" xfId="0" quotePrefix="1" applyNumberFormat="1" applyFont="1" applyAlignment="1">
      <alignment horizontal="right"/>
    </xf>
    <xf numFmtId="37" fontId="25" fillId="0" borderId="15" xfId="0" quotePrefix="1" applyNumberFormat="1" applyFont="1" applyBorder="1" applyAlignment="1">
      <alignment horizontal="right"/>
    </xf>
    <xf numFmtId="37" fontId="25" fillId="0" borderId="0" xfId="0" quotePrefix="1" applyNumberFormat="1" applyFont="1" applyAlignment="1">
      <alignment horizontal="left"/>
    </xf>
    <xf numFmtId="168" fontId="25" fillId="0" borderId="0" xfId="7" applyNumberFormat="1" applyFont="1" applyBorder="1"/>
    <xf numFmtId="10" fontId="25" fillId="0" borderId="0" xfId="7" applyNumberFormat="1" applyFont="1" applyBorder="1" applyAlignment="1">
      <alignment horizontal="right"/>
    </xf>
    <xf numFmtId="168" fontId="25" fillId="0" borderId="3" xfId="7" applyNumberFormat="1" applyFont="1" applyBorder="1"/>
    <xf numFmtId="3" fontId="33" fillId="0" borderId="14" xfId="6" applyFont="1" applyFill="1" applyBorder="1"/>
    <xf numFmtId="3" fontId="45" fillId="0" borderId="0" xfId="0" applyFont="1" applyFill="1" applyBorder="1"/>
    <xf numFmtId="3" fontId="45" fillId="0" borderId="0" xfId="0" applyFont="1" applyFill="1"/>
    <xf numFmtId="166" fontId="46" fillId="0" borderId="0" xfId="0" applyNumberFormat="1" applyFont="1" applyFill="1" applyBorder="1" applyAlignment="1"/>
    <xf numFmtId="3" fontId="33" fillId="2" borderId="15" xfId="0" applyFont="1" applyFill="1" applyBorder="1"/>
    <xf numFmtId="3" fontId="25" fillId="2" borderId="0" xfId="0" applyFont="1" applyFill="1" applyBorder="1"/>
    <xf numFmtId="37" fontId="34" fillId="2" borderId="21" xfId="0" applyNumberFormat="1" applyFont="1" applyFill="1" applyBorder="1" applyAlignment="1" applyProtection="1">
      <alignment horizontal="centerContinuous"/>
    </xf>
    <xf numFmtId="168" fontId="25" fillId="2" borderId="15" xfId="7" applyNumberFormat="1" applyFont="1" applyFill="1" applyBorder="1"/>
    <xf numFmtId="168" fontId="25" fillId="2" borderId="0" xfId="7" applyNumberFormat="1" applyFont="1" applyFill="1" applyBorder="1"/>
    <xf numFmtId="37" fontId="32" fillId="0" borderId="0" xfId="0" applyNumberFormat="1" applyFont="1" applyAlignment="1" applyProtection="1">
      <alignment horizontal="left"/>
    </xf>
    <xf numFmtId="37" fontId="34" fillId="0" borderId="36" xfId="0" applyNumberFormat="1" applyFont="1" applyFill="1" applyBorder="1" applyAlignment="1" applyProtection="1">
      <alignment horizontal="right"/>
    </xf>
    <xf numFmtId="37" fontId="34" fillId="0" borderId="16" xfId="0" applyNumberFormat="1" applyFont="1" applyFill="1" applyBorder="1" applyAlignment="1" applyProtection="1">
      <alignment horizontal="right"/>
    </xf>
    <xf numFmtId="3" fontId="26" fillId="0" borderId="0" xfId="0" applyFont="1" applyFill="1" applyBorder="1" applyAlignment="1">
      <alignment horizontal="centerContinuous"/>
    </xf>
    <xf numFmtId="3" fontId="41" fillId="0" borderId="0" xfId="0" applyFont="1" applyAlignment="1">
      <alignment horizontal="centerContinuous"/>
    </xf>
    <xf numFmtId="3" fontId="38" fillId="0" borderId="0" xfId="0" applyFont="1" applyAlignment="1">
      <alignment horizontal="centerContinuous"/>
    </xf>
    <xf numFmtId="3" fontId="47" fillId="0" borderId="0" xfId="0" applyFont="1"/>
    <xf numFmtId="37" fontId="34" fillId="0" borderId="17" xfId="0" applyNumberFormat="1" applyFont="1" applyBorder="1" applyAlignment="1" applyProtection="1">
      <alignment horizontal="centerContinuous" wrapText="1"/>
    </xf>
    <xf numFmtId="3" fontId="48" fillId="3" borderId="0" xfId="0" applyFont="1" applyFill="1" applyAlignment="1">
      <alignment vertical="center"/>
    </xf>
    <xf numFmtId="3" fontId="33" fillId="0" borderId="3" xfId="0" applyFont="1" applyBorder="1"/>
    <xf numFmtId="3" fontId="25" fillId="0" borderId="3" xfId="0" applyFont="1" applyBorder="1" applyAlignment="1">
      <alignment horizontal="right" wrapText="1"/>
    </xf>
    <xf numFmtId="3" fontId="25" fillId="0" borderId="21" xfId="0" applyFont="1" applyBorder="1"/>
    <xf numFmtId="3" fontId="25" fillId="0" borderId="16" xfId="0" applyFont="1" applyBorder="1" applyAlignment="1">
      <alignment horizontal="right" wrapText="1"/>
    </xf>
    <xf numFmtId="3" fontId="47" fillId="3" borderId="0" xfId="0" applyFont="1" applyFill="1"/>
    <xf numFmtId="3" fontId="47" fillId="0" borderId="3" xfId="0" applyFont="1" applyBorder="1"/>
    <xf numFmtId="3" fontId="25" fillId="0" borderId="28" xfId="0" applyFont="1" applyBorder="1"/>
    <xf numFmtId="10" fontId="25" fillId="0" borderId="0" xfId="7" applyNumberFormat="1" applyFont="1" applyBorder="1"/>
    <xf numFmtId="10" fontId="25" fillId="0" borderId="15" xfId="7" applyNumberFormat="1" applyFont="1" applyBorder="1"/>
    <xf numFmtId="165" fontId="33" fillId="0" borderId="2" xfId="0" applyNumberFormat="1" applyFont="1" applyFill="1" applyBorder="1" applyAlignment="1"/>
    <xf numFmtId="165" fontId="25" fillId="0" borderId="33" xfId="0" applyNumberFormat="1" applyFont="1" applyFill="1" applyBorder="1"/>
    <xf numFmtId="165" fontId="25" fillId="0" borderId="7" xfId="0" applyNumberFormat="1" applyFont="1" applyFill="1" applyBorder="1"/>
    <xf numFmtId="165" fontId="25" fillId="0" borderId="0" xfId="0" applyNumberFormat="1" applyFont="1" applyFill="1"/>
    <xf numFmtId="166" fontId="33" fillId="0" borderId="33" xfId="0" applyNumberFormat="1" applyFont="1" applyFill="1" applyBorder="1" applyAlignment="1">
      <alignment horizontal="right"/>
    </xf>
    <xf numFmtId="165" fontId="33" fillId="0" borderId="34" xfId="0" applyNumberFormat="1" applyFont="1" applyFill="1" applyBorder="1" applyAlignment="1"/>
    <xf numFmtId="3" fontId="25" fillId="6" borderId="0" xfId="0" applyFont="1" applyFill="1" applyBorder="1"/>
    <xf numFmtId="165" fontId="25" fillId="0" borderId="34" xfId="0" applyNumberFormat="1" applyFont="1" applyFill="1" applyBorder="1" applyAlignment="1">
      <alignment wrapText="1"/>
    </xf>
    <xf numFmtId="165" fontId="25" fillId="6" borderId="34" xfId="0" applyNumberFormat="1" applyFont="1" applyFill="1" applyBorder="1"/>
    <xf numFmtId="165" fontId="25" fillId="6" borderId="2" xfId="0" applyNumberFormat="1" applyFont="1" applyFill="1" applyBorder="1"/>
    <xf numFmtId="165" fontId="25" fillId="6" borderId="32" xfId="0" applyNumberFormat="1" applyFont="1" applyFill="1" applyBorder="1"/>
    <xf numFmtId="168" fontId="33" fillId="0" borderId="7" xfId="0" applyNumberFormat="1" applyFont="1" applyFill="1" applyBorder="1" applyAlignment="1">
      <alignment horizontal="right"/>
    </xf>
    <xf numFmtId="168" fontId="33" fillId="0" borderId="0" xfId="0" applyNumberFormat="1" applyFont="1" applyFill="1" applyAlignment="1">
      <alignment horizontal="right"/>
    </xf>
    <xf numFmtId="3" fontId="25" fillId="3" borderId="8" xfId="0" applyFont="1" applyFill="1" applyBorder="1" applyAlignment="1">
      <alignment vertical="center"/>
    </xf>
    <xf numFmtId="168" fontId="25" fillId="0" borderId="0" xfId="7" quotePrefix="1" applyNumberFormat="1" applyFont="1" applyBorder="1" applyAlignment="1">
      <alignment horizontal="right"/>
    </xf>
    <xf numFmtId="168" fontId="53" fillId="0" borderId="0" xfId="7" quotePrefix="1" applyNumberFormat="1" applyFont="1" applyBorder="1" applyAlignment="1">
      <alignment horizontal="right"/>
    </xf>
    <xf numFmtId="168" fontId="53" fillId="0" borderId="0" xfId="7" quotePrefix="1" applyNumberFormat="1" applyFont="1" applyAlignment="1">
      <alignment vertical="center"/>
    </xf>
    <xf numFmtId="3" fontId="53" fillId="0" borderId="15" xfId="0" applyNumberFormat="1" applyFont="1" applyBorder="1" applyAlignment="1">
      <alignment horizontal="right"/>
    </xf>
    <xf numFmtId="168" fontId="53" fillId="0" borderId="0" xfId="7" quotePrefix="1" applyNumberFormat="1" applyFont="1" applyFill="1" applyAlignment="1">
      <alignment vertical="center"/>
    </xf>
    <xf numFmtId="3" fontId="53" fillId="0" borderId="15" xfId="0" applyFont="1" applyBorder="1"/>
    <xf numFmtId="3" fontId="53" fillId="0" borderId="0" xfId="0" applyFont="1"/>
    <xf numFmtId="3" fontId="53" fillId="0" borderId="0" xfId="0" applyNumberFormat="1" applyFont="1" applyAlignment="1">
      <alignment horizontal="right"/>
    </xf>
    <xf numFmtId="3" fontId="53" fillId="0" borderId="15" xfId="0" applyFont="1" applyFill="1" applyBorder="1"/>
    <xf numFmtId="37" fontId="34" fillId="0" borderId="40" xfId="0" applyNumberFormat="1" applyFont="1" applyBorder="1" applyAlignment="1" applyProtection="1">
      <alignment horizontal="center" wrapText="1"/>
    </xf>
    <xf numFmtId="3" fontId="53" fillId="0" borderId="0" xfId="0" applyFont="1" applyBorder="1"/>
    <xf numFmtId="37" fontId="29" fillId="0" borderId="0" xfId="0" applyNumberFormat="1" applyFont="1" applyBorder="1" applyAlignment="1" applyProtection="1">
      <alignment horizontal="left" vertical="top" wrapText="1"/>
    </xf>
    <xf numFmtId="37" fontId="32" fillId="0" borderId="0" xfId="0" applyNumberFormat="1" applyFont="1" applyAlignment="1" applyProtection="1">
      <alignment horizontal="center"/>
    </xf>
    <xf numFmtId="37" fontId="28" fillId="0" borderId="0" xfId="0" applyNumberFormat="1" applyFont="1" applyAlignment="1" applyProtection="1">
      <alignment horizontal="center"/>
    </xf>
    <xf numFmtId="171" fontId="25" fillId="0" borderId="0" xfId="0" applyNumberFormat="1" applyFont="1"/>
    <xf numFmtId="0" fontId="54" fillId="7" borderId="42" xfId="25" applyNumberFormat="1" applyFont="1" applyFill="1" applyBorder="1" applyAlignment="1" applyProtection="1">
      <alignment horizontal="center"/>
      <protection locked="0"/>
    </xf>
    <xf numFmtId="0" fontId="54" fillId="7" borderId="42" xfId="26" applyNumberFormat="1" applyFont="1" applyFill="1" applyBorder="1" applyAlignment="1" applyProtection="1">
      <alignment horizontal="left" wrapText="1"/>
      <protection locked="0"/>
    </xf>
    <xf numFmtId="0" fontId="54" fillId="7" borderId="42" xfId="26" applyNumberFormat="1" applyFont="1" applyFill="1" applyBorder="1" applyAlignment="1" applyProtection="1">
      <alignment horizontal="center"/>
      <protection locked="0"/>
    </xf>
    <xf numFmtId="1" fontId="54" fillId="7" borderId="42" xfId="26" applyNumberFormat="1" applyFont="1" applyFill="1" applyBorder="1" applyAlignment="1" applyProtection="1">
      <alignment horizontal="center"/>
      <protection locked="0"/>
    </xf>
    <xf numFmtId="0" fontId="33" fillId="8" borderId="43" xfId="23" applyNumberFormat="1" applyFont="1" applyFill="1" applyBorder="1" applyAlignment="1" applyProtection="1">
      <alignment horizontal="center"/>
      <protection locked="0"/>
    </xf>
    <xf numFmtId="0" fontId="33" fillId="0" borderId="42" xfId="23" applyNumberFormat="1" applyFont="1" applyFill="1" applyBorder="1" applyAlignment="1" applyProtection="1">
      <alignment horizontal="center"/>
      <protection locked="0"/>
    </xf>
    <xf numFmtId="0" fontId="55" fillId="9" borderId="44" xfId="23" applyNumberFormat="1" applyFont="1" applyFill="1" applyBorder="1" applyAlignment="1" applyProtection="1">
      <alignment horizontal="center"/>
      <protection locked="0"/>
    </xf>
    <xf numFmtId="0" fontId="55" fillId="9" borderId="45" xfId="23" applyNumberFormat="1" applyFont="1" applyFill="1" applyBorder="1" applyAlignment="1" applyProtection="1">
      <alignment horizontal="center"/>
      <protection locked="0"/>
    </xf>
    <xf numFmtId="0" fontId="55" fillId="5" borderId="44" xfId="23" applyNumberFormat="1" applyFont="1" applyFill="1" applyBorder="1" applyAlignment="1" applyProtection="1">
      <alignment horizontal="center"/>
      <protection locked="0"/>
    </xf>
    <xf numFmtId="0" fontId="55" fillId="5" borderId="45" xfId="23" applyNumberFormat="1" applyFont="1" applyFill="1" applyBorder="1" applyAlignment="1" applyProtection="1">
      <alignment horizontal="center"/>
      <protection locked="0"/>
    </xf>
    <xf numFmtId="0" fontId="55" fillId="5" borderId="46" xfId="23" applyNumberFormat="1" applyFont="1" applyFill="1" applyBorder="1" applyAlignment="1" applyProtection="1">
      <alignment horizontal="center"/>
      <protection locked="0"/>
    </xf>
    <xf numFmtId="0" fontId="55" fillId="9" borderId="44" xfId="23" applyNumberFormat="1" applyFont="1" applyFill="1" applyBorder="1" applyAlignment="1" applyProtection="1">
      <alignment horizontal="center"/>
    </xf>
    <xf numFmtId="0" fontId="55" fillId="9" borderId="45" xfId="23" applyNumberFormat="1" applyFont="1" applyFill="1" applyBorder="1" applyAlignment="1" applyProtection="1">
      <alignment horizontal="center"/>
    </xf>
    <xf numFmtId="0" fontId="55" fillId="5" borderId="44" xfId="23" applyNumberFormat="1" applyFont="1" applyFill="1" applyBorder="1" applyAlignment="1" applyProtection="1">
      <alignment horizontal="center"/>
    </xf>
    <xf numFmtId="0" fontId="55" fillId="5" borderId="45" xfId="23" applyNumberFormat="1" applyFont="1" applyFill="1" applyBorder="1" applyAlignment="1" applyProtection="1">
      <alignment horizontal="center"/>
    </xf>
    <xf numFmtId="0" fontId="55" fillId="5" borderId="48" xfId="23" applyNumberFormat="1" applyFont="1" applyFill="1" applyBorder="1" applyAlignment="1" applyProtection="1">
      <alignment horizontal="center"/>
    </xf>
    <xf numFmtId="0" fontId="55" fillId="9" borderId="47" xfId="23" applyNumberFormat="1" applyFont="1" applyFill="1" applyBorder="1" applyAlignment="1" applyProtection="1">
      <alignment horizontal="center"/>
    </xf>
    <xf numFmtId="0" fontId="25" fillId="0" borderId="0" xfId="23" applyNumberFormat="1" applyFont="1" applyFill="1" applyBorder="1" applyAlignment="1" applyProtection="1">
      <alignment horizontal="center"/>
      <protection locked="0"/>
    </xf>
    <xf numFmtId="37" fontId="33" fillId="0" borderId="16" xfId="6" applyNumberFormat="1" applyFont="1" applyFill="1" applyBorder="1" applyAlignment="1" applyProtection="1">
      <alignment horizontal="centerContinuous" wrapText="1"/>
    </xf>
    <xf numFmtId="37" fontId="37" fillId="0" borderId="5" xfId="6" applyNumberFormat="1" applyFont="1" applyFill="1" applyBorder="1" applyAlignment="1" applyProtection="1">
      <alignment horizontal="centerContinuous" wrapText="1"/>
    </xf>
    <xf numFmtId="37" fontId="33" fillId="0" borderId="16" xfId="5" applyNumberFormat="1" applyFont="1" applyFill="1" applyBorder="1" applyAlignment="1" applyProtection="1">
      <alignment horizontal="centerContinuous" wrapText="1"/>
    </xf>
    <xf numFmtId="37" fontId="37" fillId="0" borderId="14" xfId="5" applyNumberFormat="1" applyFont="1" applyFill="1" applyBorder="1" applyAlignment="1" applyProtection="1">
      <alignment horizontal="centerContinuous" wrapText="1"/>
    </xf>
    <xf numFmtId="37" fontId="33" fillId="10" borderId="21" xfId="5" applyNumberFormat="1" applyFont="1" applyFill="1" applyBorder="1" applyAlignment="1" applyProtection="1">
      <alignment horizontal="center" wrapText="1"/>
    </xf>
    <xf numFmtId="37" fontId="37" fillId="5" borderId="21" xfId="5" applyNumberFormat="1" applyFont="1" applyFill="1" applyBorder="1" applyAlignment="1" applyProtection="1">
      <alignment horizontal="center" wrapText="1"/>
    </xf>
    <xf numFmtId="37" fontId="37" fillId="0" borderId="14" xfId="6" applyNumberFormat="1" applyFont="1" applyFill="1" applyBorder="1" applyAlignment="1" applyProtection="1">
      <alignment horizontal="centerContinuous"/>
    </xf>
    <xf numFmtId="37" fontId="37" fillId="0" borderId="21" xfId="6" applyNumberFormat="1" applyFont="1" applyFill="1" applyBorder="1" applyAlignment="1" applyProtection="1">
      <alignment horizontal="centerContinuous"/>
    </xf>
    <xf numFmtId="37" fontId="37" fillId="0" borderId="22" xfId="6" applyNumberFormat="1" applyFont="1" applyFill="1" applyBorder="1" applyAlignment="1" applyProtection="1">
      <alignment horizontal="centerContinuous"/>
    </xf>
    <xf numFmtId="37" fontId="37" fillId="5" borderId="39" xfId="5" applyNumberFormat="1" applyFont="1" applyFill="1" applyBorder="1" applyAlignment="1" applyProtection="1">
      <alignment horizontal="center" wrapText="1"/>
    </xf>
    <xf numFmtId="3" fontId="33" fillId="0" borderId="21" xfId="6" applyFont="1" applyFill="1" applyBorder="1" applyAlignment="1">
      <alignment horizontal="centerContinuous"/>
    </xf>
    <xf numFmtId="3" fontId="33" fillId="0" borderId="14" xfId="6" applyFont="1" applyFill="1" applyBorder="1" applyAlignment="1">
      <alignment horizontal="centerContinuous"/>
    </xf>
    <xf numFmtId="3" fontId="46" fillId="0" borderId="0" xfId="0" applyNumberFormat="1" applyFont="1" applyFill="1" applyBorder="1" applyAlignment="1"/>
    <xf numFmtId="3" fontId="37" fillId="0" borderId="53" xfId="0" applyFont="1" applyBorder="1" applyAlignment="1">
      <alignment vertical="center"/>
    </xf>
    <xf numFmtId="165" fontId="33" fillId="0" borderId="35" xfId="0" applyNumberFormat="1" applyFont="1" applyFill="1" applyBorder="1" applyAlignment="1">
      <alignment horizontal="right"/>
    </xf>
    <xf numFmtId="165" fontId="25" fillId="6" borderId="7" xfId="0" applyNumberFormat="1" applyFont="1" applyFill="1" applyBorder="1"/>
    <xf numFmtId="168" fontId="33" fillId="6" borderId="7" xfId="0" applyNumberFormat="1" applyFont="1" applyFill="1" applyBorder="1" applyAlignment="1">
      <alignment horizontal="right"/>
    </xf>
    <xf numFmtId="165" fontId="25" fillId="0" borderId="15" xfId="0" applyNumberFormat="1" applyFont="1" applyFill="1" applyBorder="1"/>
    <xf numFmtId="0" fontId="57" fillId="7" borderId="42" xfId="25" applyNumberFormat="1" applyFont="1" applyFill="1" applyBorder="1" applyAlignment="1" applyProtection="1">
      <alignment horizontal="left"/>
      <protection locked="0"/>
    </xf>
    <xf numFmtId="165" fontId="33" fillId="0" borderId="0" xfId="23" applyNumberFormat="1" applyFont="1" applyFill="1" applyBorder="1" applyAlignment="1" applyProtection="1">
      <alignment horizontal="left" vertical="top"/>
      <protection locked="0"/>
    </xf>
    <xf numFmtId="164" fontId="33" fillId="0" borderId="0" xfId="10" applyFont="1" applyBorder="1" applyAlignment="1" applyProtection="1">
      <alignment horizontal="left" vertical="top"/>
      <protection locked="0"/>
    </xf>
    <xf numFmtId="3" fontId="32" fillId="0" borderId="21" xfId="6" applyFont="1" applyFill="1" applyBorder="1" applyAlignment="1">
      <alignment horizontal="centerContinuous"/>
    </xf>
    <xf numFmtId="165" fontId="37" fillId="0" borderId="14" xfId="23" applyNumberFormat="1" applyFont="1" applyFill="1" applyBorder="1" applyAlignment="1" applyProtection="1">
      <alignment horizontal="centerContinuous"/>
    </xf>
    <xf numFmtId="49" fontId="33" fillId="11" borderId="15" xfId="10" applyNumberFormat="1" applyFont="1" applyFill="1" applyBorder="1" applyAlignment="1" applyProtection="1">
      <alignment horizontal="left" vertical="top"/>
      <protection locked="0"/>
    </xf>
    <xf numFmtId="49" fontId="33" fillId="11" borderId="0" xfId="10" applyNumberFormat="1" applyFont="1" applyFill="1" applyBorder="1" applyAlignment="1" applyProtection="1">
      <alignment horizontal="left" vertical="top"/>
      <protection locked="0"/>
    </xf>
    <xf numFmtId="49" fontId="25" fillId="12" borderId="0" xfId="23" applyNumberFormat="1" applyFont="1" applyFill="1" applyBorder="1" applyAlignment="1" applyProtection="1">
      <alignment horizontal="left"/>
      <protection locked="0"/>
    </xf>
    <xf numFmtId="1" fontId="25" fillId="12" borderId="0" xfId="27" applyNumberFormat="1" applyFont="1" applyFill="1" applyBorder="1" applyAlignment="1" applyProtection="1">
      <alignment horizontal="center"/>
      <protection locked="0"/>
    </xf>
    <xf numFmtId="49" fontId="25" fillId="12" borderId="0" xfId="23" applyNumberFormat="1" applyFont="1" applyFill="1" applyBorder="1" applyAlignment="1" applyProtection="1">
      <alignment horizontal="center"/>
      <protection locked="0"/>
    </xf>
    <xf numFmtId="165" fontId="25" fillId="12" borderId="49" xfId="23" applyNumberFormat="1" applyFont="1" applyFill="1" applyBorder="1" applyAlignment="1" applyProtection="1">
      <alignment horizontal="center"/>
      <protection locked="0"/>
    </xf>
    <xf numFmtId="165" fontId="33" fillId="12" borderId="0" xfId="23" applyNumberFormat="1" applyFont="1" applyFill="1" applyBorder="1" applyAlignment="1" applyProtection="1">
      <alignment horizontal="center"/>
      <protection locked="0"/>
    </xf>
    <xf numFmtId="3" fontId="25" fillId="12" borderId="37" xfId="23" applyNumberFormat="1" applyFont="1" applyFill="1" applyBorder="1" applyAlignment="1" applyProtection="1">
      <alignment horizontal="right"/>
      <protection locked="0"/>
    </xf>
    <xf numFmtId="3" fontId="33" fillId="12" borderId="0" xfId="23" applyNumberFormat="1" applyFont="1" applyFill="1" applyBorder="1" applyAlignment="1" applyProtection="1">
      <alignment horizontal="right"/>
      <protection locked="0"/>
    </xf>
    <xf numFmtId="3" fontId="25" fillId="12" borderId="49" xfId="23" applyNumberFormat="1" applyFont="1" applyFill="1" applyBorder="1" applyAlignment="1" applyProtection="1">
      <alignment horizontal="right"/>
      <protection locked="0"/>
    </xf>
    <xf numFmtId="37" fontId="29" fillId="0" borderId="0" xfId="0" applyNumberFormat="1" applyFont="1" applyBorder="1" applyAlignment="1" applyProtection="1">
      <alignment horizontal="left" vertical="top" wrapText="1"/>
    </xf>
    <xf numFmtId="3" fontId="0" fillId="0" borderId="0" xfId="0" applyFill="1"/>
    <xf numFmtId="165" fontId="25" fillId="0" borderId="56" xfId="0" applyNumberFormat="1" applyFont="1" applyFill="1" applyBorder="1" applyAlignment="1"/>
    <xf numFmtId="165" fontId="25" fillId="0" borderId="57" xfId="0" applyNumberFormat="1" applyFont="1" applyFill="1" applyBorder="1" applyAlignment="1"/>
    <xf numFmtId="165" fontId="25" fillId="0" borderId="56" xfId="0" applyNumberFormat="1" applyFont="1" applyFill="1" applyBorder="1"/>
    <xf numFmtId="165" fontId="25" fillId="0" borderId="57" xfId="0" applyNumberFormat="1" applyFont="1" applyFill="1" applyBorder="1"/>
    <xf numFmtId="165" fontId="25" fillId="0" borderId="58" xfId="0" applyNumberFormat="1" applyFont="1" applyFill="1" applyBorder="1"/>
    <xf numFmtId="165" fontId="25" fillId="0" borderId="59" xfId="0" applyNumberFormat="1" applyFont="1" applyFill="1" applyBorder="1"/>
    <xf numFmtId="165" fontId="25" fillId="0" borderId="60" xfId="0" applyNumberFormat="1" applyFont="1" applyFill="1" applyBorder="1"/>
    <xf numFmtId="165" fontId="33" fillId="0" borderId="56" xfId="0" applyNumberFormat="1" applyFont="1" applyFill="1" applyBorder="1" applyAlignment="1"/>
    <xf numFmtId="165" fontId="25" fillId="0" borderId="63" xfId="0" applyNumberFormat="1" applyFont="1" applyFill="1" applyBorder="1"/>
    <xf numFmtId="165" fontId="25" fillId="0" borderId="61" xfId="0" applyNumberFormat="1" applyFont="1" applyFill="1" applyBorder="1"/>
    <xf numFmtId="165" fontId="25" fillId="0" borderId="62" xfId="0" applyNumberFormat="1" applyFont="1" applyFill="1" applyBorder="1"/>
    <xf numFmtId="165" fontId="25" fillId="0" borderId="61" xfId="0" applyNumberFormat="1" applyFont="1" applyFill="1" applyBorder="1" applyAlignment="1">
      <alignment horizontal="right"/>
    </xf>
    <xf numFmtId="165" fontId="25" fillId="0" borderId="62" xfId="0" applyNumberFormat="1" applyFont="1" applyFill="1" applyBorder="1" applyAlignment="1">
      <alignment horizontal="right"/>
    </xf>
    <xf numFmtId="165" fontId="25" fillId="0" borderId="56" xfId="0" applyNumberFormat="1" applyFont="1" applyFill="1" applyBorder="1" applyAlignment="1">
      <alignment wrapText="1"/>
    </xf>
    <xf numFmtId="165" fontId="25" fillId="6" borderId="56" xfId="0" applyNumberFormat="1" applyFont="1" applyFill="1" applyBorder="1"/>
    <xf numFmtId="165" fontId="25" fillId="6" borderId="57" xfId="0" applyNumberFormat="1" applyFont="1" applyFill="1" applyBorder="1"/>
    <xf numFmtId="165" fontId="25" fillId="6" borderId="61" xfId="0" applyNumberFormat="1" applyFont="1" applyFill="1" applyBorder="1"/>
    <xf numFmtId="165" fontId="25" fillId="6" borderId="58" xfId="0" applyNumberFormat="1" applyFont="1" applyFill="1" applyBorder="1"/>
    <xf numFmtId="165" fontId="25" fillId="6" borderId="59" xfId="0" applyNumberFormat="1" applyFont="1" applyFill="1" applyBorder="1"/>
    <xf numFmtId="3" fontId="24" fillId="0" borderId="11" xfId="0" applyFont="1" applyBorder="1" applyAlignment="1">
      <alignment horizontal="center"/>
    </xf>
    <xf numFmtId="37" fontId="29" fillId="0" borderId="0" xfId="0" applyNumberFormat="1" applyFont="1" applyBorder="1" applyAlignment="1" applyProtection="1">
      <alignment horizontal="left" vertical="top" wrapText="1"/>
    </xf>
    <xf numFmtId="168" fontId="33" fillId="0" borderId="15" xfId="0" applyNumberFormat="1" applyFont="1" applyFill="1" applyBorder="1" applyAlignment="1">
      <alignment horizontal="right"/>
    </xf>
    <xf numFmtId="165" fontId="25" fillId="6" borderId="64" xfId="0" applyNumberFormat="1" applyFont="1" applyFill="1" applyBorder="1"/>
    <xf numFmtId="165" fontId="25" fillId="6" borderId="54" xfId="0" applyNumberFormat="1" applyFont="1" applyFill="1" applyBorder="1"/>
    <xf numFmtId="168" fontId="33" fillId="6" borderId="54" xfId="0" applyNumberFormat="1" applyFont="1" applyFill="1" applyBorder="1" applyAlignment="1">
      <alignment horizontal="right"/>
    </xf>
    <xf numFmtId="165" fontId="25" fillId="6" borderId="33" xfId="0" applyNumberFormat="1" applyFont="1" applyFill="1" applyBorder="1"/>
    <xf numFmtId="3" fontId="45" fillId="0" borderId="0" xfId="0" applyFont="1" applyFill="1" applyBorder="1" applyAlignment="1"/>
    <xf numFmtId="3" fontId="25" fillId="6" borderId="57" xfId="0" applyFont="1" applyFill="1" applyBorder="1"/>
    <xf numFmtId="3" fontId="25" fillId="6" borderId="58" xfId="0" applyFont="1" applyFill="1" applyBorder="1"/>
    <xf numFmtId="3" fontId="25" fillId="6" borderId="56" xfId="0" applyFont="1" applyFill="1" applyBorder="1"/>
    <xf numFmtId="3" fontId="25" fillId="6" borderId="59" xfId="0" applyFont="1" applyFill="1" applyBorder="1"/>
    <xf numFmtId="3" fontId="25" fillId="6" borderId="2" xfId="0" applyFont="1" applyFill="1" applyBorder="1"/>
    <xf numFmtId="3" fontId="25" fillId="6" borderId="32" xfId="0" applyFont="1" applyFill="1" applyBorder="1"/>
    <xf numFmtId="3" fontId="25" fillId="6" borderId="56" xfId="0" applyNumberFormat="1" applyFont="1" applyFill="1" applyBorder="1"/>
    <xf numFmtId="3" fontId="25" fillId="6" borderId="59" xfId="0" applyNumberFormat="1" applyFont="1" applyFill="1" applyBorder="1"/>
    <xf numFmtId="3" fontId="25" fillId="6" borderId="7" xfId="0" applyNumberFormat="1" applyFont="1" applyFill="1" applyBorder="1"/>
    <xf numFmtId="3" fontId="25" fillId="6" borderId="33" xfId="0" applyNumberFormat="1" applyFont="1" applyFill="1" applyBorder="1"/>
    <xf numFmtId="168" fontId="33" fillId="6" borderId="7" xfId="0" applyNumberFormat="1" applyFont="1" applyFill="1" applyBorder="1"/>
    <xf numFmtId="168" fontId="33" fillId="6" borderId="33" xfId="0" applyNumberFormat="1" applyFont="1" applyFill="1" applyBorder="1"/>
    <xf numFmtId="168" fontId="33" fillId="6" borderId="8" xfId="0" applyNumberFormat="1" applyFont="1" applyFill="1" applyBorder="1"/>
    <xf numFmtId="168" fontId="33" fillId="6" borderId="35" xfId="0" applyNumberFormat="1" applyFont="1" applyFill="1" applyBorder="1"/>
    <xf numFmtId="168" fontId="47" fillId="6" borderId="38" xfId="0" applyNumberFormat="1" applyFont="1" applyFill="1" applyBorder="1"/>
    <xf numFmtId="168" fontId="47" fillId="6" borderId="41" xfId="0" applyNumberFormat="1" applyFont="1" applyFill="1" applyBorder="1"/>
    <xf numFmtId="3" fontId="52" fillId="0" borderId="0" xfId="0" applyFont="1" applyFill="1"/>
    <xf numFmtId="166" fontId="45" fillId="0" borderId="0" xfId="0" applyNumberFormat="1" applyFont="1" applyFill="1"/>
    <xf numFmtId="3" fontId="25" fillId="0" borderId="56" xfId="0" applyFont="1" applyFill="1" applyBorder="1"/>
    <xf numFmtId="3" fontId="25" fillId="0" borderId="57" xfId="0" applyFont="1" applyFill="1" applyBorder="1"/>
    <xf numFmtId="3" fontId="25" fillId="0" borderId="60" xfId="0" applyFont="1" applyFill="1" applyBorder="1"/>
    <xf numFmtId="3" fontId="25" fillId="0" borderId="2" xfId="0" applyFont="1" applyFill="1" applyBorder="1"/>
    <xf numFmtId="3" fontId="25" fillId="0" borderId="56" xfId="0" applyNumberFormat="1" applyFont="1" applyFill="1" applyBorder="1"/>
    <xf numFmtId="3" fontId="25" fillId="0" borderId="60" xfId="0" applyNumberFormat="1" applyFont="1" applyFill="1" applyBorder="1"/>
    <xf numFmtId="3" fontId="25" fillId="0" borderId="7" xfId="0" applyNumberFormat="1" applyFont="1" applyFill="1" applyBorder="1"/>
    <xf numFmtId="168" fontId="33" fillId="13" borderId="7" xfId="0" applyNumberFormat="1" applyFont="1" applyFill="1" applyBorder="1"/>
    <xf numFmtId="3" fontId="58" fillId="11" borderId="7" xfId="0" applyFont="1" applyFill="1" applyBorder="1"/>
    <xf numFmtId="37" fontId="32" fillId="0" borderId="0" xfId="0" applyNumberFormat="1" applyFont="1" applyAlignment="1" applyProtection="1"/>
    <xf numFmtId="3" fontId="25" fillId="0" borderId="55" xfId="0" applyFont="1" applyBorder="1"/>
    <xf numFmtId="37" fontId="25" fillId="0" borderId="55" xfId="0" applyNumberFormat="1" applyFont="1" applyBorder="1" applyAlignment="1">
      <alignment horizontal="right"/>
    </xf>
    <xf numFmtId="37" fontId="25" fillId="0" borderId="55" xfId="0" applyNumberFormat="1" applyFont="1" applyFill="1" applyBorder="1" applyAlignment="1">
      <alignment horizontal="right"/>
    </xf>
    <xf numFmtId="37" fontId="0" fillId="0" borderId="0" xfId="0" applyNumberFormat="1" applyFont="1" applyAlignment="1" applyProtection="1">
      <alignment horizontal="left"/>
    </xf>
    <xf numFmtId="37" fontId="33" fillId="0" borderId="13" xfId="0" applyNumberFormat="1" applyFont="1" applyBorder="1" applyAlignment="1" applyProtection="1">
      <alignment horizontal="center"/>
    </xf>
    <xf numFmtId="37" fontId="34" fillId="0" borderId="13" xfId="0" applyNumberFormat="1" applyFont="1" applyBorder="1" applyAlignment="1" applyProtection="1">
      <alignment horizontal="center"/>
    </xf>
    <xf numFmtId="37" fontId="34" fillId="0" borderId="18" xfId="0" applyNumberFormat="1" applyFont="1" applyBorder="1" applyAlignment="1" applyProtection="1">
      <alignment horizontal="center"/>
    </xf>
    <xf numFmtId="3" fontId="25" fillId="0" borderId="11" xfId="0" applyFont="1" applyFill="1" applyBorder="1" applyAlignment="1">
      <alignment horizontal="center"/>
    </xf>
    <xf numFmtId="37" fontId="0" fillId="0" borderId="0" xfId="0" applyNumberFormat="1" applyBorder="1" applyAlignment="1" applyProtection="1">
      <alignment vertical="top" wrapText="1"/>
    </xf>
    <xf numFmtId="37" fontId="33" fillId="0" borderId="62" xfId="0" applyNumberFormat="1" applyFont="1" applyBorder="1" applyAlignment="1" applyProtection="1">
      <alignment horizontal="center"/>
    </xf>
    <xf numFmtId="37" fontId="34" fillId="0" borderId="62" xfId="0" applyNumberFormat="1" applyFont="1" applyBorder="1" applyAlignment="1" applyProtection="1">
      <alignment horizontal="centerContinuous" wrapText="1"/>
    </xf>
    <xf numFmtId="37" fontId="34" fillId="0" borderId="65" xfId="0" applyNumberFormat="1" applyFont="1" applyBorder="1" applyAlignment="1" applyProtection="1">
      <alignment horizontal="right"/>
    </xf>
    <xf numFmtId="3" fontId="24" fillId="0" borderId="17" xfId="0" applyFont="1" applyFill="1" applyBorder="1" applyAlignment="1">
      <alignment horizontal="centerContinuous"/>
    </xf>
    <xf numFmtId="37" fontId="34" fillId="0" borderId="66" xfId="0" applyNumberFormat="1" applyFont="1" applyBorder="1" applyAlignment="1" applyProtection="1">
      <alignment horizontal="centerContinuous"/>
    </xf>
    <xf numFmtId="3" fontId="24" fillId="0" borderId="66" xfId="0" applyFont="1" applyBorder="1" applyAlignment="1">
      <alignment horizontal="centerContinuous"/>
    </xf>
    <xf numFmtId="37" fontId="53" fillId="0" borderId="0" xfId="0" quotePrefix="1" applyNumberFormat="1" applyFont="1" applyAlignment="1">
      <alignment horizontal="right"/>
    </xf>
    <xf numFmtId="37" fontId="53" fillId="0" borderId="15" xfId="0" quotePrefix="1" applyNumberFormat="1" applyFont="1" applyBorder="1" applyAlignment="1">
      <alignment horizontal="right"/>
    </xf>
    <xf numFmtId="3" fontId="25" fillId="0" borderId="0" xfId="0" applyFont="1" applyBorder="1" applyAlignment="1">
      <alignment horizontal="centerContinuous"/>
    </xf>
    <xf numFmtId="37" fontId="34" fillId="0" borderId="0" xfId="0" applyNumberFormat="1" applyFont="1" applyBorder="1" applyAlignment="1" applyProtection="1">
      <alignment horizontal="right"/>
    </xf>
    <xf numFmtId="37" fontId="34" fillId="0" borderId="18" xfId="0" applyNumberFormat="1" applyFont="1" applyBorder="1" applyAlignment="1" applyProtection="1">
      <alignment horizontal="centerContinuous" vertical="center"/>
    </xf>
    <xf numFmtId="3" fontId="24" fillId="0" borderId="13" xfId="0" applyFont="1" applyBorder="1" applyAlignment="1">
      <alignment horizontal="centerContinuous" vertical="center"/>
    </xf>
    <xf numFmtId="3" fontId="25" fillId="0" borderId="11" xfId="0" applyFont="1" applyBorder="1" applyAlignment="1">
      <alignment horizontal="centerContinuous" vertical="center"/>
    </xf>
    <xf numFmtId="10" fontId="49" fillId="13" borderId="0" xfId="7" applyNumberFormat="1" applyFont="1" applyFill="1" applyBorder="1" applyAlignment="1">
      <alignment horizontal="center"/>
    </xf>
    <xf numFmtId="3" fontId="25" fillId="0" borderId="0" xfId="0" applyFont="1" applyFill="1" applyBorder="1" applyAlignment="1">
      <alignment horizontal="right" wrapText="1"/>
    </xf>
    <xf numFmtId="168" fontId="25" fillId="0" borderId="0" xfId="7" applyNumberFormat="1" applyFont="1" applyFill="1" applyBorder="1"/>
    <xf numFmtId="2" fontId="49" fillId="0" borderId="0" xfId="7" applyNumberFormat="1" applyFont="1" applyFill="1" applyBorder="1" applyAlignment="1">
      <alignment horizontal="center"/>
    </xf>
    <xf numFmtId="169" fontId="49" fillId="0" borderId="0" xfId="7" applyNumberFormat="1" applyFont="1" applyFill="1" applyBorder="1" applyAlignment="1">
      <alignment horizontal="center"/>
    </xf>
    <xf numFmtId="170" fontId="49" fillId="0" borderId="0" xfId="7" applyNumberFormat="1" applyFont="1" applyFill="1" applyBorder="1" applyAlignment="1">
      <alignment horizontal="center"/>
    </xf>
    <xf numFmtId="10" fontId="25" fillId="0" borderId="6" xfId="7" applyNumberFormat="1" applyFont="1" applyBorder="1"/>
    <xf numFmtId="10" fontId="53" fillId="0" borderId="0" xfId="7" quotePrefix="1" applyNumberFormat="1" applyFont="1" applyBorder="1"/>
    <xf numFmtId="10" fontId="53" fillId="0" borderId="15" xfId="7" quotePrefix="1" applyNumberFormat="1" applyFont="1" applyBorder="1"/>
    <xf numFmtId="10" fontId="25" fillId="0" borderId="3" xfId="7" applyNumberFormat="1" applyFont="1" applyBorder="1"/>
    <xf numFmtId="10" fontId="25" fillId="0" borderId="16" xfId="7" applyNumberFormat="1" applyFont="1" applyBorder="1"/>
    <xf numFmtId="10" fontId="25" fillId="0" borderId="55" xfId="7" quotePrefix="1" applyNumberFormat="1" applyFont="1" applyBorder="1"/>
    <xf numFmtId="10" fontId="53" fillId="13" borderId="0" xfId="7" quotePrefix="1" applyNumberFormat="1" applyFont="1" applyFill="1" applyBorder="1" applyAlignment="1">
      <alignment horizontal="center"/>
    </xf>
    <xf numFmtId="10" fontId="25" fillId="0" borderId="15" xfId="0" applyNumberFormat="1" applyFont="1" applyBorder="1"/>
    <xf numFmtId="3" fontId="25" fillId="2" borderId="15" xfId="1" applyNumberFormat="1" applyFont="1" applyFill="1" applyBorder="1"/>
    <xf numFmtId="3" fontId="25" fillId="2" borderId="0" xfId="1" applyNumberFormat="1" applyFont="1" applyFill="1" applyBorder="1"/>
    <xf numFmtId="3" fontId="25" fillId="2" borderId="0" xfId="1" applyNumberFormat="1" applyFont="1" applyFill="1"/>
    <xf numFmtId="3" fontId="25" fillId="2" borderId="16" xfId="1" applyNumberFormat="1" applyFont="1" applyFill="1" applyBorder="1"/>
    <xf numFmtId="3" fontId="25" fillId="2" borderId="3" xfId="1" applyNumberFormat="1" applyFont="1" applyFill="1" applyBorder="1"/>
    <xf numFmtId="3" fontId="25" fillId="2" borderId="5" xfId="1" applyNumberFormat="1" applyFont="1" applyFill="1" applyBorder="1"/>
    <xf numFmtId="37" fontId="29" fillId="0" borderId="0" xfId="0" applyNumberFormat="1" applyFont="1" applyBorder="1" applyAlignment="1" applyProtection="1">
      <alignment vertical="top" wrapText="1"/>
    </xf>
    <xf numFmtId="165" fontId="25" fillId="0" borderId="2" xfId="0" applyNumberFormat="1" applyFont="1" applyFill="1" applyBorder="1"/>
    <xf numFmtId="165" fontId="25" fillId="0" borderId="0" xfId="0" applyNumberFormat="1" applyFont="1" applyFill="1" applyBorder="1"/>
    <xf numFmtId="168" fontId="33" fillId="0" borderId="0" xfId="0" applyNumberFormat="1" applyFont="1" applyFill="1" applyBorder="1" applyAlignment="1">
      <alignment horizontal="right"/>
    </xf>
    <xf numFmtId="166" fontId="47" fillId="0" borderId="0" xfId="0" applyNumberFormat="1" applyFont="1" applyFill="1" applyBorder="1" applyAlignment="1"/>
    <xf numFmtId="3" fontId="47" fillId="0" borderId="0" xfId="0" applyFont="1" applyFill="1" applyBorder="1"/>
    <xf numFmtId="37" fontId="34" fillId="14" borderId="17" xfId="0" applyNumberFormat="1" applyFont="1" applyFill="1" applyBorder="1" applyAlignment="1" applyProtection="1">
      <alignment horizontal="right"/>
    </xf>
    <xf numFmtId="3" fontId="39" fillId="14" borderId="0" xfId="0" applyFont="1" applyFill="1"/>
    <xf numFmtId="3" fontId="47" fillId="14" borderId="0" xfId="0" applyFont="1" applyFill="1"/>
    <xf numFmtId="37" fontId="42" fillId="14" borderId="13" xfId="0" applyNumberFormat="1" applyFont="1" applyFill="1" applyBorder="1" applyAlignment="1" applyProtection="1">
      <alignment horizontal="centerContinuous"/>
    </xf>
    <xf numFmtId="3" fontId="43" fillId="14" borderId="11" xfId="0" applyFont="1" applyFill="1" applyBorder="1" applyAlignment="1">
      <alignment horizontal="centerContinuous"/>
    </xf>
    <xf numFmtId="37" fontId="42" fillId="14" borderId="17" xfId="0" applyNumberFormat="1" applyFont="1" applyFill="1" applyBorder="1" applyAlignment="1" applyProtection="1">
      <alignment horizontal="center" wrapText="1"/>
    </xf>
    <xf numFmtId="37" fontId="42" fillId="14" borderId="17" xfId="0" applyNumberFormat="1" applyFont="1" applyFill="1" applyBorder="1" applyAlignment="1" applyProtection="1">
      <alignment horizontal="right"/>
    </xf>
    <xf numFmtId="3" fontId="39" fillId="14" borderId="0" xfId="0" applyNumberFormat="1" applyFont="1" applyFill="1" applyAlignment="1">
      <alignment horizontal="right"/>
    </xf>
    <xf numFmtId="3" fontId="39" fillId="14" borderId="0" xfId="0" applyNumberFormat="1" applyFont="1" applyFill="1" applyBorder="1" applyAlignment="1">
      <alignment horizontal="right"/>
    </xf>
    <xf numFmtId="3" fontId="39" fillId="14" borderId="4" xfId="0" applyNumberFormat="1" applyFont="1" applyFill="1" applyBorder="1" applyAlignment="1">
      <alignment horizontal="right"/>
    </xf>
    <xf numFmtId="3" fontId="48" fillId="14" borderId="0" xfId="0" applyFont="1" applyFill="1" applyAlignment="1">
      <alignment vertical="center"/>
    </xf>
    <xf numFmtId="3" fontId="39" fillId="14" borderId="3" xfId="0" applyNumberFormat="1" applyFont="1" applyFill="1" applyBorder="1" applyAlignment="1">
      <alignment horizontal="right"/>
    </xf>
    <xf numFmtId="3" fontId="39" fillId="14" borderId="5" xfId="0" applyNumberFormat="1" applyFont="1" applyFill="1" applyBorder="1" applyAlignment="1">
      <alignment horizontal="right"/>
    </xf>
    <xf numFmtId="3" fontId="39" fillId="14" borderId="16" xfId="0" applyFont="1" applyFill="1" applyBorder="1"/>
    <xf numFmtId="3" fontId="39" fillId="14" borderId="15" xfId="0" applyFont="1" applyFill="1" applyBorder="1"/>
    <xf numFmtId="3" fontId="37" fillId="14" borderId="67" xfId="0" applyFont="1" applyFill="1" applyBorder="1" applyAlignment="1">
      <alignment vertical="center"/>
    </xf>
    <xf numFmtId="3" fontId="50" fillId="14" borderId="16" xfId="0" applyFont="1" applyFill="1" applyBorder="1"/>
    <xf numFmtId="2" fontId="49" fillId="13" borderId="68" xfId="1" applyNumberFormat="1" applyFont="1" applyFill="1" applyBorder="1" applyAlignment="1">
      <alignment horizontal="center"/>
    </xf>
    <xf numFmtId="2" fontId="49" fillId="13" borderId="4" xfId="7" applyNumberFormat="1" applyFont="1" applyFill="1" applyBorder="1" applyAlignment="1">
      <alignment horizontal="center"/>
    </xf>
    <xf numFmtId="2" fontId="49" fillId="13" borderId="4" xfId="1" applyNumberFormat="1" applyFont="1" applyFill="1" applyBorder="1" applyAlignment="1">
      <alignment horizontal="center"/>
    </xf>
    <xf numFmtId="2" fontId="49" fillId="13" borderId="5" xfId="1" applyNumberFormat="1" applyFont="1" applyFill="1" applyBorder="1" applyAlignment="1">
      <alignment horizontal="center"/>
    </xf>
    <xf numFmtId="169" fontId="49" fillId="13" borderId="0" xfId="7" applyNumberFormat="1" applyFont="1" applyFill="1" applyBorder="1" applyAlignment="1">
      <alignment horizontal="center"/>
    </xf>
    <xf numFmtId="0" fontId="55" fillId="9" borderId="47" xfId="23" applyNumberFormat="1" applyFont="1" applyFill="1" applyBorder="1" applyAlignment="1" applyProtection="1">
      <alignment horizontal="centerContinuous"/>
    </xf>
    <xf numFmtId="0" fontId="55" fillId="5" borderId="44" xfId="23" applyNumberFormat="1" applyFont="1" applyFill="1" applyBorder="1" applyAlignment="1" applyProtection="1">
      <alignment horizontal="centerContinuous"/>
    </xf>
    <xf numFmtId="3" fontId="47" fillId="0" borderId="7" xfId="0" applyFont="1" applyFill="1" applyBorder="1"/>
    <xf numFmtId="168" fontId="33" fillId="0" borderId="8" xfId="0" applyNumberFormat="1" applyFont="1" applyFill="1" applyBorder="1"/>
    <xf numFmtId="168" fontId="33" fillId="0" borderId="7" xfId="0" applyNumberFormat="1" applyFont="1" applyFill="1" applyBorder="1"/>
    <xf numFmtId="3" fontId="25" fillId="0" borderId="7" xfId="0" applyFont="1" applyFill="1" applyBorder="1"/>
    <xf numFmtId="3" fontId="55" fillId="5" borderId="50" xfId="23" applyNumberFormat="1" applyFont="1" applyFill="1" applyBorder="1" applyAlignment="1" applyProtection="1">
      <alignment horizontal="right"/>
    </xf>
    <xf numFmtId="3" fontId="50" fillId="9" borderId="37" xfId="23" applyNumberFormat="1" applyFont="1" applyFill="1" applyBorder="1" applyAlignment="1" applyProtection="1">
      <alignment horizontal="right"/>
    </xf>
    <xf numFmtId="3" fontId="50" fillId="9" borderId="15" xfId="23" applyNumberFormat="1" applyFont="1" applyFill="1" applyBorder="1" applyAlignment="1" applyProtection="1">
      <alignment horizontal="right"/>
    </xf>
    <xf numFmtId="3" fontId="55" fillId="5" borderId="37" xfId="23" applyNumberFormat="1" applyFont="1" applyFill="1" applyBorder="1" applyAlignment="1" applyProtection="1">
      <alignment horizontal="right"/>
    </xf>
    <xf numFmtId="3" fontId="55" fillId="5" borderId="15" xfId="23" applyNumberFormat="1" applyFont="1" applyFill="1" applyBorder="1" applyAlignment="1" applyProtection="1">
      <alignment horizontal="right"/>
    </xf>
    <xf numFmtId="3" fontId="50" fillId="9" borderId="0" xfId="23" applyNumberFormat="1" applyFont="1" applyFill="1" applyBorder="1" applyAlignment="1" applyProtection="1">
      <alignment horizontal="right"/>
    </xf>
    <xf numFmtId="3" fontId="55" fillId="5" borderId="52" xfId="23" applyNumberFormat="1" applyFont="1" applyFill="1" applyBorder="1" applyAlignment="1" applyProtection="1">
      <alignment horizontal="right"/>
    </xf>
    <xf numFmtId="3" fontId="50" fillId="9" borderId="51" xfId="23" applyNumberFormat="1" applyFont="1" applyFill="1" applyBorder="1" applyAlignment="1" applyProtection="1">
      <alignment horizontal="right"/>
    </xf>
    <xf numFmtId="3" fontId="25" fillId="8" borderId="37" xfId="23" applyNumberFormat="1" applyFont="1" applyFill="1" applyBorder="1" applyAlignment="1" applyProtection="1">
      <alignment horizontal="right"/>
      <protection locked="0"/>
    </xf>
    <xf numFmtId="168" fontId="33" fillId="13" borderId="7" xfId="0" applyNumberFormat="1" applyFont="1" applyFill="1" applyBorder="1" applyAlignment="1">
      <alignment horizontal="right"/>
    </xf>
    <xf numFmtId="168" fontId="33" fillId="13" borderId="0" xfId="0" applyNumberFormat="1" applyFont="1" applyFill="1" applyAlignment="1">
      <alignment horizontal="right"/>
    </xf>
    <xf numFmtId="168" fontId="33" fillId="0" borderId="0" xfId="0" applyNumberFormat="1" applyFont="1" applyFill="1"/>
    <xf numFmtId="168" fontId="47" fillId="0" borderId="38" xfId="0" applyNumberFormat="1" applyFont="1" applyFill="1" applyBorder="1"/>
    <xf numFmtId="168" fontId="47" fillId="0" borderId="55" xfId="0" applyNumberFormat="1" applyFont="1" applyFill="1" applyBorder="1"/>
    <xf numFmtId="168" fontId="47" fillId="13" borderId="38" xfId="0" applyNumberFormat="1" applyFont="1" applyFill="1" applyBorder="1"/>
    <xf numFmtId="168" fontId="47" fillId="13" borderId="55" xfId="0" applyNumberFormat="1" applyFont="1" applyFill="1" applyBorder="1"/>
    <xf numFmtId="165" fontId="25" fillId="0" borderId="64" xfId="0" applyNumberFormat="1" applyFont="1" applyFill="1" applyBorder="1"/>
    <xf numFmtId="165" fontId="25" fillId="0" borderId="54" xfId="0" applyNumberFormat="1" applyFont="1" applyFill="1" applyBorder="1"/>
    <xf numFmtId="168" fontId="33" fillId="0" borderId="54" xfId="0" applyNumberFormat="1" applyFont="1" applyFill="1" applyBorder="1" applyAlignment="1">
      <alignment horizontal="right"/>
    </xf>
    <xf numFmtId="3" fontId="33" fillId="0" borderId="56" xfId="0" applyFont="1" applyFill="1" applyBorder="1"/>
    <xf numFmtId="3" fontId="33" fillId="0" borderId="2" xfId="0" applyFont="1" applyFill="1" applyBorder="1"/>
    <xf numFmtId="168" fontId="33" fillId="13" borderId="0" xfId="0" applyNumberFormat="1" applyFont="1" applyFill="1"/>
    <xf numFmtId="3" fontId="45" fillId="0" borderId="55" xfId="0" applyFont="1" applyFill="1" applyBorder="1"/>
    <xf numFmtId="168" fontId="25" fillId="0" borderId="5" xfId="7" applyNumberFormat="1" applyFont="1" applyBorder="1" applyAlignment="1">
      <alignment horizontal="right"/>
    </xf>
    <xf numFmtId="4" fontId="25" fillId="0" borderId="0" xfId="0" applyNumberFormat="1" applyFont="1" applyBorder="1" applyAlignment="1">
      <alignment horizontal="right"/>
    </xf>
    <xf numFmtId="4" fontId="25" fillId="0" borderId="4" xfId="0" applyNumberFormat="1" applyFont="1" applyBorder="1" applyAlignment="1">
      <alignment horizontal="right"/>
    </xf>
    <xf numFmtId="43" fontId="25" fillId="0" borderId="0" xfId="0" applyNumberFormat="1" applyFont="1" applyFill="1"/>
    <xf numFmtId="43" fontId="25" fillId="0" borderId="7" xfId="0" applyNumberFormat="1" applyFont="1" applyFill="1" applyBorder="1"/>
    <xf numFmtId="170" fontId="49" fillId="13" borderId="4" xfId="1" applyNumberFormat="1" applyFont="1" applyFill="1" applyBorder="1" applyAlignment="1">
      <alignment horizontal="center"/>
    </xf>
    <xf numFmtId="4" fontId="85" fillId="0" borderId="0" xfId="0" applyNumberFormat="1" applyFont="1"/>
    <xf numFmtId="3" fontId="25" fillId="0" borderId="3" xfId="0" applyFont="1" applyBorder="1" applyAlignment="1">
      <alignment wrapText="1"/>
    </xf>
    <xf numFmtId="3" fontId="25" fillId="0" borderId="3" xfId="0" applyFont="1" applyBorder="1" applyAlignment="1">
      <alignment horizontal="center"/>
    </xf>
    <xf numFmtId="3" fontId="25" fillId="0" borderId="4" xfId="0" applyFont="1" applyBorder="1"/>
    <xf numFmtId="3" fontId="25" fillId="0" borderId="4" xfId="0" applyFont="1" applyFill="1" applyBorder="1"/>
    <xf numFmtId="3" fontId="25" fillId="0" borderId="5" xfId="0" applyFont="1" applyBorder="1"/>
    <xf numFmtId="4" fontId="85" fillId="0" borderId="3" xfId="0" applyNumberFormat="1" applyFont="1" applyBorder="1"/>
    <xf numFmtId="3" fontId="50" fillId="0" borderId="0" xfId="0" applyFont="1"/>
    <xf numFmtId="166" fontId="85" fillId="0" borderId="0" xfId="0" applyNumberFormat="1" applyFont="1" applyAlignment="1">
      <alignment vertical="center"/>
    </xf>
    <xf numFmtId="166" fontId="85" fillId="0" borderId="3" xfId="0" applyNumberFormat="1" applyFont="1" applyBorder="1" applyAlignment="1">
      <alignment vertical="center"/>
    </xf>
    <xf numFmtId="166" fontId="85" fillId="0" borderId="0" xfId="0" applyNumberFormat="1" applyFont="1"/>
    <xf numFmtId="4" fontId="85" fillId="0" borderId="16" xfId="0" applyNumberFormat="1" applyFont="1" applyBorder="1"/>
    <xf numFmtId="3" fontId="33" fillId="0" borderId="79" xfId="6" applyFont="1" applyFill="1" applyBorder="1"/>
    <xf numFmtId="37" fontId="37" fillId="0" borderId="80" xfId="6" applyNumberFormat="1" applyFont="1" applyFill="1" applyBorder="1" applyAlignment="1" applyProtection="1">
      <alignment horizontal="center"/>
    </xf>
    <xf numFmtId="165" fontId="25" fillId="8" borderId="81" xfId="23" applyNumberFormat="1" applyFont="1" applyFill="1" applyBorder="1" applyAlignment="1" applyProtection="1">
      <alignment horizontal="center"/>
      <protection locked="0"/>
    </xf>
    <xf numFmtId="165" fontId="25" fillId="0" borderId="37" xfId="23" applyNumberFormat="1" applyFont="1" applyFill="1" applyBorder="1" applyAlignment="1" applyProtection="1">
      <alignment horizontal="center"/>
      <protection locked="0"/>
    </xf>
    <xf numFmtId="3" fontId="25" fillId="0" borderId="37" xfId="23" applyNumberFormat="1" applyFont="1" applyFill="1" applyBorder="1" applyAlignment="1" applyProtection="1">
      <alignment horizontal="right"/>
      <protection locked="0"/>
    </xf>
    <xf numFmtId="165" fontId="86" fillId="0" borderId="82" xfId="0" applyNumberFormat="1" applyFont="1" applyFill="1" applyBorder="1"/>
    <xf numFmtId="165" fontId="86" fillId="0" borderId="83" xfId="0" applyNumberFormat="1" applyFont="1" applyFill="1" applyBorder="1"/>
    <xf numFmtId="165" fontId="86" fillId="0" borderId="84" xfId="0" applyNumberFormat="1" applyFont="1" applyFill="1" applyBorder="1"/>
    <xf numFmtId="165" fontId="86" fillId="0" borderId="85" xfId="0" applyNumberFormat="1" applyFont="1" applyFill="1" applyBorder="1"/>
    <xf numFmtId="165" fontId="86" fillId="0" borderId="86" xfId="0" applyNumberFormat="1" applyFont="1" applyFill="1" applyBorder="1"/>
    <xf numFmtId="165" fontId="86" fillId="0" borderId="87" xfId="0" applyNumberFormat="1" applyFont="1" applyFill="1" applyBorder="1"/>
    <xf numFmtId="165" fontId="86" fillId="0" borderId="88" xfId="0" applyNumberFormat="1" applyFont="1" applyFill="1" applyBorder="1"/>
    <xf numFmtId="166" fontId="87" fillId="0" borderId="87" xfId="0" applyNumberFormat="1" applyFont="1" applyFill="1" applyBorder="1" applyAlignment="1">
      <alignment horizontal="right"/>
    </xf>
    <xf numFmtId="166" fontId="87" fillId="0" borderId="88" xfId="0" applyNumberFormat="1" applyFont="1" applyFill="1" applyBorder="1" applyAlignment="1">
      <alignment horizontal="right"/>
    </xf>
    <xf numFmtId="166" fontId="87" fillId="0" borderId="82" xfId="0" applyNumberFormat="1" applyFont="1" applyFill="1" applyBorder="1" applyAlignment="1"/>
    <xf numFmtId="166" fontId="87" fillId="0" borderId="85" xfId="0" applyNumberFormat="1" applyFont="1" applyFill="1" applyBorder="1" applyAlignment="1"/>
    <xf numFmtId="166" fontId="87" fillId="0" borderId="82" xfId="0" applyNumberFormat="1" applyFont="1" applyFill="1" applyBorder="1" applyAlignment="1">
      <alignment horizontal="right"/>
    </xf>
    <xf numFmtId="166" fontId="87" fillId="0" borderId="85" xfId="0" applyNumberFormat="1" applyFont="1" applyFill="1" applyBorder="1" applyAlignment="1">
      <alignment horizontal="right"/>
    </xf>
    <xf numFmtId="165" fontId="86" fillId="0" borderId="89" xfId="0" applyNumberFormat="1" applyFont="1" applyFill="1" applyBorder="1"/>
    <xf numFmtId="165" fontId="86" fillId="0" borderId="90" xfId="0" applyNumberFormat="1" applyFont="1" applyFill="1" applyBorder="1"/>
    <xf numFmtId="3" fontId="25" fillId="0" borderId="82" xfId="0" applyFont="1" applyBorder="1"/>
    <xf numFmtId="3" fontId="25" fillId="0" borderId="85" xfId="0" applyFont="1" applyBorder="1"/>
    <xf numFmtId="3" fontId="25" fillId="0" borderId="86" xfId="0" applyFont="1" applyBorder="1"/>
    <xf numFmtId="3" fontId="25" fillId="0" borderId="82" xfId="0" applyNumberFormat="1" applyFont="1" applyBorder="1"/>
    <xf numFmtId="3" fontId="25" fillId="0" borderId="85" xfId="0" applyNumberFormat="1" applyFont="1" applyBorder="1"/>
    <xf numFmtId="3" fontId="25" fillId="0" borderId="87" xfId="0" applyNumberFormat="1" applyFont="1" applyBorder="1"/>
    <xf numFmtId="3" fontId="25" fillId="0" borderId="88" xfId="0" applyNumberFormat="1" applyFont="1" applyBorder="1"/>
    <xf numFmtId="168" fontId="33" fillId="0" borderId="82" xfId="0" applyNumberFormat="1" applyFont="1" applyBorder="1"/>
    <xf numFmtId="168" fontId="33" fillId="0" borderId="85" xfId="0" applyNumberFormat="1" applyFont="1" applyBorder="1"/>
    <xf numFmtId="3" fontId="25" fillId="0" borderId="89" xfId="0" applyNumberFormat="1" applyFont="1" applyBorder="1"/>
    <xf numFmtId="3" fontId="25" fillId="0" borderId="90" xfId="0" applyNumberFormat="1" applyFont="1" applyBorder="1"/>
    <xf numFmtId="3" fontId="25" fillId="0" borderId="83" xfId="0" applyFont="1" applyFill="1" applyBorder="1"/>
    <xf numFmtId="3" fontId="25" fillId="0" borderId="84" xfId="0" applyFont="1" applyFill="1" applyBorder="1"/>
    <xf numFmtId="3" fontId="25" fillId="0" borderId="31" xfId="0" applyFont="1" applyFill="1" applyBorder="1"/>
    <xf numFmtId="3" fontId="33" fillId="0" borderId="34" xfId="0" applyFont="1" applyFill="1" applyBorder="1"/>
    <xf numFmtId="17" fontId="0" fillId="0" borderId="0" xfId="0" quotePrefix="1" applyNumberFormat="1" applyFill="1" applyAlignment="1">
      <alignment horizontal="right"/>
    </xf>
    <xf numFmtId="37" fontId="37" fillId="0" borderId="55" xfId="6" applyNumberFormat="1" applyFont="1" applyFill="1" applyBorder="1" applyAlignment="1" applyProtection="1">
      <alignment horizontal="centerContinuous"/>
    </xf>
    <xf numFmtId="165" fontId="25" fillId="4" borderId="0" xfId="23" applyNumberFormat="1" applyFont="1" applyFill="1" applyBorder="1" applyAlignment="1" applyProtection="1">
      <alignment horizontal="center" wrapText="1"/>
    </xf>
    <xf numFmtId="3" fontId="23" fillId="0" borderId="0" xfId="10754"/>
    <xf numFmtId="49" fontId="25" fillId="38" borderId="15" xfId="26046" applyNumberFormat="1" applyFont="1" applyFill="1" applyBorder="1" applyAlignment="1" applyProtection="1">
      <alignment horizontal="center"/>
      <protection locked="0"/>
    </xf>
    <xf numFmtId="49" fontId="25" fillId="38" borderId="0" xfId="26046" applyNumberFormat="1" applyFont="1" applyFill="1" applyBorder="1" applyAlignment="1" applyProtection="1">
      <alignment horizontal="left"/>
      <protection locked="0"/>
    </xf>
    <xf numFmtId="49" fontId="88" fillId="39" borderId="0" xfId="26047" applyNumberFormat="1" applyFont="1" applyFill="1" applyBorder="1" applyAlignment="1" applyProtection="1">
      <alignment horizontal="left"/>
      <protection locked="0"/>
    </xf>
    <xf numFmtId="1" fontId="25" fillId="38" borderId="0" xfId="26046" applyNumberFormat="1" applyFont="1" applyFill="1" applyBorder="1" applyAlignment="1" applyProtection="1">
      <alignment horizontal="center"/>
      <protection locked="0"/>
    </xf>
    <xf numFmtId="1" fontId="25" fillId="38" borderId="0" xfId="26048" applyNumberFormat="1" applyFont="1" applyFill="1" applyBorder="1" applyAlignment="1" applyProtection="1">
      <alignment horizontal="center"/>
      <protection locked="0"/>
    </xf>
    <xf numFmtId="3" fontId="25" fillId="0" borderId="0" xfId="10754" applyNumberFormat="1" applyFont="1" applyFill="1"/>
    <xf numFmtId="49" fontId="25" fillId="38" borderId="0" xfId="26047" applyNumberFormat="1" applyFont="1" applyFill="1" applyBorder="1" applyAlignment="1" applyProtection="1">
      <alignment horizontal="left"/>
      <protection locked="0"/>
    </xf>
    <xf numFmtId="49" fontId="25" fillId="38" borderId="0" xfId="5" applyNumberFormat="1" applyFont="1" applyFill="1" applyBorder="1" applyAlignment="1" applyProtection="1">
      <alignment horizontal="center"/>
      <protection locked="0"/>
    </xf>
    <xf numFmtId="1" fontId="25" fillId="38" borderId="0" xfId="24" applyNumberFormat="1" applyFont="1" applyFill="1" applyBorder="1" applyAlignment="1" applyProtection="1">
      <alignment horizontal="center"/>
      <protection locked="0"/>
    </xf>
    <xf numFmtId="3" fontId="50" fillId="8" borderId="37" xfId="23" applyNumberFormat="1" applyFont="1" applyFill="1" applyBorder="1" applyAlignment="1" applyProtection="1">
      <alignment horizontal="right"/>
      <protection locked="0"/>
    </xf>
    <xf numFmtId="49" fontId="89" fillId="39" borderId="0" xfId="26047" applyNumberFormat="1" applyFont="1" applyFill="1" applyBorder="1" applyAlignment="1" applyProtection="1">
      <alignment horizontal="left"/>
      <protection locked="0"/>
    </xf>
    <xf numFmtId="49" fontId="25" fillId="38" borderId="15" xfId="5" applyNumberFormat="1" applyFont="1" applyFill="1" applyBorder="1" applyAlignment="1" applyProtection="1">
      <alignment horizontal="center"/>
      <protection locked="0"/>
    </xf>
    <xf numFmtId="49" fontId="25" fillId="38" borderId="0" xfId="26046" applyNumberFormat="1" applyFont="1" applyFill="1" applyBorder="1" applyAlignment="1" applyProtection="1">
      <alignment horizontal="center"/>
      <protection locked="0"/>
    </xf>
    <xf numFmtId="49" fontId="25" fillId="39" borderId="0" xfId="26047" applyNumberFormat="1" applyFont="1" applyFill="1" applyBorder="1" applyAlignment="1" applyProtection="1">
      <alignment horizontal="left"/>
      <protection locked="0"/>
    </xf>
    <xf numFmtId="3" fontId="25" fillId="0" borderId="0" xfId="4" applyNumberFormat="1" applyFont="1" applyFill="1" applyBorder="1"/>
    <xf numFmtId="3" fontId="50" fillId="0" borderId="0" xfId="10754" applyNumberFormat="1" applyFont="1" applyFill="1"/>
    <xf numFmtId="49" fontId="25" fillId="40" borderId="15" xfId="24" applyNumberFormat="1" applyFont="1" applyFill="1" applyBorder="1" applyAlignment="1" applyProtection="1">
      <alignment horizontal="center"/>
      <protection locked="0"/>
    </xf>
    <xf numFmtId="49" fontId="25" fillId="40" borderId="0" xfId="24" applyNumberFormat="1" applyFont="1" applyFill="1" applyBorder="1" applyAlignment="1" applyProtection="1">
      <alignment horizontal="left"/>
      <protection locked="0"/>
    </xf>
    <xf numFmtId="49" fontId="88" fillId="40" borderId="0" xfId="24" applyNumberFormat="1" applyFont="1" applyFill="1" applyBorder="1" applyAlignment="1" applyProtection="1">
      <alignment horizontal="left"/>
      <protection locked="0"/>
    </xf>
    <xf numFmtId="49" fontId="25" fillId="40" borderId="0" xfId="110" applyNumberFormat="1" applyFont="1" applyFill="1" applyBorder="1" applyAlignment="1" applyProtection="1">
      <alignment horizontal="center"/>
      <protection locked="0"/>
    </xf>
    <xf numFmtId="1" fontId="25" fillId="40" borderId="0" xfId="24" applyNumberFormat="1" applyFont="1" applyFill="1" applyBorder="1" applyAlignment="1" applyProtection="1">
      <alignment horizontal="center"/>
      <protection locked="0"/>
    </xf>
    <xf numFmtId="49" fontId="89" fillId="40" borderId="0" xfId="24" applyNumberFormat="1" applyFont="1" applyFill="1" applyBorder="1" applyAlignment="1" applyProtection="1">
      <alignment horizontal="left"/>
      <protection locked="0"/>
    </xf>
    <xf numFmtId="1" fontId="33" fillId="40" borderId="0" xfId="24" applyNumberFormat="1" applyFont="1" applyFill="1" applyBorder="1" applyAlignment="1" applyProtection="1">
      <alignment horizontal="center"/>
      <protection locked="0"/>
    </xf>
    <xf numFmtId="1" fontId="47" fillId="40" borderId="0" xfId="24" applyNumberFormat="1" applyFont="1" applyFill="1" applyBorder="1" applyAlignment="1" applyProtection="1">
      <alignment horizontal="center"/>
      <protection locked="0"/>
    </xf>
    <xf numFmtId="49" fontId="25" fillId="40" borderId="0" xfId="5" applyNumberFormat="1" applyFont="1" applyFill="1" applyBorder="1" applyAlignment="1" applyProtection="1">
      <alignment horizontal="left"/>
      <protection locked="0"/>
    </xf>
    <xf numFmtId="0" fontId="25" fillId="40" borderId="0" xfId="110" applyNumberFormat="1" applyFont="1" applyFill="1" applyBorder="1" applyAlignment="1" applyProtection="1">
      <alignment horizontal="center"/>
      <protection locked="0"/>
    </xf>
    <xf numFmtId="49" fontId="25" fillId="40" borderId="15" xfId="26048" applyNumberFormat="1" applyFont="1" applyFill="1" applyBorder="1" applyAlignment="1" applyProtection="1">
      <alignment horizontal="center"/>
      <protection locked="0"/>
    </xf>
    <xf numFmtId="1" fontId="33" fillId="40" borderId="0" xfId="26048" applyNumberFormat="1" applyFont="1" applyFill="1" applyBorder="1" applyAlignment="1" applyProtection="1">
      <alignment horizontal="center"/>
      <protection locked="0"/>
    </xf>
    <xf numFmtId="49" fontId="25" fillId="40" borderId="0" xfId="23" applyNumberFormat="1" applyFont="1" applyFill="1" applyBorder="1" applyAlignment="1" applyProtection="1">
      <alignment horizontal="center"/>
      <protection locked="0"/>
    </xf>
    <xf numFmtId="3" fontId="25" fillId="40" borderId="0" xfId="5" applyFont="1" applyFill="1" applyBorder="1" applyAlignment="1" applyProtection="1">
      <protection locked="0"/>
    </xf>
    <xf numFmtId="1" fontId="25" fillId="40" borderId="0" xfId="26048" applyNumberFormat="1" applyFont="1" applyFill="1" applyBorder="1" applyAlignment="1" applyProtection="1">
      <alignment horizontal="center"/>
      <protection locked="0"/>
    </xf>
    <xf numFmtId="49" fontId="25" fillId="40" borderId="0" xfId="26048" applyNumberFormat="1" applyFont="1" applyFill="1" applyBorder="1" applyAlignment="1" applyProtection="1">
      <alignment horizontal="left"/>
      <protection locked="0"/>
    </xf>
    <xf numFmtId="49" fontId="25" fillId="40" borderId="15" xfId="5" applyNumberFormat="1" applyFont="1" applyFill="1" applyBorder="1" applyAlignment="1" applyProtection="1">
      <alignment horizontal="center"/>
      <protection locked="0"/>
    </xf>
    <xf numFmtId="1" fontId="25" fillId="41" borderId="0" xfId="26049" applyNumberFormat="1" applyFont="1" applyFill="1" applyBorder="1" applyAlignment="1" applyProtection="1">
      <alignment horizontal="center"/>
      <protection locked="0"/>
    </xf>
    <xf numFmtId="3" fontId="50" fillId="0" borderId="37" xfId="23" applyNumberFormat="1" applyFont="1" applyFill="1" applyBorder="1" applyAlignment="1" applyProtection="1">
      <alignment horizontal="right"/>
      <protection locked="0"/>
    </xf>
    <xf numFmtId="49" fontId="25" fillId="42" borderId="0" xfId="26048" applyNumberFormat="1" applyFont="1" applyFill="1" applyBorder="1" applyAlignment="1" applyProtection="1">
      <alignment horizontal="center"/>
      <protection locked="0"/>
    </xf>
    <xf numFmtId="49" fontId="25" fillId="42" borderId="0" xfId="24" applyNumberFormat="1" applyFont="1" applyFill="1" applyBorder="1" applyAlignment="1" applyProtection="1">
      <alignment horizontal="left"/>
      <protection locked="0"/>
    </xf>
    <xf numFmtId="3" fontId="89" fillId="42" borderId="0" xfId="5" applyFont="1" applyFill="1" applyBorder="1" applyAlignment="1" applyProtection="1">
      <protection locked="0"/>
    </xf>
    <xf numFmtId="1" fontId="25" fillId="42" borderId="0" xfId="26048" applyNumberFormat="1" applyFont="1" applyFill="1" applyBorder="1" applyAlignment="1" applyProtection="1">
      <alignment horizontal="center"/>
      <protection locked="0"/>
    </xf>
    <xf numFmtId="1" fontId="33" fillId="42" borderId="0" xfId="26048" applyNumberFormat="1" applyFont="1" applyFill="1" applyBorder="1" applyAlignment="1" applyProtection="1">
      <alignment horizontal="center"/>
      <protection locked="0"/>
    </xf>
    <xf numFmtId="49" fontId="25" fillId="42" borderId="0" xfId="26048" applyNumberFormat="1" applyFont="1" applyFill="1" applyBorder="1" applyAlignment="1" applyProtection="1">
      <alignment horizontal="left"/>
      <protection locked="0"/>
    </xf>
    <xf numFmtId="49" fontId="88" fillId="42" borderId="0" xfId="26048" applyNumberFormat="1" applyFont="1" applyFill="1" applyBorder="1" applyAlignment="1" applyProtection="1">
      <alignment horizontal="left"/>
      <protection locked="0"/>
    </xf>
    <xf numFmtId="49" fontId="88" fillId="42" borderId="0" xfId="24" applyNumberFormat="1" applyFont="1" applyFill="1" applyBorder="1" applyAlignment="1" applyProtection="1">
      <alignment horizontal="left"/>
      <protection locked="0"/>
    </xf>
    <xf numFmtId="1" fontId="25" fillId="42" borderId="0" xfId="24" applyNumberFormat="1" applyFont="1" applyFill="1" applyBorder="1" applyAlignment="1" applyProtection="1">
      <alignment horizontal="center"/>
      <protection locked="0"/>
    </xf>
    <xf numFmtId="49" fontId="92" fillId="42" borderId="0" xfId="24" applyNumberFormat="1" applyFont="1" applyFill="1" applyBorder="1" applyAlignment="1" applyProtection="1">
      <alignment horizontal="left"/>
      <protection locked="0"/>
    </xf>
    <xf numFmtId="1" fontId="47" fillId="42" borderId="0" xfId="26048" applyNumberFormat="1" applyFont="1" applyFill="1" applyBorder="1" applyAlignment="1" applyProtection="1">
      <alignment horizontal="center"/>
      <protection locked="0"/>
    </xf>
    <xf numFmtId="49" fontId="25" fillId="42" borderId="0" xfId="5" applyNumberFormat="1" applyFont="1" applyFill="1" applyBorder="1" applyAlignment="1" applyProtection="1">
      <alignment horizontal="center"/>
      <protection locked="0"/>
    </xf>
    <xf numFmtId="1" fontId="25" fillId="42" borderId="0" xfId="5" applyNumberFormat="1" applyFont="1" applyFill="1" applyBorder="1" applyAlignment="1" applyProtection="1">
      <alignment horizontal="center"/>
      <protection locked="0"/>
    </xf>
    <xf numFmtId="49" fontId="89" fillId="42" borderId="0" xfId="24" applyNumberFormat="1" applyFont="1" applyFill="1" applyBorder="1" applyAlignment="1" applyProtection="1">
      <alignment horizontal="left"/>
      <protection locked="0"/>
    </xf>
    <xf numFmtId="1" fontId="47" fillId="42" borderId="0" xfId="24" applyNumberFormat="1" applyFont="1" applyFill="1" applyBorder="1" applyAlignment="1" applyProtection="1">
      <alignment horizontal="center"/>
      <protection locked="0"/>
    </xf>
    <xf numFmtId="49" fontId="25" fillId="2" borderId="0" xfId="23" applyNumberFormat="1" applyFont="1" applyFill="1" applyBorder="1" applyAlignment="1" applyProtection="1">
      <alignment horizontal="center"/>
      <protection locked="0"/>
    </xf>
    <xf numFmtId="49" fontId="25" fillId="2" borderId="0" xfId="23" applyNumberFormat="1" applyFont="1" applyFill="1" applyBorder="1" applyProtection="1">
      <protection locked="0"/>
    </xf>
    <xf numFmtId="49" fontId="88" fillId="2" borderId="0" xfId="26047" applyNumberFormat="1" applyFont="1" applyFill="1" applyBorder="1" applyAlignment="1" applyProtection="1">
      <alignment horizontal="left"/>
      <protection locked="0"/>
    </xf>
    <xf numFmtId="1" fontId="25" fillId="2" borderId="0" xfId="26046" applyNumberFormat="1" applyFont="1" applyFill="1" applyBorder="1" applyAlignment="1" applyProtection="1">
      <alignment horizontal="center"/>
      <protection locked="0"/>
    </xf>
    <xf numFmtId="1" fontId="25" fillId="2" borderId="0" xfId="26048" applyNumberFormat="1" applyFont="1" applyFill="1" applyBorder="1" applyAlignment="1" applyProtection="1">
      <alignment horizontal="center"/>
      <protection locked="0"/>
    </xf>
    <xf numFmtId="49" fontId="25" fillId="2" borderId="0" xfId="23" applyNumberFormat="1" applyFont="1" applyFill="1" applyBorder="1" applyAlignment="1" applyProtection="1">
      <alignment horizontal="left"/>
      <protection locked="0"/>
    </xf>
    <xf numFmtId="49" fontId="88" fillId="2" borderId="0" xfId="26046" applyNumberFormat="1" applyFont="1" applyFill="1" applyBorder="1" applyAlignment="1" applyProtection="1">
      <alignment horizontal="left"/>
      <protection locked="0"/>
    </xf>
    <xf numFmtId="49" fontId="89" fillId="2" borderId="0" xfId="26047" applyNumberFormat="1" applyFont="1" applyFill="1" applyBorder="1" applyAlignment="1" applyProtection="1">
      <alignment horizontal="left"/>
      <protection locked="0"/>
    </xf>
    <xf numFmtId="1" fontId="25" fillId="2" borderId="0" xfId="24" applyNumberFormat="1" applyFont="1" applyFill="1" applyBorder="1" applyAlignment="1" applyProtection="1">
      <alignment horizontal="center"/>
      <protection locked="0"/>
    </xf>
    <xf numFmtId="49" fontId="25" fillId="2" borderId="15" xfId="23" applyNumberFormat="1" applyFont="1" applyFill="1" applyBorder="1" applyAlignment="1" applyProtection="1">
      <alignment horizontal="center"/>
      <protection locked="0"/>
    </xf>
    <xf numFmtId="49" fontId="88" fillId="2" borderId="0" xfId="110" applyNumberFormat="1" applyFont="1" applyFill="1" applyBorder="1" applyAlignment="1" applyProtection="1">
      <alignment horizontal="left"/>
      <protection locked="0"/>
    </xf>
    <xf numFmtId="0" fontId="25" fillId="2" borderId="0" xfId="26050" applyNumberFormat="1" applyFont="1" applyFill="1" applyBorder="1" applyAlignment="1" applyProtection="1">
      <alignment horizontal="center"/>
      <protection locked="0"/>
    </xf>
    <xf numFmtId="1" fontId="25" fillId="2" borderId="0" xfId="110" applyNumberFormat="1" applyFont="1" applyFill="1" applyBorder="1" applyAlignment="1" applyProtection="1">
      <alignment horizontal="center"/>
      <protection locked="0"/>
    </xf>
    <xf numFmtId="49" fontId="88" fillId="2" borderId="0" xfId="26050" applyNumberFormat="1" applyFont="1" applyFill="1" applyBorder="1" applyAlignment="1" applyProtection="1">
      <alignment horizontal="left"/>
      <protection locked="0"/>
    </xf>
    <xf numFmtId="1" fontId="25" fillId="2" borderId="0" xfId="26050" applyNumberFormat="1" applyFont="1" applyFill="1" applyBorder="1" applyAlignment="1" applyProtection="1">
      <alignment horizontal="center"/>
      <protection locked="0"/>
    </xf>
    <xf numFmtId="1" fontId="47" fillId="2" borderId="0" xfId="26048" applyNumberFormat="1" applyFont="1" applyFill="1" applyBorder="1" applyAlignment="1" applyProtection="1">
      <alignment horizontal="center"/>
      <protection locked="0"/>
    </xf>
    <xf numFmtId="49" fontId="25" fillId="3" borderId="15" xfId="23" applyNumberFormat="1" applyFont="1" applyFill="1" applyBorder="1" applyAlignment="1" applyProtection="1">
      <alignment horizontal="center"/>
      <protection locked="0"/>
    </xf>
    <xf numFmtId="49" fontId="25" fillId="3" borderId="0" xfId="23" applyNumberFormat="1" applyFont="1" applyFill="1" applyBorder="1" applyAlignment="1" applyProtection="1">
      <alignment horizontal="left"/>
      <protection locked="0"/>
    </xf>
    <xf numFmtId="49" fontId="94" fillId="3" borderId="0" xfId="23" applyNumberFormat="1" applyFont="1" applyFill="1" applyBorder="1" applyAlignment="1" applyProtection="1">
      <alignment horizontal="left"/>
      <protection locked="0"/>
    </xf>
    <xf numFmtId="49" fontId="25" fillId="3" borderId="0" xfId="23" applyNumberFormat="1" applyFont="1" applyFill="1" applyBorder="1" applyAlignment="1" applyProtection="1">
      <alignment horizontal="center"/>
      <protection locked="0"/>
    </xf>
    <xf numFmtId="49" fontId="88" fillId="3" borderId="0" xfId="26047" applyNumberFormat="1" applyFont="1" applyFill="1" applyBorder="1" applyAlignment="1" applyProtection="1">
      <alignment horizontal="left"/>
      <protection locked="0"/>
    </xf>
    <xf numFmtId="49" fontId="88" fillId="3" borderId="0" xfId="23" applyNumberFormat="1" applyFont="1" applyFill="1" applyBorder="1" applyAlignment="1" applyProtection="1">
      <alignment horizontal="left"/>
      <protection locked="0"/>
    </xf>
    <xf numFmtId="49" fontId="25" fillId="43" borderId="15" xfId="23" applyNumberFormat="1" applyFont="1" applyFill="1" applyBorder="1" applyAlignment="1" applyProtection="1">
      <alignment horizontal="center"/>
      <protection locked="0"/>
    </xf>
    <xf numFmtId="49" fontId="25" fillId="43" borderId="0" xfId="23" applyNumberFormat="1" applyFont="1" applyFill="1" applyBorder="1" applyAlignment="1" applyProtection="1">
      <alignment horizontal="left"/>
      <protection locked="0"/>
    </xf>
    <xf numFmtId="49" fontId="33" fillId="43" borderId="0" xfId="26047" applyNumberFormat="1" applyFont="1" applyFill="1" applyBorder="1" applyAlignment="1" applyProtection="1">
      <alignment horizontal="left"/>
      <protection locked="0"/>
    </xf>
    <xf numFmtId="1" fontId="25" fillId="43" borderId="0" xfId="26047" applyNumberFormat="1" applyFont="1" applyFill="1" applyBorder="1" applyAlignment="1" applyProtection="1">
      <alignment horizontal="center"/>
      <protection locked="0"/>
    </xf>
    <xf numFmtId="1" fontId="25" fillId="43" borderId="0" xfId="24" applyNumberFormat="1" applyFont="1" applyFill="1" applyBorder="1" applyAlignment="1" applyProtection="1">
      <alignment horizontal="center"/>
      <protection locked="0"/>
    </xf>
    <xf numFmtId="49" fontId="25" fillId="43" borderId="0" xfId="26047" applyNumberFormat="1" applyFont="1" applyFill="1" applyBorder="1" applyAlignment="1" applyProtection="1">
      <alignment horizontal="left"/>
      <protection locked="0"/>
    </xf>
    <xf numFmtId="1" fontId="25" fillId="43" borderId="0" xfId="26046" applyNumberFormat="1" applyFont="1" applyFill="1" applyBorder="1" applyAlignment="1" applyProtection="1">
      <alignment horizontal="center"/>
      <protection locked="0"/>
    </xf>
    <xf numFmtId="1" fontId="25" fillId="43" borderId="0" xfId="26048" applyNumberFormat="1" applyFont="1" applyFill="1" applyBorder="1" applyAlignment="1" applyProtection="1">
      <alignment horizontal="center"/>
      <protection locked="0"/>
    </xf>
    <xf numFmtId="49" fontId="25" fillId="43" borderId="0" xfId="23" applyNumberFormat="1" applyFont="1" applyFill="1" applyBorder="1" applyAlignment="1" applyProtection="1">
      <alignment horizontal="center"/>
      <protection locked="0"/>
    </xf>
    <xf numFmtId="49" fontId="25" fillId="43" borderId="0" xfId="26046" applyNumberFormat="1" applyFont="1" applyFill="1" applyBorder="1" applyAlignment="1" applyProtection="1">
      <alignment horizontal="left"/>
      <protection locked="0"/>
    </xf>
    <xf numFmtId="49" fontId="95" fillId="43" borderId="0" xfId="26047" applyNumberFormat="1" applyFont="1" applyFill="1" applyBorder="1" applyAlignment="1" applyProtection="1">
      <alignment horizontal="left"/>
      <protection locked="0"/>
    </xf>
    <xf numFmtId="49" fontId="96" fillId="43" borderId="0" xfId="26047" applyNumberFormat="1" applyFont="1" applyFill="1" applyBorder="1" applyAlignment="1" applyProtection="1">
      <alignment horizontal="left"/>
      <protection locked="0"/>
    </xf>
    <xf numFmtId="1" fontId="47" fillId="43" borderId="0" xfId="24" applyNumberFormat="1" applyFont="1" applyFill="1" applyBorder="1" applyAlignment="1" applyProtection="1">
      <alignment horizontal="center"/>
      <protection locked="0"/>
    </xf>
    <xf numFmtId="49" fontId="95" fillId="43" borderId="0" xfId="26046" applyNumberFormat="1" applyFont="1" applyFill="1" applyBorder="1" applyAlignment="1" applyProtection="1">
      <alignment horizontal="left"/>
      <protection locked="0"/>
    </xf>
    <xf numFmtId="49" fontId="25" fillId="44" borderId="15" xfId="26047" applyNumberFormat="1" applyFont="1" applyFill="1" applyBorder="1" applyAlignment="1" applyProtection="1">
      <alignment horizontal="center"/>
      <protection locked="0"/>
    </xf>
    <xf numFmtId="49" fontId="25" fillId="44" borderId="0" xfId="26047" applyNumberFormat="1" applyFont="1" applyFill="1" applyBorder="1" applyAlignment="1" applyProtection="1">
      <alignment horizontal="left"/>
      <protection locked="0"/>
    </xf>
    <xf numFmtId="49" fontId="33" fillId="44" borderId="0" xfId="26047" applyNumberFormat="1" applyFont="1" applyFill="1" applyBorder="1" applyAlignment="1" applyProtection="1">
      <alignment horizontal="left"/>
      <protection locked="0"/>
    </xf>
    <xf numFmtId="1" fontId="25" fillId="44" borderId="0" xfId="26046" applyNumberFormat="1" applyFont="1" applyFill="1" applyBorder="1" applyAlignment="1" applyProtection="1">
      <alignment horizontal="center"/>
      <protection locked="0"/>
    </xf>
    <xf numFmtId="1" fontId="25" fillId="44" borderId="0" xfId="26048" applyNumberFormat="1" applyFont="1" applyFill="1" applyBorder="1" applyAlignment="1" applyProtection="1">
      <alignment horizontal="center"/>
      <protection locked="0"/>
    </xf>
    <xf numFmtId="49" fontId="47" fillId="44" borderId="0" xfId="26047" applyNumberFormat="1" applyFont="1" applyFill="1" applyBorder="1" applyAlignment="1" applyProtection="1">
      <alignment horizontal="left"/>
      <protection locked="0"/>
    </xf>
    <xf numFmtId="1" fontId="25" fillId="44" borderId="0" xfId="24" applyNumberFormat="1" applyFont="1" applyFill="1" applyBorder="1" applyAlignment="1" applyProtection="1">
      <alignment horizontal="center"/>
      <protection locked="0"/>
    </xf>
    <xf numFmtId="1" fontId="33" fillId="44" borderId="0" xfId="26048" applyNumberFormat="1" applyFont="1" applyFill="1" applyBorder="1" applyAlignment="1" applyProtection="1">
      <alignment horizontal="center"/>
      <protection locked="0"/>
    </xf>
    <xf numFmtId="49" fontId="33" fillId="38" borderId="0" xfId="24" applyNumberFormat="1" applyFont="1" applyFill="1" applyBorder="1" applyAlignment="1" applyProtection="1">
      <alignment horizontal="left"/>
      <protection locked="0"/>
    </xf>
    <xf numFmtId="49" fontId="88" fillId="38" borderId="0" xfId="24" applyNumberFormat="1" applyFont="1" applyFill="1" applyBorder="1" applyAlignment="1" applyProtection="1">
      <alignment horizontal="left"/>
      <protection locked="0"/>
    </xf>
    <xf numFmtId="3" fontId="25" fillId="13" borderId="37" xfId="23" applyNumberFormat="1" applyFont="1" applyFill="1" applyBorder="1" applyAlignment="1" applyProtection="1">
      <alignment horizontal="right"/>
      <protection locked="0"/>
    </xf>
    <xf numFmtId="49" fontId="33" fillId="38" borderId="0" xfId="26061" applyNumberFormat="1" applyFont="1" applyFill="1" applyBorder="1" applyAlignment="1" applyProtection="1">
      <alignment horizontal="left"/>
      <protection locked="0"/>
    </xf>
    <xf numFmtId="49" fontId="25" fillId="38" borderId="0" xfId="26062" applyNumberFormat="1" applyFont="1" applyFill="1" applyBorder="1" applyAlignment="1" applyProtection="1">
      <alignment horizontal="center"/>
      <protection locked="0"/>
    </xf>
    <xf numFmtId="49" fontId="88" fillId="38" borderId="0" xfId="26048" applyNumberFormat="1" applyFont="1" applyFill="1" applyBorder="1" applyAlignment="1" applyProtection="1">
      <alignment horizontal="left"/>
      <protection locked="0"/>
    </xf>
    <xf numFmtId="3" fontId="88" fillId="38" borderId="0" xfId="5" applyFont="1" applyFill="1" applyBorder="1" applyAlignment="1" applyProtection="1">
      <protection locked="0"/>
    </xf>
    <xf numFmtId="49" fontId="25" fillId="38" borderId="0" xfId="24" applyNumberFormat="1" applyFont="1" applyFill="1" applyBorder="1" applyAlignment="1" applyProtection="1">
      <alignment horizontal="left"/>
      <protection locked="0"/>
    </xf>
    <xf numFmtId="3" fontId="25" fillId="38" borderId="0" xfId="5" applyFont="1" applyFill="1" applyBorder="1" applyAlignment="1" applyProtection="1">
      <protection locked="0"/>
    </xf>
    <xf numFmtId="1" fontId="47" fillId="38" borderId="0" xfId="24" applyNumberFormat="1" applyFont="1" applyFill="1" applyBorder="1" applyAlignment="1" applyProtection="1">
      <alignment horizontal="center"/>
      <protection locked="0"/>
    </xf>
    <xf numFmtId="49" fontId="25" fillId="38" borderId="0" xfId="24" applyNumberFormat="1" applyFont="1" applyFill="1" applyBorder="1" applyAlignment="1" applyProtection="1">
      <alignment horizontal="center"/>
      <protection locked="0"/>
    </xf>
    <xf numFmtId="49" fontId="25" fillId="38" borderId="0" xfId="26048" applyNumberFormat="1" applyFont="1" applyFill="1" applyBorder="1" applyAlignment="1" applyProtection="1">
      <alignment horizontal="left"/>
      <protection locked="0"/>
    </xf>
    <xf numFmtId="1" fontId="33" fillId="38" borderId="0" xfId="24" applyNumberFormat="1" applyFont="1" applyFill="1" applyBorder="1" applyAlignment="1" applyProtection="1">
      <alignment horizontal="center"/>
      <protection locked="0"/>
    </xf>
    <xf numFmtId="49" fontId="25" fillId="38" borderId="0" xfId="26061" applyNumberFormat="1" applyFont="1" applyFill="1" applyBorder="1" applyAlignment="1" applyProtection="1">
      <alignment horizontal="left"/>
      <protection locked="0"/>
    </xf>
    <xf numFmtId="1" fontId="25" fillId="2" borderId="0" xfId="26047" applyNumberFormat="1" applyFont="1" applyFill="1" applyBorder="1" applyAlignment="1" applyProtection="1">
      <alignment horizontal="center"/>
      <protection locked="0"/>
    </xf>
    <xf numFmtId="49" fontId="25" fillId="2" borderId="0" xfId="26047" applyNumberFormat="1" applyFont="1" applyFill="1" applyBorder="1" applyAlignment="1" applyProtection="1">
      <alignment horizontal="left"/>
      <protection locked="0"/>
    </xf>
    <xf numFmtId="1" fontId="25" fillId="2" borderId="0" xfId="5" applyNumberFormat="1" applyFont="1" applyFill="1" applyBorder="1" applyAlignment="1" applyProtection="1">
      <alignment horizontal="center"/>
      <protection locked="0"/>
    </xf>
    <xf numFmtId="49" fontId="88" fillId="2" borderId="0" xfId="5" applyNumberFormat="1" applyFont="1" applyFill="1" applyBorder="1" applyAlignment="1" applyProtection="1">
      <alignment horizontal="left"/>
      <protection locked="0"/>
    </xf>
    <xf numFmtId="1" fontId="25" fillId="45" borderId="0" xfId="26049" applyNumberFormat="1" applyFont="1" applyFill="1" applyBorder="1" applyAlignment="1" applyProtection="1">
      <alignment horizontal="center"/>
      <protection locked="0"/>
    </xf>
    <xf numFmtId="1" fontId="33" fillId="2" borderId="0" xfId="24" applyNumberFormat="1" applyFont="1" applyFill="1" applyBorder="1" applyAlignment="1" applyProtection="1">
      <alignment horizontal="center"/>
      <protection locked="0"/>
    </xf>
    <xf numFmtId="49" fontId="25" fillId="46" borderId="15" xfId="23" applyNumberFormat="1" applyFont="1" applyFill="1" applyBorder="1" applyAlignment="1" applyProtection="1">
      <alignment horizontal="center"/>
      <protection locked="0"/>
    </xf>
    <xf numFmtId="49" fontId="25" fillId="46" borderId="0" xfId="23" applyNumberFormat="1" applyFont="1" applyFill="1" applyBorder="1" applyAlignment="1" applyProtection="1">
      <alignment horizontal="left"/>
      <protection locked="0"/>
    </xf>
    <xf numFmtId="49" fontId="88" fillId="46" borderId="0" xfId="26047" applyNumberFormat="1" applyFont="1" applyFill="1" applyBorder="1" applyAlignment="1" applyProtection="1">
      <alignment horizontal="left"/>
      <protection locked="0"/>
    </xf>
    <xf numFmtId="1" fontId="25" fillId="46" borderId="0" xfId="26047" applyNumberFormat="1" applyFont="1" applyFill="1" applyBorder="1" applyAlignment="1" applyProtection="1">
      <alignment horizontal="center"/>
      <protection locked="0"/>
    </xf>
    <xf numFmtId="1" fontId="25" fillId="46" borderId="0" xfId="24" applyNumberFormat="1" applyFont="1" applyFill="1" applyBorder="1" applyAlignment="1" applyProtection="1">
      <alignment horizontal="center"/>
      <protection locked="0"/>
    </xf>
    <xf numFmtId="165" fontId="97" fillId="0" borderId="0" xfId="26063" applyNumberFormat="1"/>
    <xf numFmtId="165" fontId="58" fillId="8" borderId="81" xfId="23" applyNumberFormat="1" applyFont="1" applyFill="1" applyBorder="1" applyAlignment="1" applyProtection="1">
      <alignment horizontal="center"/>
      <protection locked="0"/>
    </xf>
    <xf numFmtId="3" fontId="25" fillId="47" borderId="37" xfId="23" applyNumberFormat="1" applyFont="1" applyFill="1" applyBorder="1" applyAlignment="1" applyProtection="1">
      <alignment horizontal="right"/>
      <protection locked="0"/>
    </xf>
    <xf numFmtId="3" fontId="25" fillId="47" borderId="0" xfId="10754" applyNumberFormat="1" applyFont="1" applyFill="1"/>
    <xf numFmtId="49" fontId="25" fillId="46" borderId="0" xfId="26047" applyNumberFormat="1" applyFont="1" applyFill="1" applyBorder="1" applyAlignment="1" applyProtection="1">
      <alignment horizontal="left"/>
      <protection locked="0"/>
    </xf>
    <xf numFmtId="49" fontId="89" fillId="46" borderId="0" xfId="26047" applyNumberFormat="1" applyFont="1" applyFill="1" applyBorder="1" applyAlignment="1" applyProtection="1">
      <alignment horizontal="left"/>
      <protection locked="0"/>
    </xf>
    <xf numFmtId="1" fontId="47" fillId="46" borderId="0" xfId="24" applyNumberFormat="1" applyFont="1" applyFill="1" applyBorder="1" applyAlignment="1" applyProtection="1">
      <alignment horizontal="center"/>
      <protection locked="0"/>
    </xf>
    <xf numFmtId="3" fontId="25" fillId="46" borderId="0" xfId="5" applyFont="1" applyFill="1" applyBorder="1" applyAlignment="1" applyProtection="1">
      <protection locked="0"/>
    </xf>
    <xf numFmtId="3" fontId="88" fillId="46" borderId="0" xfId="5" applyFont="1" applyFill="1" applyBorder="1" applyAlignment="1" applyProtection="1">
      <protection locked="0"/>
    </xf>
    <xf numFmtId="3" fontId="25" fillId="46" borderId="0" xfId="5" applyFont="1" applyFill="1" applyBorder="1" applyAlignment="1" applyProtection="1">
      <alignment horizontal="center"/>
      <protection locked="0"/>
    </xf>
    <xf numFmtId="3" fontId="25" fillId="0" borderId="0" xfId="26064" applyNumberFormat="1" applyFont="1"/>
    <xf numFmtId="3" fontId="97" fillId="0" borderId="0" xfId="26065" applyNumberFormat="1"/>
    <xf numFmtId="3" fontId="97" fillId="0" borderId="0" xfId="26066" applyNumberFormat="1"/>
    <xf numFmtId="1" fontId="25" fillId="48" borderId="0" xfId="24" applyNumberFormat="1" applyFont="1" applyFill="1" applyBorder="1" applyAlignment="1" applyProtection="1">
      <alignment horizontal="center"/>
      <protection locked="0"/>
    </xf>
    <xf numFmtId="1" fontId="33" fillId="46" borderId="0" xfId="24" applyNumberFormat="1" applyFont="1" applyFill="1" applyBorder="1" applyAlignment="1" applyProtection="1">
      <alignment horizontal="center"/>
      <protection locked="0"/>
    </xf>
    <xf numFmtId="49" fontId="25" fillId="46" borderId="0" xfId="5" applyNumberFormat="1" applyFont="1" applyFill="1" applyBorder="1" applyAlignment="1" applyProtection="1">
      <alignment horizontal="left"/>
      <protection locked="0"/>
    </xf>
    <xf numFmtId="1" fontId="25" fillId="46" borderId="0" xfId="5" applyNumberFormat="1" applyFont="1" applyFill="1" applyBorder="1" applyAlignment="1" applyProtection="1">
      <alignment horizontal="center"/>
      <protection locked="0"/>
    </xf>
    <xf numFmtId="49" fontId="25" fillId="48" borderId="15" xfId="26067" applyNumberFormat="1" applyFont="1" applyFill="1" applyBorder="1" applyAlignment="1" applyProtection="1">
      <alignment horizontal="center"/>
      <protection locked="0"/>
    </xf>
    <xf numFmtId="49" fontId="25" fillId="48" borderId="0" xfId="26047" applyNumberFormat="1" applyFont="1" applyFill="1" applyBorder="1" applyAlignment="1" applyProtection="1">
      <alignment horizontal="left"/>
      <protection locked="0"/>
    </xf>
    <xf numFmtId="49" fontId="88" fillId="48" borderId="0" xfId="26047" applyNumberFormat="1" applyFont="1" applyFill="1" applyBorder="1" applyAlignment="1" applyProtection="1">
      <alignment horizontal="left"/>
      <protection locked="0"/>
    </xf>
    <xf numFmtId="165" fontId="25" fillId="0" borderId="81" xfId="23" applyNumberFormat="1" applyFont="1" applyFill="1" applyBorder="1" applyAlignment="1" applyProtection="1">
      <alignment horizontal="center"/>
      <protection locked="0"/>
    </xf>
    <xf numFmtId="165" fontId="58" fillId="0" borderId="81" xfId="23" applyNumberFormat="1" applyFont="1" applyFill="1" applyBorder="1" applyAlignment="1" applyProtection="1">
      <alignment horizontal="center"/>
      <protection locked="0"/>
    </xf>
    <xf numFmtId="49" fontId="89" fillId="46" borderId="0" xfId="5" applyNumberFormat="1" applyFont="1" applyFill="1" applyBorder="1" applyAlignment="1" applyProtection="1">
      <alignment horizontal="left"/>
      <protection locked="0"/>
    </xf>
    <xf numFmtId="49" fontId="88" fillId="43" borderId="0" xfId="26047" applyNumberFormat="1" applyFont="1" applyFill="1" applyBorder="1" applyAlignment="1" applyProtection="1">
      <alignment horizontal="left"/>
      <protection locked="0"/>
    </xf>
    <xf numFmtId="3" fontId="98" fillId="0" borderId="37" xfId="10754" applyNumberFormat="1" applyFont="1" applyFill="1" applyBorder="1" applyAlignment="1">
      <alignment horizontal="right" wrapText="1"/>
    </xf>
    <xf numFmtId="49" fontId="92" fillId="43" borderId="0" xfId="26047" applyNumberFormat="1" applyFont="1" applyFill="1" applyBorder="1" applyAlignment="1" applyProtection="1">
      <alignment horizontal="left"/>
      <protection locked="0"/>
    </xf>
    <xf numFmtId="3" fontId="98" fillId="13" borderId="37" xfId="10754" applyNumberFormat="1" applyFont="1" applyFill="1" applyBorder="1" applyAlignment="1">
      <alignment horizontal="right" wrapText="1"/>
    </xf>
    <xf numFmtId="1" fontId="25" fillId="43" borderId="0" xfId="5" applyNumberFormat="1" applyFont="1" applyFill="1" applyBorder="1" applyAlignment="1" applyProtection="1">
      <alignment horizontal="center"/>
      <protection locked="0"/>
    </xf>
    <xf numFmtId="1" fontId="25" fillId="49" borderId="0" xfId="26049" applyNumberFormat="1" applyFont="1" applyFill="1" applyBorder="1" applyAlignment="1" applyProtection="1">
      <alignment horizontal="center"/>
      <protection locked="0"/>
    </xf>
    <xf numFmtId="164" fontId="25" fillId="43" borderId="0" xfId="26047" applyFont="1" applyFill="1" applyBorder="1" applyProtection="1">
      <protection locked="0"/>
    </xf>
    <xf numFmtId="164" fontId="88" fillId="43" borderId="0" xfId="26047" applyFont="1" applyFill="1" applyBorder="1" applyProtection="1">
      <protection locked="0"/>
    </xf>
    <xf numFmtId="49" fontId="25" fillId="40" borderId="15" xfId="26046" applyNumberFormat="1" applyFont="1" applyFill="1" applyBorder="1" applyAlignment="1" applyProtection="1">
      <alignment horizontal="center"/>
      <protection locked="0"/>
    </xf>
    <xf numFmtId="49" fontId="25" fillId="40" borderId="0" xfId="26046" applyNumberFormat="1" applyFont="1" applyFill="1" applyBorder="1" applyAlignment="1" applyProtection="1">
      <alignment horizontal="left"/>
      <protection locked="0"/>
    </xf>
    <xf numFmtId="49" fontId="88" fillId="40" borderId="0" xfId="26046" applyNumberFormat="1" applyFont="1" applyFill="1" applyBorder="1" applyAlignment="1" applyProtection="1">
      <alignment horizontal="left"/>
      <protection locked="0"/>
    </xf>
    <xf numFmtId="1" fontId="25" fillId="40" borderId="0" xfId="26046" applyNumberFormat="1" applyFont="1" applyFill="1" applyBorder="1" applyAlignment="1" applyProtection="1">
      <alignment horizontal="center"/>
      <protection locked="0"/>
    </xf>
    <xf numFmtId="49" fontId="88" fillId="40" borderId="0" xfId="5" applyNumberFormat="1" applyFont="1" applyFill="1" applyBorder="1" applyAlignment="1" applyProtection="1">
      <alignment horizontal="left"/>
      <protection locked="0"/>
    </xf>
    <xf numFmtId="1" fontId="25" fillId="40" borderId="0" xfId="5" applyNumberFormat="1" applyFont="1" applyFill="1" applyBorder="1" applyAlignment="1" applyProtection="1">
      <alignment horizontal="center"/>
      <protection locked="0"/>
    </xf>
    <xf numFmtId="49" fontId="25" fillId="40" borderId="0" xfId="26047" applyNumberFormat="1" applyFont="1" applyFill="1" applyBorder="1" applyAlignment="1" applyProtection="1">
      <alignment horizontal="left"/>
      <protection locked="0"/>
    </xf>
    <xf numFmtId="49" fontId="88" fillId="40" borderId="0" xfId="26047" applyNumberFormat="1" applyFont="1" applyFill="1" applyBorder="1" applyAlignment="1" applyProtection="1">
      <alignment horizontal="left"/>
      <protection locked="0"/>
    </xf>
    <xf numFmtId="1" fontId="25" fillId="40" borderId="0" xfId="26047" applyNumberFormat="1" applyFont="1" applyFill="1" applyBorder="1" applyAlignment="1" applyProtection="1">
      <alignment horizontal="center"/>
      <protection locked="0"/>
    </xf>
    <xf numFmtId="3" fontId="88" fillId="40" borderId="0" xfId="5" applyFont="1" applyFill="1" applyBorder="1" applyAlignment="1" applyProtection="1">
      <protection locked="0"/>
    </xf>
    <xf numFmtId="49" fontId="89" fillId="40" borderId="0" xfId="26047" applyNumberFormat="1" applyFont="1" applyFill="1" applyBorder="1" applyAlignment="1" applyProtection="1">
      <alignment horizontal="left"/>
      <protection locked="0"/>
    </xf>
    <xf numFmtId="49" fontId="89" fillId="40" borderId="0" xfId="26046" applyNumberFormat="1" applyFont="1" applyFill="1" applyBorder="1" applyAlignment="1" applyProtection="1">
      <alignment horizontal="left"/>
      <protection locked="0"/>
    </xf>
    <xf numFmtId="49" fontId="25" fillId="44" borderId="15" xfId="23" applyNumberFormat="1" applyFont="1" applyFill="1" applyBorder="1" applyAlignment="1" applyProtection="1">
      <alignment horizontal="center"/>
      <protection locked="0"/>
    </xf>
    <xf numFmtId="49" fontId="25" fillId="44" borderId="0" xfId="23" applyNumberFormat="1" applyFont="1" applyFill="1" applyBorder="1" applyAlignment="1" applyProtection="1">
      <alignment horizontal="left"/>
      <protection locked="0"/>
    </xf>
    <xf numFmtId="49" fontId="88" fillId="44" borderId="0" xfId="26046" applyNumberFormat="1" applyFont="1" applyFill="1" applyBorder="1" applyAlignment="1" applyProtection="1">
      <alignment horizontal="left"/>
      <protection locked="0"/>
    </xf>
    <xf numFmtId="49" fontId="25" fillId="44" borderId="0" xfId="23" applyNumberFormat="1" applyFont="1" applyFill="1" applyBorder="1" applyAlignment="1" applyProtection="1">
      <alignment horizontal="center"/>
      <protection locked="0"/>
    </xf>
    <xf numFmtId="49" fontId="88" fillId="44" borderId="0" xfId="26047" applyNumberFormat="1" applyFont="1" applyFill="1" applyBorder="1" applyAlignment="1" applyProtection="1">
      <alignment horizontal="left"/>
      <protection locked="0"/>
    </xf>
    <xf numFmtId="1" fontId="25" fillId="44" borderId="0" xfId="26047" applyNumberFormat="1" applyFont="1" applyFill="1" applyBorder="1" applyAlignment="1" applyProtection="1">
      <alignment horizontal="center"/>
      <protection locked="0"/>
    </xf>
    <xf numFmtId="0" fontId="25" fillId="44" borderId="0" xfId="24" applyNumberFormat="1" applyFont="1" applyFill="1" applyBorder="1" applyAlignment="1" applyProtection="1">
      <alignment horizontal="center"/>
      <protection locked="0"/>
    </xf>
    <xf numFmtId="49" fontId="25" fillId="44" borderId="0" xfId="23" applyNumberFormat="1" applyFont="1" applyFill="1" applyBorder="1" applyProtection="1">
      <protection locked="0"/>
    </xf>
    <xf numFmtId="164" fontId="88" fillId="44" borderId="0" xfId="26047" applyFont="1" applyFill="1" applyBorder="1" applyProtection="1">
      <protection locked="0"/>
    </xf>
    <xf numFmtId="164" fontId="25" fillId="44" borderId="0" xfId="26047" applyFont="1" applyFill="1" applyBorder="1" applyProtection="1">
      <protection locked="0"/>
    </xf>
    <xf numFmtId="165" fontId="50" fillId="8" borderId="81" xfId="23" applyNumberFormat="1" applyFont="1" applyFill="1" applyBorder="1" applyAlignment="1" applyProtection="1">
      <alignment horizontal="center"/>
      <protection locked="0"/>
    </xf>
    <xf numFmtId="165" fontId="50" fillId="0" borderId="37" xfId="23" applyNumberFormat="1" applyFont="1" applyFill="1" applyBorder="1" applyAlignment="1" applyProtection="1">
      <alignment horizontal="center"/>
      <protection locked="0"/>
    </xf>
    <xf numFmtId="49" fontId="89" fillId="44" borderId="0" xfId="26047" applyNumberFormat="1" applyFont="1" applyFill="1" applyBorder="1" applyAlignment="1" applyProtection="1">
      <alignment horizontal="left"/>
      <protection locked="0"/>
    </xf>
    <xf numFmtId="49" fontId="89" fillId="44" borderId="0" xfId="26046" applyNumberFormat="1" applyFont="1" applyFill="1" applyBorder="1" applyAlignment="1" applyProtection="1">
      <alignment horizontal="left"/>
      <protection locked="0"/>
    </xf>
    <xf numFmtId="1" fontId="47" fillId="44" borderId="0" xfId="26048" applyNumberFormat="1" applyFont="1" applyFill="1" applyBorder="1" applyAlignment="1" applyProtection="1">
      <alignment horizontal="center"/>
      <protection locked="0"/>
    </xf>
    <xf numFmtId="1" fontId="33" fillId="44" borderId="0" xfId="24" applyNumberFormat="1" applyFont="1" applyFill="1" applyBorder="1" applyAlignment="1" applyProtection="1">
      <alignment horizontal="center"/>
      <protection locked="0"/>
    </xf>
    <xf numFmtId="49" fontId="88" fillId="3" borderId="0" xfId="24" applyNumberFormat="1" applyFont="1" applyFill="1" applyBorder="1" applyAlignment="1" applyProtection="1">
      <alignment horizontal="left"/>
      <protection locked="0"/>
    </xf>
    <xf numFmtId="1" fontId="25" fillId="3" borderId="0" xfId="24" applyNumberFormat="1" applyFont="1" applyFill="1" applyBorder="1" applyAlignment="1" applyProtection="1">
      <alignment horizontal="center"/>
      <protection locked="0"/>
    </xf>
    <xf numFmtId="165" fontId="25" fillId="0" borderId="0" xfId="23" applyNumberFormat="1" applyFont="1" applyFill="1"/>
    <xf numFmtId="165" fontId="1" fillId="0" borderId="0" xfId="1" applyNumberFormat="1" applyFont="1"/>
    <xf numFmtId="49" fontId="89" fillId="3" borderId="0" xfId="24" applyNumberFormat="1" applyFont="1" applyFill="1" applyBorder="1" applyAlignment="1" applyProtection="1">
      <alignment horizontal="left"/>
      <protection locked="0"/>
    </xf>
    <xf numFmtId="49" fontId="25" fillId="3" borderId="0" xfId="24" applyNumberFormat="1" applyFont="1" applyFill="1" applyBorder="1" applyAlignment="1" applyProtection="1">
      <alignment horizontal="left"/>
      <protection locked="0"/>
    </xf>
    <xf numFmtId="1" fontId="33" fillId="3" borderId="0" xfId="24" applyNumberFormat="1" applyFont="1" applyFill="1" applyBorder="1" applyAlignment="1" applyProtection="1">
      <alignment horizontal="center"/>
      <protection locked="0"/>
    </xf>
    <xf numFmtId="49" fontId="25" fillId="42" borderId="15" xfId="5" applyNumberFormat="1" applyFont="1" applyFill="1" applyBorder="1" applyAlignment="1" applyProtection="1">
      <alignment horizontal="center"/>
      <protection locked="0"/>
    </xf>
    <xf numFmtId="49" fontId="25" fillId="50" borderId="0" xfId="26047" applyNumberFormat="1" applyFont="1" applyFill="1" applyBorder="1" applyAlignment="1" applyProtection="1">
      <alignment horizontal="left"/>
      <protection locked="0"/>
    </xf>
    <xf numFmtId="49" fontId="88" fillId="42" borderId="0" xfId="26047" applyNumberFormat="1" applyFont="1" applyFill="1" applyBorder="1" applyAlignment="1" applyProtection="1">
      <alignment horizontal="left"/>
      <protection locked="0"/>
    </xf>
    <xf numFmtId="1" fontId="25" fillId="51" borderId="0" xfId="26049" applyNumberFormat="1" applyFont="1" applyFill="1" applyBorder="1" applyAlignment="1" applyProtection="1">
      <alignment horizontal="center"/>
      <protection locked="0"/>
    </xf>
    <xf numFmtId="49" fontId="25" fillId="42" borderId="0" xfId="26047" applyNumberFormat="1" applyFont="1" applyFill="1" applyBorder="1" applyAlignment="1" applyProtection="1">
      <alignment horizontal="left"/>
      <protection locked="0"/>
    </xf>
    <xf numFmtId="49" fontId="25" fillId="42" borderId="0" xfId="26047" applyNumberFormat="1" applyFont="1" applyFill="1" applyBorder="1" applyAlignment="1" applyProtection="1">
      <alignment horizontal="center"/>
      <protection locked="0"/>
    </xf>
    <xf numFmtId="3" fontId="25" fillId="8" borderId="37" xfId="4" applyFont="1" applyFill="1" applyBorder="1"/>
    <xf numFmtId="3" fontId="25" fillId="13" borderId="37" xfId="4" applyFont="1" applyFill="1" applyBorder="1"/>
    <xf numFmtId="49" fontId="25" fillId="38" borderId="15" xfId="26047" applyNumberFormat="1" applyFont="1" applyFill="1" applyBorder="1" applyAlignment="1" applyProtection="1">
      <alignment horizontal="center"/>
      <protection locked="0"/>
    </xf>
    <xf numFmtId="49" fontId="88" fillId="38" borderId="0" xfId="26047" applyNumberFormat="1" applyFont="1" applyFill="1" applyBorder="1" applyAlignment="1" applyProtection="1">
      <alignment horizontal="left"/>
      <protection locked="0"/>
    </xf>
    <xf numFmtId="49" fontId="89" fillId="38" borderId="0" xfId="26047" applyNumberFormat="1" applyFont="1" applyFill="1" applyBorder="1" applyAlignment="1" applyProtection="1">
      <alignment horizontal="left"/>
      <protection locked="0"/>
    </xf>
    <xf numFmtId="49" fontId="25" fillId="38" borderId="0" xfId="5" applyNumberFormat="1" applyFont="1" applyFill="1" applyBorder="1" applyAlignment="1" applyProtection="1">
      <alignment horizontal="left"/>
      <protection locked="0"/>
    </xf>
    <xf numFmtId="49" fontId="88" fillId="38" borderId="0" xfId="5" applyNumberFormat="1" applyFont="1" applyFill="1" applyBorder="1" applyAlignment="1" applyProtection="1">
      <alignment horizontal="left"/>
      <protection locked="0"/>
    </xf>
    <xf numFmtId="1" fontId="25" fillId="38" borderId="0" xfId="5" applyNumberFormat="1" applyFont="1" applyFill="1" applyBorder="1" applyAlignment="1" applyProtection="1">
      <alignment horizontal="center"/>
      <protection locked="0"/>
    </xf>
    <xf numFmtId="1" fontId="25" fillId="52" borderId="0" xfId="26049" applyNumberFormat="1" applyFont="1" applyFill="1" applyBorder="1" applyAlignment="1" applyProtection="1">
      <alignment horizontal="center"/>
      <protection locked="0"/>
    </xf>
    <xf numFmtId="1" fontId="47" fillId="38" borderId="0" xfId="26048" applyNumberFormat="1" applyFont="1" applyFill="1" applyBorder="1" applyAlignment="1" applyProtection="1">
      <alignment horizontal="center"/>
      <protection locked="0"/>
    </xf>
    <xf numFmtId="1" fontId="25" fillId="3" borderId="0" xfId="26046" applyNumberFormat="1" applyFont="1" applyFill="1" applyBorder="1" applyAlignment="1" applyProtection="1">
      <alignment horizontal="center"/>
      <protection locked="0"/>
    </xf>
    <xf numFmtId="1" fontId="25" fillId="3" borderId="0" xfId="26048" applyNumberFormat="1" applyFont="1" applyFill="1" applyBorder="1" applyAlignment="1" applyProtection="1">
      <alignment horizontal="center"/>
      <protection locked="0"/>
    </xf>
    <xf numFmtId="3" fontId="59" fillId="0" borderId="0" xfId="0" applyNumberFormat="1" applyFont="1"/>
    <xf numFmtId="3" fontId="99" fillId="0" borderId="0" xfId="0" applyNumberFormat="1" applyFont="1"/>
    <xf numFmtId="3" fontId="59" fillId="0" borderId="0" xfId="0" applyFont="1"/>
    <xf numFmtId="49" fontId="25" fillId="3" borderId="0" xfId="26047" applyNumberFormat="1" applyFont="1" applyFill="1" applyBorder="1" applyAlignment="1" applyProtection="1">
      <alignment horizontal="left"/>
      <protection locked="0"/>
    </xf>
    <xf numFmtId="1" fontId="25" fillId="3" borderId="0" xfId="26047" applyNumberFormat="1" applyFont="1" applyFill="1" applyBorder="1" applyAlignment="1" applyProtection="1">
      <alignment horizontal="center"/>
      <protection locked="0"/>
    </xf>
    <xf numFmtId="37" fontId="25" fillId="3" borderId="0" xfId="26068" applyFont="1" applyFill="1" applyBorder="1" applyAlignment="1" applyProtection="1">
      <protection locked="0"/>
    </xf>
    <xf numFmtId="49" fontId="89" fillId="3" borderId="0" xfId="26047" applyNumberFormat="1" applyFont="1" applyFill="1" applyBorder="1" applyAlignment="1" applyProtection="1">
      <alignment horizontal="left"/>
      <protection locked="0"/>
    </xf>
    <xf numFmtId="1" fontId="25" fillId="3" borderId="0" xfId="5" quotePrefix="1" applyNumberFormat="1" applyFont="1" applyFill="1" applyBorder="1" applyAlignment="1" applyProtection="1">
      <alignment horizontal="center"/>
      <protection locked="0"/>
    </xf>
    <xf numFmtId="49" fontId="25" fillId="3" borderId="0" xfId="23" applyNumberFormat="1" applyFont="1" applyFill="1" applyBorder="1" applyAlignment="1" applyProtection="1">
      <protection locked="0"/>
    </xf>
    <xf numFmtId="3" fontId="88" fillId="3" borderId="0" xfId="5" applyFont="1" applyFill="1" applyBorder="1" applyAlignment="1" applyProtection="1">
      <protection locked="0"/>
    </xf>
    <xf numFmtId="1" fontId="25" fillId="3" borderId="0" xfId="5" applyNumberFormat="1" applyFont="1" applyFill="1" applyBorder="1" applyAlignment="1" applyProtection="1">
      <alignment horizontal="center"/>
      <protection locked="0"/>
    </xf>
    <xf numFmtId="1" fontId="25" fillId="53" borderId="0" xfId="26049" applyNumberFormat="1" applyFont="1" applyFill="1" applyBorder="1" applyAlignment="1" applyProtection="1">
      <alignment horizontal="center"/>
      <protection locked="0"/>
    </xf>
    <xf numFmtId="49" fontId="88" fillId="3" borderId="0" xfId="26046" applyNumberFormat="1" applyFont="1" applyFill="1" applyBorder="1" applyAlignment="1" applyProtection="1">
      <alignment horizontal="left"/>
      <protection locked="0"/>
    </xf>
    <xf numFmtId="49" fontId="25" fillId="54" borderId="0" xfId="23" applyNumberFormat="1" applyFont="1" applyFill="1" applyBorder="1" applyAlignment="1" applyProtection="1">
      <protection locked="0"/>
    </xf>
    <xf numFmtId="49" fontId="88" fillId="3" borderId="0" xfId="5" applyNumberFormat="1" applyFont="1" applyFill="1" applyBorder="1" applyAlignment="1" applyProtection="1">
      <alignment horizontal="left"/>
      <protection locked="0"/>
    </xf>
    <xf numFmtId="3" fontId="25" fillId="3" borderId="0" xfId="5" applyFont="1" applyFill="1" applyBorder="1" applyAlignment="1" applyProtection="1">
      <protection locked="0"/>
    </xf>
    <xf numFmtId="49" fontId="25" fillId="55" borderId="0" xfId="23" applyNumberFormat="1" applyFont="1" applyFill="1" applyBorder="1" applyAlignment="1" applyProtection="1">
      <protection locked="0"/>
    </xf>
    <xf numFmtId="49" fontId="25" fillId="56" borderId="0" xfId="23" applyNumberFormat="1" applyFont="1" applyFill="1" applyBorder="1" applyAlignment="1" applyProtection="1">
      <protection locked="0"/>
    </xf>
    <xf numFmtId="49" fontId="25" fillId="57" borderId="0" xfId="23" applyNumberFormat="1" applyFont="1" applyFill="1" applyBorder="1" applyAlignment="1" applyProtection="1">
      <protection locked="0"/>
    </xf>
    <xf numFmtId="49" fontId="89" fillId="3" borderId="0" xfId="26046" applyNumberFormat="1" applyFont="1" applyFill="1" applyBorder="1" applyAlignment="1" applyProtection="1">
      <alignment horizontal="left"/>
      <protection locked="0"/>
    </xf>
    <xf numFmtId="1" fontId="47" fillId="3" borderId="0" xfId="24" applyNumberFormat="1" applyFont="1" applyFill="1" applyBorder="1" applyAlignment="1" applyProtection="1">
      <alignment horizontal="center"/>
      <protection locked="0"/>
    </xf>
    <xf numFmtId="49" fontId="25" fillId="58" borderId="0" xfId="23" applyNumberFormat="1" applyFont="1" applyFill="1" applyBorder="1" applyAlignment="1" applyProtection="1">
      <protection locked="0"/>
    </xf>
    <xf numFmtId="1" fontId="47" fillId="3" borderId="0" xfId="5" quotePrefix="1" applyNumberFormat="1" applyFont="1" applyFill="1" applyBorder="1" applyAlignment="1" applyProtection="1">
      <alignment horizontal="center"/>
      <protection locked="0"/>
    </xf>
    <xf numFmtId="49" fontId="25" fillId="59" borderId="0" xfId="23" applyNumberFormat="1" applyFont="1" applyFill="1" applyBorder="1" applyAlignment="1" applyProtection="1">
      <protection locked="0"/>
    </xf>
    <xf numFmtId="0" fontId="25" fillId="53" borderId="0" xfId="23" applyNumberFormat="1" applyFont="1" applyFill="1" applyBorder="1" applyAlignment="1" applyProtection="1">
      <alignment horizontal="center"/>
      <protection locked="0"/>
    </xf>
    <xf numFmtId="165" fontId="25" fillId="8" borderId="37" xfId="23" applyNumberFormat="1" applyFont="1" applyFill="1" applyBorder="1" applyAlignment="1" applyProtection="1">
      <alignment horizontal="right"/>
      <protection locked="0"/>
    </xf>
    <xf numFmtId="3" fontId="25" fillId="0" borderId="37" xfId="23" applyNumberFormat="1" applyFont="1" applyFill="1" applyBorder="1" applyAlignment="1" applyProtection="1">
      <alignment horizontal="right"/>
    </xf>
    <xf numFmtId="165" fontId="25" fillId="0" borderId="37" xfId="23" applyNumberFormat="1" applyFont="1" applyFill="1" applyBorder="1" applyAlignment="1" applyProtection="1">
      <alignment horizontal="right"/>
    </xf>
    <xf numFmtId="49" fontId="25" fillId="13" borderId="0" xfId="26047" applyNumberFormat="1" applyFont="1" applyFill="1" applyBorder="1" applyAlignment="1" applyProtection="1">
      <alignment horizontal="left"/>
      <protection locked="0"/>
    </xf>
    <xf numFmtId="49" fontId="88" fillId="55" borderId="0" xfId="23" applyNumberFormat="1" applyFont="1" applyFill="1" applyBorder="1" applyAlignment="1" applyProtection="1">
      <protection locked="0"/>
    </xf>
    <xf numFmtId="49" fontId="25" fillId="53" borderId="0" xfId="23" applyNumberFormat="1" applyFont="1" applyFill="1" applyBorder="1" applyAlignment="1" applyProtection="1">
      <alignment horizontal="center"/>
      <protection locked="0"/>
    </xf>
    <xf numFmtId="49" fontId="88" fillId="54" borderId="0" xfId="23" applyNumberFormat="1" applyFont="1" applyFill="1" applyBorder="1" applyAlignment="1" applyProtection="1">
      <protection locked="0"/>
    </xf>
    <xf numFmtId="49" fontId="88" fillId="56" borderId="0" xfId="23" applyNumberFormat="1" applyFont="1" applyFill="1" applyBorder="1" applyAlignment="1" applyProtection="1">
      <protection locked="0"/>
    </xf>
    <xf numFmtId="49" fontId="88" fillId="57" borderId="0" xfId="23" applyNumberFormat="1" applyFont="1" applyFill="1" applyBorder="1" applyAlignment="1" applyProtection="1">
      <protection locked="0"/>
    </xf>
    <xf numFmtId="49" fontId="88" fillId="58" borderId="0" xfId="23" applyNumberFormat="1" applyFont="1" applyFill="1" applyBorder="1" applyAlignment="1" applyProtection="1">
      <protection locked="0"/>
    </xf>
    <xf numFmtId="49" fontId="88" fillId="59" borderId="0" xfId="23" applyNumberFormat="1" applyFont="1" applyFill="1" applyBorder="1" applyAlignment="1" applyProtection="1">
      <protection locked="0"/>
    </xf>
    <xf numFmtId="1" fontId="33" fillId="3" borderId="0" xfId="26048" applyNumberFormat="1" applyFont="1" applyFill="1" applyBorder="1" applyAlignment="1" applyProtection="1">
      <alignment horizontal="center"/>
      <protection locked="0"/>
    </xf>
    <xf numFmtId="49" fontId="25" fillId="2" borderId="15" xfId="24" applyNumberFormat="1" applyFont="1" applyFill="1" applyBorder="1" applyAlignment="1" applyProtection="1">
      <alignment horizontal="center"/>
      <protection locked="0"/>
    </xf>
    <xf numFmtId="49" fontId="25" fillId="2" borderId="0" xfId="24" applyNumberFormat="1" applyFont="1" applyFill="1" applyBorder="1" applyAlignment="1" applyProtection="1">
      <alignment horizontal="left"/>
      <protection locked="0"/>
    </xf>
    <xf numFmtId="49" fontId="88" fillId="2" borderId="0" xfId="24" applyNumberFormat="1" applyFont="1" applyFill="1" applyBorder="1" applyAlignment="1" applyProtection="1">
      <alignment horizontal="left"/>
      <protection locked="0"/>
    </xf>
    <xf numFmtId="49" fontId="89" fillId="2" borderId="0" xfId="24" applyNumberFormat="1" applyFont="1" applyFill="1" applyBorder="1" applyAlignment="1" applyProtection="1">
      <alignment horizontal="left"/>
      <protection locked="0"/>
    </xf>
    <xf numFmtId="49" fontId="25" fillId="2" borderId="15" xfId="26048" applyNumberFormat="1" applyFont="1" applyFill="1" applyBorder="1" applyAlignment="1" applyProtection="1">
      <alignment horizontal="center"/>
      <protection locked="0"/>
    </xf>
    <xf numFmtId="49" fontId="25" fillId="2" borderId="15" xfId="5" applyNumberFormat="1" applyFont="1" applyFill="1" applyBorder="1" applyAlignment="1" applyProtection="1">
      <alignment horizontal="center"/>
      <protection locked="0"/>
    </xf>
    <xf numFmtId="49" fontId="25" fillId="2" borderId="0" xfId="5" applyNumberFormat="1" applyFont="1" applyFill="1" applyBorder="1" applyAlignment="1" applyProtection="1">
      <alignment horizontal="left"/>
      <protection locked="0"/>
    </xf>
    <xf numFmtId="49" fontId="25" fillId="2" borderId="0" xfId="26048" applyNumberFormat="1" applyFont="1" applyFill="1" applyBorder="1" applyAlignment="1" applyProtection="1">
      <alignment horizontal="left"/>
      <protection locked="0"/>
    </xf>
    <xf numFmtId="49" fontId="88" fillId="2" borderId="0" xfId="26048" applyNumberFormat="1" applyFont="1" applyFill="1" applyBorder="1" applyAlignment="1" applyProtection="1">
      <alignment horizontal="left"/>
      <protection locked="0"/>
    </xf>
    <xf numFmtId="164" fontId="25" fillId="2" borderId="0" xfId="24" applyFont="1" applyFill="1" applyBorder="1" applyAlignment="1" applyProtection="1">
      <protection locked="0"/>
    </xf>
    <xf numFmtId="164" fontId="88" fillId="2" borderId="0" xfId="24" applyFont="1" applyFill="1" applyBorder="1" applyAlignment="1" applyProtection="1">
      <protection locked="0"/>
    </xf>
    <xf numFmtId="49" fontId="25" fillId="42" borderId="0" xfId="26046" applyNumberFormat="1" applyFont="1" applyFill="1" applyBorder="1" applyAlignment="1" applyProtection="1">
      <alignment horizontal="center"/>
      <protection locked="0"/>
    </xf>
    <xf numFmtId="49" fontId="25" fillId="42" borderId="0" xfId="26046" applyNumberFormat="1" applyFont="1" applyFill="1" applyBorder="1" applyAlignment="1" applyProtection="1">
      <alignment horizontal="left"/>
      <protection locked="0"/>
    </xf>
    <xf numFmtId="49" fontId="88" fillId="42" borderId="0" xfId="26067" applyNumberFormat="1" applyFont="1" applyFill="1" applyBorder="1" applyAlignment="1" applyProtection="1">
      <alignment horizontal="left"/>
      <protection locked="0"/>
    </xf>
    <xf numFmtId="1" fontId="25" fillId="42" borderId="0" xfId="26046" applyNumberFormat="1" applyFont="1" applyFill="1" applyBorder="1" applyAlignment="1" applyProtection="1">
      <alignment horizontal="center"/>
      <protection locked="0"/>
    </xf>
    <xf numFmtId="0" fontId="59" fillId="0" borderId="0" xfId="26043" applyFont="1" applyFill="1"/>
    <xf numFmtId="49" fontId="89" fillId="42" borderId="0" xfId="26047" applyNumberFormat="1" applyFont="1" applyFill="1" applyBorder="1" applyAlignment="1" applyProtection="1">
      <alignment horizontal="left"/>
      <protection locked="0"/>
    </xf>
    <xf numFmtId="1" fontId="25" fillId="42" borderId="0" xfId="26047" applyNumberFormat="1" applyFont="1" applyFill="1" applyBorder="1" applyAlignment="1" applyProtection="1">
      <alignment horizontal="center"/>
      <protection locked="0"/>
    </xf>
    <xf numFmtId="0" fontId="59" fillId="0" borderId="0" xfId="26044" applyFont="1" applyFill="1"/>
    <xf numFmtId="49" fontId="89" fillId="42" borderId="0" xfId="26067" applyNumberFormat="1" applyFont="1" applyFill="1" applyBorder="1" applyAlignment="1" applyProtection="1">
      <alignment horizontal="left"/>
      <protection locked="0"/>
    </xf>
    <xf numFmtId="164" fontId="25" fillId="42" borderId="0" xfId="26047" applyFont="1" applyFill="1" applyBorder="1" applyProtection="1">
      <protection locked="0"/>
    </xf>
    <xf numFmtId="49" fontId="25" fillId="5" borderId="0" xfId="23" applyNumberFormat="1" applyFont="1" applyFill="1" applyBorder="1" applyAlignment="1" applyProtection="1">
      <protection locked="0"/>
    </xf>
    <xf numFmtId="49" fontId="25" fillId="42" borderId="0" xfId="23" applyNumberFormat="1" applyFont="1" applyFill="1" applyBorder="1" applyAlignment="1" applyProtection="1">
      <alignment horizontal="center"/>
      <protection locked="0"/>
    </xf>
    <xf numFmtId="49" fontId="25" fillId="60" borderId="0" xfId="23" applyNumberFormat="1" applyFont="1" applyFill="1" applyBorder="1" applyAlignment="1" applyProtection="1">
      <protection locked="0"/>
    </xf>
    <xf numFmtId="49" fontId="94" fillId="60" borderId="0" xfId="23" applyNumberFormat="1" applyFont="1" applyFill="1" applyBorder="1" applyAlignment="1" applyProtection="1">
      <protection locked="0"/>
    </xf>
    <xf numFmtId="49" fontId="0" fillId="42" borderId="0" xfId="23" applyNumberFormat="1" applyFont="1" applyFill="1" applyBorder="1" applyAlignment="1" applyProtection="1">
      <alignment horizontal="center"/>
      <protection locked="0"/>
    </xf>
    <xf numFmtId="0" fontId="25" fillId="61" borderId="0" xfId="23" applyNumberFormat="1" applyFont="1" applyFill="1" applyBorder="1" applyAlignment="1" applyProtection="1">
      <alignment horizontal="center"/>
      <protection locked="0"/>
    </xf>
    <xf numFmtId="165" fontId="50" fillId="8" borderId="37" xfId="23" applyNumberFormat="1" applyFont="1" applyFill="1" applyBorder="1" applyAlignment="1" applyProtection="1">
      <alignment horizontal="right"/>
      <protection locked="0"/>
    </xf>
    <xf numFmtId="0" fontId="59" fillId="0" borderId="0" xfId="26045" applyFont="1" applyFill="1"/>
    <xf numFmtId="49" fontId="25" fillId="62" borderId="0" xfId="23" applyNumberFormat="1" applyFont="1" applyFill="1" applyBorder="1" applyAlignment="1" applyProtection="1">
      <protection locked="0"/>
    </xf>
    <xf numFmtId="49" fontId="94" fillId="62" borderId="0" xfId="23" applyNumberFormat="1" applyFont="1" applyFill="1" applyBorder="1" applyAlignment="1" applyProtection="1">
      <alignment horizontal="right"/>
      <protection locked="0"/>
    </xf>
    <xf numFmtId="49" fontId="25" fillId="61" borderId="0" xfId="23" applyNumberFormat="1" applyFont="1" applyFill="1" applyBorder="1" applyAlignment="1" applyProtection="1">
      <alignment horizontal="center"/>
      <protection locked="0"/>
    </xf>
    <xf numFmtId="49" fontId="25" fillId="63" borderId="0" xfId="23" applyNumberFormat="1" applyFont="1" applyFill="1" applyBorder="1" applyAlignment="1" applyProtection="1">
      <protection locked="0"/>
    </xf>
    <xf numFmtId="49" fontId="94" fillId="63" borderId="0" xfId="23" applyNumberFormat="1" applyFont="1" applyFill="1" applyBorder="1" applyAlignment="1" applyProtection="1">
      <alignment horizontal="right"/>
      <protection locked="0"/>
    </xf>
    <xf numFmtId="49" fontId="94" fillId="5" borderId="0" xfId="23" applyNumberFormat="1" applyFont="1" applyFill="1" applyBorder="1" applyAlignment="1" applyProtection="1">
      <protection locked="0"/>
    </xf>
    <xf numFmtId="49" fontId="25" fillId="64" borderId="0" xfId="23" applyNumberFormat="1" applyFont="1" applyFill="1" applyBorder="1" applyAlignment="1" applyProtection="1">
      <protection locked="0"/>
    </xf>
    <xf numFmtId="49" fontId="94" fillId="64" borderId="0" xfId="23" applyNumberFormat="1" applyFont="1" applyFill="1" applyBorder="1" applyAlignment="1" applyProtection="1">
      <alignment horizontal="right"/>
      <protection locked="0"/>
    </xf>
    <xf numFmtId="0" fontId="25" fillId="42" borderId="0" xfId="26047" applyNumberFormat="1" applyFont="1" applyFill="1" applyBorder="1" applyAlignment="1" applyProtection="1">
      <alignment horizontal="center"/>
      <protection locked="0"/>
    </xf>
    <xf numFmtId="164" fontId="88" fillId="42" borderId="0" xfId="26047" applyFont="1" applyFill="1" applyBorder="1" applyProtection="1">
      <protection locked="0"/>
    </xf>
    <xf numFmtId="49" fontId="25" fillId="43" borderId="0" xfId="23" applyNumberFormat="1" applyFont="1" applyFill="1" applyBorder="1" applyAlignment="1" applyProtection="1">
      <protection locked="0"/>
    </xf>
    <xf numFmtId="49" fontId="94" fillId="43" borderId="0" xfId="23" applyNumberFormat="1" applyFont="1" applyFill="1" applyBorder="1" applyAlignment="1" applyProtection="1">
      <protection locked="0"/>
    </xf>
    <xf numFmtId="49" fontId="25" fillId="43" borderId="0" xfId="24" applyNumberFormat="1" applyFont="1" applyFill="1" applyBorder="1" applyAlignment="1" applyProtection="1">
      <alignment horizontal="left"/>
      <protection locked="0"/>
    </xf>
    <xf numFmtId="49" fontId="89" fillId="43" borderId="0" xfId="24" applyNumberFormat="1" applyFont="1" applyFill="1" applyBorder="1" applyAlignment="1" applyProtection="1">
      <alignment horizontal="left"/>
      <protection locked="0"/>
    </xf>
    <xf numFmtId="0" fontId="25" fillId="43" borderId="0" xfId="6" applyNumberFormat="1" applyFont="1" applyFill="1" applyBorder="1" applyAlignment="1" applyProtection="1">
      <protection locked="0"/>
    </xf>
    <xf numFmtId="0" fontId="88" fillId="43" borderId="0" xfId="6" applyNumberFormat="1" applyFont="1" applyFill="1" applyBorder="1" applyAlignment="1" applyProtection="1">
      <protection locked="0"/>
    </xf>
    <xf numFmtId="49" fontId="25" fillId="46" borderId="15" xfId="26047" applyNumberFormat="1" applyFont="1" applyFill="1" applyBorder="1" applyAlignment="1" applyProtection="1">
      <alignment horizontal="center"/>
      <protection locked="0"/>
    </xf>
    <xf numFmtId="1" fontId="25" fillId="46" borderId="0" xfId="26046" applyNumberFormat="1" applyFont="1" applyFill="1" applyBorder="1" applyAlignment="1" applyProtection="1">
      <alignment horizontal="center"/>
      <protection locked="0"/>
    </xf>
    <xf numFmtId="1" fontId="25" fillId="46" borderId="0" xfId="26048" applyNumberFormat="1" applyFont="1" applyFill="1" applyBorder="1" applyAlignment="1" applyProtection="1">
      <alignment horizontal="center"/>
      <protection locked="0"/>
    </xf>
    <xf numFmtId="1" fontId="33" fillId="46" borderId="0" xfId="26048" applyNumberFormat="1" applyFont="1" applyFill="1" applyBorder="1" applyAlignment="1" applyProtection="1">
      <alignment horizontal="center"/>
      <protection locked="0"/>
    </xf>
    <xf numFmtId="49" fontId="25" fillId="46" borderId="15" xfId="26046" applyNumberFormat="1" applyFont="1" applyFill="1" applyBorder="1" applyAlignment="1" applyProtection="1">
      <alignment horizontal="center"/>
      <protection locked="0"/>
    </xf>
    <xf numFmtId="49" fontId="25" fillId="46" borderId="0" xfId="26046" applyNumberFormat="1" applyFont="1" applyFill="1" applyBorder="1" applyAlignment="1" applyProtection="1">
      <alignment horizontal="left"/>
      <protection locked="0"/>
    </xf>
    <xf numFmtId="49" fontId="88" fillId="46" borderId="0" xfId="26067" applyNumberFormat="1" applyFont="1" applyFill="1" applyBorder="1" applyAlignment="1" applyProtection="1">
      <alignment horizontal="left"/>
      <protection locked="0"/>
    </xf>
    <xf numFmtId="49" fontId="92" fillId="48" borderId="0" xfId="26047" applyNumberFormat="1" applyFont="1" applyFill="1" applyBorder="1" applyAlignment="1" applyProtection="1">
      <alignment horizontal="left"/>
      <protection locked="0"/>
    </xf>
    <xf numFmtId="0" fontId="50" fillId="0" borderId="0" xfId="26045" applyFont="1" applyFill="1"/>
    <xf numFmtId="0" fontId="50" fillId="0" borderId="0" xfId="26044" applyFont="1" applyFill="1"/>
    <xf numFmtId="3" fontId="50" fillId="0" borderId="37" xfId="23" applyNumberFormat="1" applyFont="1" applyFill="1" applyBorder="1" applyAlignment="1" applyProtection="1">
      <alignment horizontal="right"/>
    </xf>
    <xf numFmtId="3" fontId="100" fillId="0" borderId="0" xfId="0" applyNumberFormat="1" applyFont="1"/>
    <xf numFmtId="165" fontId="50" fillId="0" borderId="37" xfId="23" applyNumberFormat="1" applyFont="1" applyFill="1" applyBorder="1" applyAlignment="1" applyProtection="1">
      <alignment horizontal="right"/>
    </xf>
    <xf numFmtId="49" fontId="25" fillId="3" borderId="15" xfId="26047" applyNumberFormat="1" applyFont="1" applyFill="1" applyBorder="1" applyAlignment="1" applyProtection="1">
      <alignment horizontal="center"/>
      <protection locked="0"/>
    </xf>
    <xf numFmtId="37" fontId="25" fillId="13" borderId="0" xfId="26068" applyFont="1" applyFill="1" applyBorder="1" applyAlignment="1" applyProtection="1">
      <protection locked="0"/>
    </xf>
    <xf numFmtId="37" fontId="88" fillId="13" borderId="0" xfId="26068" applyFont="1" applyFill="1" applyBorder="1" applyAlignment="1" applyProtection="1">
      <protection locked="0"/>
    </xf>
    <xf numFmtId="1" fontId="25" fillId="13" borderId="0" xfId="26047" applyNumberFormat="1" applyFont="1" applyFill="1" applyBorder="1" applyAlignment="1" applyProtection="1">
      <alignment horizontal="center"/>
      <protection locked="0"/>
    </xf>
    <xf numFmtId="3" fontId="50" fillId="0" borderId="0" xfId="0" applyNumberFormat="1" applyFont="1"/>
    <xf numFmtId="37" fontId="0" fillId="0" borderId="55" xfId="0" applyNumberFormat="1" applyBorder="1" applyAlignment="1" applyProtection="1">
      <alignment horizontal="left" vertical="top" wrapText="1"/>
    </xf>
    <xf numFmtId="37" fontId="0" fillId="0" borderId="0" xfId="0" applyNumberFormat="1" applyBorder="1" applyAlignment="1" applyProtection="1">
      <alignment horizontal="left" vertical="top" wrapText="1"/>
    </xf>
    <xf numFmtId="3" fontId="23" fillId="0" borderId="0" xfId="0" applyFont="1" applyBorder="1" applyAlignment="1">
      <alignment wrapText="1"/>
    </xf>
    <xf numFmtId="3" fontId="0" fillId="0" borderId="0" xfId="0" applyAlignment="1">
      <alignment wrapText="1"/>
    </xf>
    <xf numFmtId="37" fontId="32" fillId="0" borderId="0" xfId="0" applyNumberFormat="1" applyFont="1" applyAlignment="1" applyProtection="1">
      <alignment horizontal="center"/>
    </xf>
    <xf numFmtId="37" fontId="28" fillId="0" borderId="0" xfId="0" applyNumberFormat="1" applyFont="1" applyAlignment="1" applyProtection="1">
      <alignment horizontal="center"/>
    </xf>
    <xf numFmtId="37" fontId="28" fillId="0" borderId="0" xfId="0" applyNumberFormat="1" applyFont="1" applyFill="1" applyAlignment="1" applyProtection="1">
      <alignment horizontal="center"/>
    </xf>
    <xf numFmtId="37" fontId="34" fillId="0" borderId="11" xfId="0" applyNumberFormat="1" applyFont="1" applyBorder="1" applyAlignment="1" applyProtection="1">
      <alignment horizontal="center"/>
    </xf>
    <xf numFmtId="3" fontId="24" fillId="0" borderId="11" xfId="0" applyFont="1" applyBorder="1" applyAlignment="1">
      <alignment horizontal="center"/>
    </xf>
    <xf numFmtId="3" fontId="23" fillId="0" borderId="0" xfId="0" applyFont="1" applyBorder="1"/>
    <xf numFmtId="37" fontId="0" fillId="0" borderId="6" xfId="0" applyNumberFormat="1" applyBorder="1" applyAlignment="1" applyProtection="1">
      <alignment horizontal="left" vertical="top" wrapText="1"/>
    </xf>
    <xf numFmtId="37" fontId="29" fillId="0" borderId="6" xfId="0" applyNumberFormat="1" applyFont="1" applyBorder="1" applyAlignment="1" applyProtection="1">
      <alignment horizontal="left" vertical="top" wrapText="1"/>
    </xf>
    <xf numFmtId="3" fontId="0" fillId="0" borderId="6" xfId="0" applyBorder="1" applyAlignment="1">
      <alignment horizontal="left" vertical="top" wrapText="1"/>
    </xf>
    <xf numFmtId="37" fontId="0" fillId="0" borderId="0" xfId="0" applyNumberFormat="1" applyFont="1" applyBorder="1" applyAlignment="1" applyProtection="1">
      <alignment horizontal="left" vertical="top" wrapText="1"/>
    </xf>
    <xf numFmtId="3" fontId="29" fillId="0" borderId="0" xfId="0" applyFont="1" applyAlignment="1"/>
    <xf numFmtId="165" fontId="56" fillId="0" borderId="27" xfId="23" applyNumberFormat="1" applyFont="1" applyFill="1" applyBorder="1" applyAlignment="1" applyProtection="1">
      <alignment horizontal="center"/>
      <protection locked="0"/>
    </xf>
    <xf numFmtId="165" fontId="56" fillId="0" borderId="22" xfId="23" applyNumberFormat="1" applyFont="1" applyFill="1" applyBorder="1" applyAlignment="1" applyProtection="1">
      <alignment horizontal="center"/>
      <protection locked="0"/>
    </xf>
  </cellXfs>
  <cellStyles count="26069">
    <cellStyle name="20% - Accent1 2" xfId="992"/>
    <cellStyle name="20% - Accent2 2" xfId="993"/>
    <cellStyle name="20% - Accent3 2" xfId="994"/>
    <cellStyle name="20% - Accent4 2" xfId="995"/>
    <cellStyle name="20% - Accent5 2" xfId="996"/>
    <cellStyle name="20% - Accent6 2" xfId="997"/>
    <cellStyle name="40% - Accent1 2" xfId="998"/>
    <cellStyle name="40% - Accent2 2" xfId="999"/>
    <cellStyle name="40% - Accent3 2" xfId="1000"/>
    <cellStyle name="40% - Accent4 2" xfId="1001"/>
    <cellStyle name="40% - Accent5 2" xfId="1002"/>
    <cellStyle name="40% - Accent6 2" xfId="1003"/>
    <cellStyle name="60% - Accent1 2" xfId="1004"/>
    <cellStyle name="60% - Accent2 2" xfId="1005"/>
    <cellStyle name="60% - Accent3 2" xfId="1006"/>
    <cellStyle name="60% - Accent4 2" xfId="1007"/>
    <cellStyle name="60% - Accent5 2" xfId="1008"/>
    <cellStyle name="60% - Accent6 2" xfId="1009"/>
    <cellStyle name="Accent1 2" xfId="1010"/>
    <cellStyle name="Accent2 2" xfId="1011"/>
    <cellStyle name="Accent3 2" xfId="1012"/>
    <cellStyle name="Accent4 2" xfId="1013"/>
    <cellStyle name="Accent5 2" xfId="1014"/>
    <cellStyle name="Accent6 2" xfId="1015"/>
    <cellStyle name="Bad 2" xfId="1016"/>
    <cellStyle name="Calculation 2" xfId="1017"/>
    <cellStyle name="Calculation 3" xfId="1041"/>
    <cellStyle name="Check Cell 2" xfId="1018"/>
    <cellStyle name="Comma" xfId="1" builtinId="3"/>
    <cellStyle name="Comma 2" xfId="23"/>
    <cellStyle name="Comma 2 2" xfId="110"/>
    <cellStyle name="Comma 2 3" xfId="68"/>
    <cellStyle name="Comma 2 4" xfId="1019"/>
    <cellStyle name="Comma 3" xfId="47"/>
    <cellStyle name="Comma 3 2" xfId="25"/>
    <cellStyle name="Comma 4" xfId="37"/>
    <cellStyle name="Comma 5" xfId="48"/>
    <cellStyle name="Comma 5 10" xfId="311"/>
    <cellStyle name="Comma 5 10 11" xfId="26031"/>
    <cellStyle name="Comma 5 10 2" xfId="626"/>
    <cellStyle name="Comma 5 10 2 2" xfId="3112"/>
    <cellStyle name="Comma 5 10 2 2 2" xfId="12255"/>
    <cellStyle name="Comma 5 10 2 2 2 2" xfId="22473"/>
    <cellStyle name="Comma 5 10 2 2 3" xfId="8677"/>
    <cellStyle name="Comma 5 10 2 2 4" xfId="17466"/>
    <cellStyle name="Comma 5 10 2 3" xfId="4441"/>
    <cellStyle name="Comma 5 10 2 3 2" xfId="13279"/>
    <cellStyle name="Comma 5 10 2 3 2 2" xfId="23530"/>
    <cellStyle name="Comma 5 10 2 3 3" xfId="9700"/>
    <cellStyle name="Comma 5 10 2 3 4" xfId="18523"/>
    <cellStyle name="Comma 5 10 2 4" xfId="2221"/>
    <cellStyle name="Comma 5 10 2 4 2" xfId="11586"/>
    <cellStyle name="Comma 5 10 2 4 3" xfId="21590"/>
    <cellStyle name="Comma 5 10 2 5" xfId="5897"/>
    <cellStyle name="Comma 5 10 2 5 2" xfId="14724"/>
    <cellStyle name="Comma 5 10 2 5 3" xfId="24975"/>
    <cellStyle name="Comma 5 10 2 6" xfId="7341"/>
    <cellStyle name="Comma 5 10 2 6 2" xfId="20072"/>
    <cellStyle name="Comma 5 10 2 7" xfId="16583"/>
    <cellStyle name="Comma 5 10 3" xfId="1083"/>
    <cellStyle name="Comma 5 10 3 2" xfId="3512"/>
    <cellStyle name="Comma 5 10 3 2 2" xfId="12648"/>
    <cellStyle name="Comma 5 10 3 2 2 2" xfId="22867"/>
    <cellStyle name="Comma 5 10 3 2 3" xfId="9070"/>
    <cellStyle name="Comma 5 10 3 2 4" xfId="17860"/>
    <cellStyle name="Comma 5 10 3 3" xfId="4790"/>
    <cellStyle name="Comma 5 10 3 3 2" xfId="13627"/>
    <cellStyle name="Comma 5 10 3 3 2 2" xfId="23878"/>
    <cellStyle name="Comma 5 10 3 3 3" xfId="10048"/>
    <cellStyle name="Comma 5 10 3 3 4" xfId="18871"/>
    <cellStyle name="Comma 5 10 3 4" xfId="2589"/>
    <cellStyle name="Comma 5 10 3 4 2" xfId="11953"/>
    <cellStyle name="Comma 5 10 3 4 3" xfId="21957"/>
    <cellStyle name="Comma 5 10 3 5" xfId="6245"/>
    <cellStyle name="Comma 5 10 3 5 2" xfId="15072"/>
    <cellStyle name="Comma 5 10 3 5 3" xfId="25323"/>
    <cellStyle name="Comma 5 10 3 6" xfId="7691"/>
    <cellStyle name="Comma 5 10 3 6 2" xfId="20466"/>
    <cellStyle name="Comma 5 10 3 7" xfId="16950"/>
    <cellStyle name="Comma 5 10 4" xfId="2797"/>
    <cellStyle name="Comma 5 10 4 2" xfId="5175"/>
    <cellStyle name="Comma 5 10 4 2 2" xfId="14012"/>
    <cellStyle name="Comma 5 10 4 2 2 2" xfId="24263"/>
    <cellStyle name="Comma 5 10 4 2 3" xfId="10433"/>
    <cellStyle name="Comma 5 10 4 2 4" xfId="19256"/>
    <cellStyle name="Comma 5 10 4 3" xfId="6630"/>
    <cellStyle name="Comma 5 10 4 3 2" xfId="15457"/>
    <cellStyle name="Comma 5 10 4 3 3" xfId="25708"/>
    <cellStyle name="Comma 5 10 4 4" xfId="8076"/>
    <cellStyle name="Comma 5 10 4 4 2" xfId="22158"/>
    <cellStyle name="Comma 5 10 4 5" xfId="17151"/>
    <cellStyle name="Comma 5 10 5" xfId="4129"/>
    <cellStyle name="Comma 5 10 5 2" xfId="12967"/>
    <cellStyle name="Comma 5 10 5 2 2" xfId="23218"/>
    <cellStyle name="Comma 5 10 5 3" xfId="9388"/>
    <cellStyle name="Comma 5 10 5 4" xfId="18211"/>
    <cellStyle name="Comma 5 10 6" xfId="1906"/>
    <cellStyle name="Comma 5 10 6 2" xfId="11271"/>
    <cellStyle name="Comma 5 10 6 3" xfId="21275"/>
    <cellStyle name="Comma 5 10 7" xfId="5587"/>
    <cellStyle name="Comma 5 10 7 2" xfId="14414"/>
    <cellStyle name="Comma 5 10 7 3" xfId="24665"/>
    <cellStyle name="Comma 5 10 8" xfId="7031"/>
    <cellStyle name="Comma 5 10 8 2" xfId="19757"/>
    <cellStyle name="Comma 5 10 9" xfId="16268"/>
    <cellStyle name="Comma 5 11" xfId="625"/>
    <cellStyle name="Comma 5 11 2" xfId="3111"/>
    <cellStyle name="Comma 5 11 2 2" xfId="12254"/>
    <cellStyle name="Comma 5 11 2 2 2" xfId="22472"/>
    <cellStyle name="Comma 5 11 2 3" xfId="8676"/>
    <cellStyle name="Comma 5 11 2 4" xfId="17465"/>
    <cellStyle name="Comma 5 11 3" xfId="4440"/>
    <cellStyle name="Comma 5 11 3 2" xfId="13278"/>
    <cellStyle name="Comma 5 11 3 2 2" xfId="23529"/>
    <cellStyle name="Comma 5 11 3 3" xfId="9699"/>
    <cellStyle name="Comma 5 11 3 4" xfId="18522"/>
    <cellStyle name="Comma 5 11 4" xfId="2220"/>
    <cellStyle name="Comma 5 11 4 2" xfId="11585"/>
    <cellStyle name="Comma 5 11 4 3" xfId="21589"/>
    <cellStyle name="Comma 5 11 5" xfId="5896"/>
    <cellStyle name="Comma 5 11 5 2" xfId="14723"/>
    <cellStyle name="Comma 5 11 5 3" xfId="24974"/>
    <cellStyle name="Comma 5 11 6" xfId="7340"/>
    <cellStyle name="Comma 5 11 6 2" xfId="20071"/>
    <cellStyle name="Comma 5 11 7" xfId="16582"/>
    <cellStyle name="Comma 5 12" xfId="1051"/>
    <cellStyle name="Comma 5 12 2" xfId="3480"/>
    <cellStyle name="Comma 5 12 2 2" xfId="12616"/>
    <cellStyle name="Comma 5 12 2 2 2" xfId="22835"/>
    <cellStyle name="Comma 5 12 2 3" xfId="9038"/>
    <cellStyle name="Comma 5 12 2 4" xfId="17828"/>
    <cellStyle name="Comma 5 12 3" xfId="4789"/>
    <cellStyle name="Comma 5 12 3 2" xfId="13626"/>
    <cellStyle name="Comma 5 12 3 2 2" xfId="23877"/>
    <cellStyle name="Comma 5 12 3 3" xfId="10047"/>
    <cellStyle name="Comma 5 12 3 4" xfId="18870"/>
    <cellStyle name="Comma 5 12 4" xfId="1715"/>
    <cellStyle name="Comma 5 12 4 2" xfId="11092"/>
    <cellStyle name="Comma 5 12 4 3" xfId="21096"/>
    <cellStyle name="Comma 5 12 5" xfId="6244"/>
    <cellStyle name="Comma 5 12 5 2" xfId="15071"/>
    <cellStyle name="Comma 5 12 5 3" xfId="25322"/>
    <cellStyle name="Comma 5 12 6" xfId="7690"/>
    <cellStyle name="Comma 5 12 6 2" xfId="20434"/>
    <cellStyle name="Comma 5 12 7" xfId="16089"/>
    <cellStyle name="Comma 5 13" xfId="2615"/>
    <cellStyle name="Comma 5 13 2" xfId="5143"/>
    <cellStyle name="Comma 5 13 2 2" xfId="13980"/>
    <cellStyle name="Comma 5 13 2 2 2" xfId="24231"/>
    <cellStyle name="Comma 5 13 2 3" xfId="10401"/>
    <cellStyle name="Comma 5 13 2 4" xfId="19224"/>
    <cellStyle name="Comma 5 13 3" xfId="6598"/>
    <cellStyle name="Comma 5 13 3 2" xfId="15425"/>
    <cellStyle name="Comma 5 13 3 3" xfId="25676"/>
    <cellStyle name="Comma 5 13 4" xfId="8044"/>
    <cellStyle name="Comma 5 13 4 2" xfId="21979"/>
    <cellStyle name="Comma 5 13 5" xfId="16972"/>
    <cellStyle name="Comma 5 14" xfId="4097"/>
    <cellStyle name="Comma 5 14 2" xfId="5555"/>
    <cellStyle name="Comma 5 14 2 2" xfId="14382"/>
    <cellStyle name="Comma 5 14 2 3" xfId="24633"/>
    <cellStyle name="Comma 5 14 3" xfId="6999"/>
    <cellStyle name="Comma 5 14 3 2" xfId="23186"/>
    <cellStyle name="Comma 5 14 4" xfId="18179"/>
    <cellStyle name="Comma 5 15" xfId="1403"/>
    <cellStyle name="Comma 5 15 2" xfId="10780"/>
    <cellStyle name="Comma 5 15 3" xfId="20784"/>
    <cellStyle name="Comma 5 16" xfId="5515"/>
    <cellStyle name="Comma 5 16 2" xfId="14342"/>
    <cellStyle name="Comma 5 16 3" xfId="24593"/>
    <cellStyle name="Comma 5 17" xfId="6954"/>
    <cellStyle name="Comma 5 17 2" xfId="19579"/>
    <cellStyle name="Comma 5 18" xfId="15777"/>
    <cellStyle name="Comma 5 2" xfId="49"/>
    <cellStyle name="Comma 5 2 10" xfId="627"/>
    <cellStyle name="Comma 5 2 10 2" xfId="3113"/>
    <cellStyle name="Comma 5 2 10 2 2" xfId="12256"/>
    <cellStyle name="Comma 5 2 10 2 2 2" xfId="22474"/>
    <cellStyle name="Comma 5 2 10 2 3" xfId="8678"/>
    <cellStyle name="Comma 5 2 10 2 4" xfId="17467"/>
    <cellStyle name="Comma 5 2 10 3" xfId="4442"/>
    <cellStyle name="Comma 5 2 10 3 2" xfId="13280"/>
    <cellStyle name="Comma 5 2 10 3 2 2" xfId="23531"/>
    <cellStyle name="Comma 5 2 10 3 3" xfId="9701"/>
    <cellStyle name="Comma 5 2 10 3 4" xfId="18524"/>
    <cellStyle name="Comma 5 2 10 4" xfId="2222"/>
    <cellStyle name="Comma 5 2 10 4 2" xfId="11587"/>
    <cellStyle name="Comma 5 2 10 4 3" xfId="21591"/>
    <cellStyle name="Comma 5 2 10 5" xfId="5898"/>
    <cellStyle name="Comma 5 2 10 5 2" xfId="14725"/>
    <cellStyle name="Comma 5 2 10 5 3" xfId="24976"/>
    <cellStyle name="Comma 5 2 10 6" xfId="7342"/>
    <cellStyle name="Comma 5 2 10 6 2" xfId="20073"/>
    <cellStyle name="Comma 5 2 10 7" xfId="16584"/>
    <cellStyle name="Comma 5 2 11" xfId="1052"/>
    <cellStyle name="Comma 5 2 11 2" xfId="3481"/>
    <cellStyle name="Comma 5 2 11 2 2" xfId="12617"/>
    <cellStyle name="Comma 5 2 11 2 2 2" xfId="22836"/>
    <cellStyle name="Comma 5 2 11 2 3" xfId="9039"/>
    <cellStyle name="Comma 5 2 11 2 4" xfId="17829"/>
    <cellStyle name="Comma 5 2 11 3" xfId="4791"/>
    <cellStyle name="Comma 5 2 11 3 2" xfId="13628"/>
    <cellStyle name="Comma 5 2 11 3 2 2" xfId="23879"/>
    <cellStyle name="Comma 5 2 11 3 3" xfId="10049"/>
    <cellStyle name="Comma 5 2 11 3 4" xfId="18872"/>
    <cellStyle name="Comma 5 2 11 4" xfId="1716"/>
    <cellStyle name="Comma 5 2 11 4 2" xfId="11093"/>
    <cellStyle name="Comma 5 2 11 4 3" xfId="21097"/>
    <cellStyle name="Comma 5 2 11 5" xfId="6246"/>
    <cellStyle name="Comma 5 2 11 5 2" xfId="15073"/>
    <cellStyle name="Comma 5 2 11 5 3" xfId="25324"/>
    <cellStyle name="Comma 5 2 11 6" xfId="7692"/>
    <cellStyle name="Comma 5 2 11 6 2" xfId="20435"/>
    <cellStyle name="Comma 5 2 11 7" xfId="16090"/>
    <cellStyle name="Comma 5 2 12" xfId="2616"/>
    <cellStyle name="Comma 5 2 12 2" xfId="5144"/>
    <cellStyle name="Comma 5 2 12 2 2" xfId="13981"/>
    <cellStyle name="Comma 5 2 12 2 2 2" xfId="24232"/>
    <cellStyle name="Comma 5 2 12 2 3" xfId="10402"/>
    <cellStyle name="Comma 5 2 12 2 4" xfId="19225"/>
    <cellStyle name="Comma 5 2 12 3" xfId="6599"/>
    <cellStyle name="Comma 5 2 12 3 2" xfId="15426"/>
    <cellStyle name="Comma 5 2 12 3 3" xfId="25677"/>
    <cellStyle name="Comma 5 2 12 4" xfId="8045"/>
    <cellStyle name="Comma 5 2 12 4 2" xfId="21980"/>
    <cellStyle name="Comma 5 2 12 5" xfId="16973"/>
    <cellStyle name="Comma 5 2 13" xfId="4098"/>
    <cellStyle name="Comma 5 2 13 2" xfId="5556"/>
    <cellStyle name="Comma 5 2 13 2 2" xfId="14383"/>
    <cellStyle name="Comma 5 2 13 2 3" xfId="24634"/>
    <cellStyle name="Comma 5 2 13 3" xfId="7000"/>
    <cellStyle name="Comma 5 2 13 3 2" xfId="23187"/>
    <cellStyle name="Comma 5 2 13 4" xfId="18180"/>
    <cellStyle name="Comma 5 2 14" xfId="1404"/>
    <cellStyle name="Comma 5 2 14 2" xfId="10781"/>
    <cellStyle name="Comma 5 2 14 3" xfId="20785"/>
    <cellStyle name="Comma 5 2 15" xfId="5516"/>
    <cellStyle name="Comma 5 2 15 2" xfId="14343"/>
    <cellStyle name="Comma 5 2 15 3" xfId="24594"/>
    <cellStyle name="Comma 5 2 16" xfId="6955"/>
    <cellStyle name="Comma 5 2 16 2" xfId="19580"/>
    <cellStyle name="Comma 5 2 17" xfId="15778"/>
    <cellStyle name="Comma 5 2 2" xfId="120"/>
    <cellStyle name="Comma 5 2 2 10" xfId="4110"/>
    <cellStyle name="Comma 5 2 2 10 2" xfId="5568"/>
    <cellStyle name="Comma 5 2 2 10 2 2" xfId="14395"/>
    <cellStyle name="Comma 5 2 2 10 2 3" xfId="24646"/>
    <cellStyle name="Comma 5 2 2 10 3" xfId="7012"/>
    <cellStyle name="Comma 5 2 2 10 3 2" xfId="23199"/>
    <cellStyle name="Comma 5 2 2 10 4" xfId="18192"/>
    <cellStyle name="Comma 5 2 2 11" xfId="1429"/>
    <cellStyle name="Comma 5 2 2 11 2" xfId="10806"/>
    <cellStyle name="Comma 5 2 2 11 3" xfId="20810"/>
    <cellStyle name="Comma 5 2 2 12" xfId="5538"/>
    <cellStyle name="Comma 5 2 2 12 2" xfId="14365"/>
    <cellStyle name="Comma 5 2 2 12 3" xfId="24616"/>
    <cellStyle name="Comma 5 2 2 13" xfId="6982"/>
    <cellStyle name="Comma 5 2 2 13 2" xfId="19593"/>
    <cellStyle name="Comma 5 2 2 14" xfId="15803"/>
    <cellStyle name="Comma 5 2 2 2" xfId="164"/>
    <cellStyle name="Comma 5 2 2 2 10" xfId="5670"/>
    <cellStyle name="Comma 5 2 2 2 10 2" xfId="14497"/>
    <cellStyle name="Comma 5 2 2 2 10 3" xfId="24748"/>
    <cellStyle name="Comma 5 2 2 2 11" xfId="7114"/>
    <cellStyle name="Comma 5 2 2 2 11 2" xfId="19623"/>
    <cellStyle name="Comma 5 2 2 2 12" xfId="15860"/>
    <cellStyle name="Comma 5 2 2 2 2" xfId="276"/>
    <cellStyle name="Comma 5 2 2 2 2 10" xfId="16064"/>
    <cellStyle name="Comma 5 2 2 2 2 2" xfId="598"/>
    <cellStyle name="Comma 5 2 2 2 2 2 2" xfId="3084"/>
    <cellStyle name="Comma 5 2 2 2 2 2 2 2" xfId="12231"/>
    <cellStyle name="Comma 5 2 2 2 2 2 2 2 2" xfId="22445"/>
    <cellStyle name="Comma 5 2 2 2 2 2 2 3" xfId="8653"/>
    <cellStyle name="Comma 5 2 2 2 2 2 2 4" xfId="17438"/>
    <cellStyle name="Comma 5 2 2 2 2 2 3" xfId="4445"/>
    <cellStyle name="Comma 5 2 2 2 2 2 3 2" xfId="13283"/>
    <cellStyle name="Comma 5 2 2 2 2 2 3 2 2" xfId="23534"/>
    <cellStyle name="Comma 5 2 2 2 2 2 3 3" xfId="9704"/>
    <cellStyle name="Comma 5 2 2 2 2 2 3 4" xfId="18527"/>
    <cellStyle name="Comma 5 2 2 2 2 2 4" xfId="2193"/>
    <cellStyle name="Comma 5 2 2 2 2 2 4 2" xfId="11558"/>
    <cellStyle name="Comma 5 2 2 2 2 2 4 3" xfId="21562"/>
    <cellStyle name="Comma 5 2 2 2 2 2 5" xfId="5901"/>
    <cellStyle name="Comma 5 2 2 2 2 2 5 2" xfId="14728"/>
    <cellStyle name="Comma 5 2 2 2 2 2 5 3" xfId="24979"/>
    <cellStyle name="Comma 5 2 2 2 2 2 6" xfId="7345"/>
    <cellStyle name="Comma 5 2 2 2 2 2 6 2" xfId="20044"/>
    <cellStyle name="Comma 5 2 2 2 2 2 7" xfId="16555"/>
    <cellStyle name="Comma 5 2 2 2 2 3" xfId="630"/>
    <cellStyle name="Comma 5 2 2 2 2 3 2" xfId="3116"/>
    <cellStyle name="Comma 5 2 2 2 2 3 2 2" xfId="12259"/>
    <cellStyle name="Comma 5 2 2 2 2 3 2 2 2" xfId="22477"/>
    <cellStyle name="Comma 5 2 2 2 2 3 2 3" xfId="8681"/>
    <cellStyle name="Comma 5 2 2 2 2 3 2 4" xfId="17470"/>
    <cellStyle name="Comma 5 2 2 2 2 3 3" xfId="4794"/>
    <cellStyle name="Comma 5 2 2 2 2 3 3 2" xfId="13631"/>
    <cellStyle name="Comma 5 2 2 2 2 3 3 2 2" xfId="23882"/>
    <cellStyle name="Comma 5 2 2 2 2 3 3 3" xfId="10052"/>
    <cellStyle name="Comma 5 2 2 2 2 3 3 4" xfId="18875"/>
    <cellStyle name="Comma 5 2 2 2 2 3 4" xfId="2225"/>
    <cellStyle name="Comma 5 2 2 2 2 3 4 2" xfId="11590"/>
    <cellStyle name="Comma 5 2 2 2 2 3 4 3" xfId="21594"/>
    <cellStyle name="Comma 5 2 2 2 2 3 5" xfId="6249"/>
    <cellStyle name="Comma 5 2 2 2 2 3 5 2" xfId="15076"/>
    <cellStyle name="Comma 5 2 2 2 2 3 5 3" xfId="25327"/>
    <cellStyle name="Comma 5 2 2 2 2 3 6" xfId="7695"/>
    <cellStyle name="Comma 5 2 2 2 2 3 6 2" xfId="20076"/>
    <cellStyle name="Comma 5 2 2 2 2 3 7" xfId="16587"/>
    <cellStyle name="Comma 5 2 2 2 2 4" xfId="1370"/>
    <cellStyle name="Comma 5 2 2 2 2 4 2" xfId="3799"/>
    <cellStyle name="Comma 5 2 2 2 2 4 2 2" xfId="12935"/>
    <cellStyle name="Comma 5 2 2 2 2 4 2 2 2" xfId="23154"/>
    <cellStyle name="Comma 5 2 2 2 2 4 2 3" xfId="9356"/>
    <cellStyle name="Comma 5 2 2 2 2 4 2 4" xfId="18147"/>
    <cellStyle name="Comma 5 2 2 2 2 4 3" xfId="5462"/>
    <cellStyle name="Comma 5 2 2 2 2 4 3 2" xfId="14299"/>
    <cellStyle name="Comma 5 2 2 2 2 4 3 2 2" xfId="24550"/>
    <cellStyle name="Comma 5 2 2 2 2 4 3 3" xfId="10720"/>
    <cellStyle name="Comma 5 2 2 2 2 4 3 4" xfId="19543"/>
    <cellStyle name="Comma 5 2 2 2 2 4 4" xfId="1873"/>
    <cellStyle name="Comma 5 2 2 2 2 4 4 2" xfId="11241"/>
    <cellStyle name="Comma 5 2 2 2 2 4 4 3" xfId="21245"/>
    <cellStyle name="Comma 5 2 2 2 2 4 5" xfId="6917"/>
    <cellStyle name="Comma 5 2 2 2 2 4 5 2" xfId="15744"/>
    <cellStyle name="Comma 5 2 2 2 2 4 5 3" xfId="25995"/>
    <cellStyle name="Comma 5 2 2 2 2 4 6" xfId="8363"/>
    <cellStyle name="Comma 5 2 2 2 2 4 6 2" xfId="20753"/>
    <cellStyle name="Comma 5 2 2 2 2 4 7" xfId="16238"/>
    <cellStyle name="Comma 5 2 2 2 2 5" xfId="2767"/>
    <cellStyle name="Comma 5 2 2 2 2 5 2" xfId="12084"/>
    <cellStyle name="Comma 5 2 2 2 2 5 2 2" xfId="22128"/>
    <cellStyle name="Comma 5 2 2 2 2 5 3" xfId="8418"/>
    <cellStyle name="Comma 5 2 2 2 2 5 4" xfId="17121"/>
    <cellStyle name="Comma 5 2 2 2 2 6" xfId="4418"/>
    <cellStyle name="Comma 5 2 2 2 2 6 2" xfId="13256"/>
    <cellStyle name="Comma 5 2 2 2 2 6 2 2" xfId="23507"/>
    <cellStyle name="Comma 5 2 2 2 2 6 3" xfId="9677"/>
    <cellStyle name="Comma 5 2 2 2 2 6 4" xfId="18500"/>
    <cellStyle name="Comma 5 2 2 2 2 7" xfId="1690"/>
    <cellStyle name="Comma 5 2 2 2 2 7 2" xfId="11067"/>
    <cellStyle name="Comma 5 2 2 2 2 7 3" xfId="21071"/>
    <cellStyle name="Comma 5 2 2 2 2 8" xfId="5874"/>
    <cellStyle name="Comma 5 2 2 2 2 8 2" xfId="14701"/>
    <cellStyle name="Comma 5 2 2 2 2 8 3" xfId="24952"/>
    <cellStyle name="Comma 5 2 2 2 2 9" xfId="7318"/>
    <cellStyle name="Comma 5 2 2 2 2 9 2" xfId="19727"/>
    <cellStyle name="Comma 5 2 2 2 3" xfId="494"/>
    <cellStyle name="Comma 5 2 2 2 3 2" xfId="631"/>
    <cellStyle name="Comma 5 2 2 2 3 2 2" xfId="3117"/>
    <cellStyle name="Comma 5 2 2 2 3 2 2 2" xfId="12260"/>
    <cellStyle name="Comma 5 2 2 2 3 2 2 2 2" xfId="22478"/>
    <cellStyle name="Comma 5 2 2 2 3 2 2 3" xfId="8682"/>
    <cellStyle name="Comma 5 2 2 2 3 2 2 4" xfId="17471"/>
    <cellStyle name="Comma 5 2 2 2 3 2 3" xfId="4446"/>
    <cellStyle name="Comma 5 2 2 2 3 2 3 2" xfId="13284"/>
    <cellStyle name="Comma 5 2 2 2 3 2 3 2 2" xfId="23535"/>
    <cellStyle name="Comma 5 2 2 2 3 2 3 3" xfId="9705"/>
    <cellStyle name="Comma 5 2 2 2 3 2 3 4" xfId="18528"/>
    <cellStyle name="Comma 5 2 2 2 3 2 4" xfId="2226"/>
    <cellStyle name="Comma 5 2 2 2 3 2 4 2" xfId="11591"/>
    <cellStyle name="Comma 5 2 2 2 3 2 4 3" xfId="21595"/>
    <cellStyle name="Comma 5 2 2 2 3 2 5" xfId="5902"/>
    <cellStyle name="Comma 5 2 2 2 3 2 5 2" xfId="14729"/>
    <cellStyle name="Comma 5 2 2 2 3 2 5 3" xfId="24980"/>
    <cellStyle name="Comma 5 2 2 2 3 2 6" xfId="7346"/>
    <cellStyle name="Comma 5 2 2 2 3 2 6 2" xfId="20077"/>
    <cellStyle name="Comma 5 2 2 2 3 2 7" xfId="16588"/>
    <cellStyle name="Comma 5 2 2 2 3 3" xfId="1266"/>
    <cellStyle name="Comma 5 2 2 2 3 3 2" xfId="3695"/>
    <cellStyle name="Comma 5 2 2 2 3 3 2 2" xfId="12831"/>
    <cellStyle name="Comma 5 2 2 2 3 3 2 2 2" xfId="23050"/>
    <cellStyle name="Comma 5 2 2 2 3 3 2 3" xfId="9252"/>
    <cellStyle name="Comma 5 2 2 2 3 3 2 4" xfId="18043"/>
    <cellStyle name="Comma 5 2 2 2 3 3 3" xfId="4795"/>
    <cellStyle name="Comma 5 2 2 2 3 3 3 2" xfId="13632"/>
    <cellStyle name="Comma 5 2 2 2 3 3 3 2 2" xfId="23883"/>
    <cellStyle name="Comma 5 2 2 2 3 3 3 3" xfId="10053"/>
    <cellStyle name="Comma 5 2 2 2 3 3 3 4" xfId="18876"/>
    <cellStyle name="Comma 5 2 2 2 3 3 4" xfId="2089"/>
    <cellStyle name="Comma 5 2 2 2 3 3 4 2" xfId="11454"/>
    <cellStyle name="Comma 5 2 2 2 3 3 4 3" xfId="21458"/>
    <cellStyle name="Comma 5 2 2 2 3 3 5" xfId="6250"/>
    <cellStyle name="Comma 5 2 2 2 3 3 5 2" xfId="15077"/>
    <cellStyle name="Comma 5 2 2 2 3 3 5 3" xfId="25328"/>
    <cellStyle name="Comma 5 2 2 2 3 3 6" xfId="7696"/>
    <cellStyle name="Comma 5 2 2 2 3 3 6 2" xfId="20649"/>
    <cellStyle name="Comma 5 2 2 2 3 3 7" xfId="16451"/>
    <cellStyle name="Comma 5 2 2 2 3 4" xfId="2980"/>
    <cellStyle name="Comma 5 2 2 2 3 4 2" xfId="5358"/>
    <cellStyle name="Comma 5 2 2 2 3 4 2 2" xfId="14195"/>
    <cellStyle name="Comma 5 2 2 2 3 4 2 2 2" xfId="24446"/>
    <cellStyle name="Comma 5 2 2 2 3 4 2 3" xfId="10616"/>
    <cellStyle name="Comma 5 2 2 2 3 4 2 4" xfId="19439"/>
    <cellStyle name="Comma 5 2 2 2 3 4 3" xfId="6813"/>
    <cellStyle name="Comma 5 2 2 2 3 4 3 2" xfId="15640"/>
    <cellStyle name="Comma 5 2 2 2 3 4 3 3" xfId="25891"/>
    <cellStyle name="Comma 5 2 2 2 3 4 4" xfId="8259"/>
    <cellStyle name="Comma 5 2 2 2 3 4 4 2" xfId="22341"/>
    <cellStyle name="Comma 5 2 2 2 3 4 5" xfId="17334"/>
    <cellStyle name="Comma 5 2 2 2 3 5" xfId="4314"/>
    <cellStyle name="Comma 5 2 2 2 3 5 2" xfId="13152"/>
    <cellStyle name="Comma 5 2 2 2 3 5 2 2" xfId="23403"/>
    <cellStyle name="Comma 5 2 2 2 3 5 3" xfId="9573"/>
    <cellStyle name="Comma 5 2 2 2 3 5 4" xfId="18396"/>
    <cellStyle name="Comma 5 2 2 2 3 6" xfId="1586"/>
    <cellStyle name="Comma 5 2 2 2 3 6 2" xfId="10963"/>
    <cellStyle name="Comma 5 2 2 2 3 6 3" xfId="20967"/>
    <cellStyle name="Comma 5 2 2 2 3 7" xfId="5770"/>
    <cellStyle name="Comma 5 2 2 2 3 7 2" xfId="14597"/>
    <cellStyle name="Comma 5 2 2 2 3 7 3" xfId="24848"/>
    <cellStyle name="Comma 5 2 2 2 3 8" xfId="7214"/>
    <cellStyle name="Comma 5 2 2 2 3 8 2" xfId="19940"/>
    <cellStyle name="Comma 5 2 2 2 3 9" xfId="15960"/>
    <cellStyle name="Comma 5 2 2 2 4" xfId="394"/>
    <cellStyle name="Comma 5 2 2 2 4 2" xfId="2880"/>
    <cellStyle name="Comma 5 2 2 2 4 2 2" xfId="12168"/>
    <cellStyle name="Comma 5 2 2 2 4 2 2 2" xfId="22241"/>
    <cellStyle name="Comma 5 2 2 2 4 2 3" xfId="8415"/>
    <cellStyle name="Comma 5 2 2 2 4 2 4" xfId="17234"/>
    <cellStyle name="Comma 5 2 2 2 4 3" xfId="4444"/>
    <cellStyle name="Comma 5 2 2 2 4 3 2" xfId="13282"/>
    <cellStyle name="Comma 5 2 2 2 4 3 2 2" xfId="23533"/>
    <cellStyle name="Comma 5 2 2 2 4 3 3" xfId="9703"/>
    <cellStyle name="Comma 5 2 2 2 4 3 4" xfId="18526"/>
    <cellStyle name="Comma 5 2 2 2 4 4" xfId="1989"/>
    <cellStyle name="Comma 5 2 2 2 4 4 2" xfId="11354"/>
    <cellStyle name="Comma 5 2 2 2 4 4 3" xfId="21358"/>
    <cellStyle name="Comma 5 2 2 2 4 5" xfId="5900"/>
    <cellStyle name="Comma 5 2 2 2 4 5 2" xfId="14727"/>
    <cellStyle name="Comma 5 2 2 2 4 5 3" xfId="24978"/>
    <cellStyle name="Comma 5 2 2 2 4 6" xfId="7344"/>
    <cellStyle name="Comma 5 2 2 2 4 6 2" xfId="19840"/>
    <cellStyle name="Comma 5 2 2 2 4 7" xfId="16351"/>
    <cellStyle name="Comma 5 2 2 2 5" xfId="629"/>
    <cellStyle name="Comma 5 2 2 2 5 2" xfId="3115"/>
    <cellStyle name="Comma 5 2 2 2 5 2 2" xfId="12258"/>
    <cellStyle name="Comma 5 2 2 2 5 2 2 2" xfId="22476"/>
    <cellStyle name="Comma 5 2 2 2 5 2 3" xfId="8680"/>
    <cellStyle name="Comma 5 2 2 2 5 2 4" xfId="17469"/>
    <cellStyle name="Comma 5 2 2 2 5 3" xfId="4793"/>
    <cellStyle name="Comma 5 2 2 2 5 3 2" xfId="13630"/>
    <cellStyle name="Comma 5 2 2 2 5 3 2 2" xfId="23881"/>
    <cellStyle name="Comma 5 2 2 2 5 3 3" xfId="10051"/>
    <cellStyle name="Comma 5 2 2 2 5 3 4" xfId="18874"/>
    <cellStyle name="Comma 5 2 2 2 5 4" xfId="2224"/>
    <cellStyle name="Comma 5 2 2 2 5 4 2" xfId="11589"/>
    <cellStyle name="Comma 5 2 2 2 5 4 3" xfId="21593"/>
    <cellStyle name="Comma 5 2 2 2 5 5" xfId="6248"/>
    <cellStyle name="Comma 5 2 2 2 5 5 2" xfId="15075"/>
    <cellStyle name="Comma 5 2 2 2 5 5 3" xfId="25326"/>
    <cellStyle name="Comma 5 2 2 2 5 6" xfId="7694"/>
    <cellStyle name="Comma 5 2 2 2 5 6 2" xfId="20075"/>
    <cellStyle name="Comma 5 2 2 2 5 7" xfId="16586"/>
    <cellStyle name="Comma 5 2 2 2 6" xfId="1166"/>
    <cellStyle name="Comma 5 2 2 2 6 2" xfId="3595"/>
    <cellStyle name="Comma 5 2 2 2 6 2 2" xfId="12731"/>
    <cellStyle name="Comma 5 2 2 2 6 2 2 2" xfId="22950"/>
    <cellStyle name="Comma 5 2 2 2 6 2 3" xfId="9152"/>
    <cellStyle name="Comma 5 2 2 2 6 2 4" xfId="17943"/>
    <cellStyle name="Comma 5 2 2 2 6 3" xfId="5258"/>
    <cellStyle name="Comma 5 2 2 2 6 3 2" xfId="14095"/>
    <cellStyle name="Comma 5 2 2 2 6 3 2 2" xfId="24346"/>
    <cellStyle name="Comma 5 2 2 2 6 3 3" xfId="10516"/>
    <cellStyle name="Comma 5 2 2 2 6 3 4" xfId="19339"/>
    <cellStyle name="Comma 5 2 2 2 6 4" xfId="1766"/>
    <cellStyle name="Comma 5 2 2 2 6 4 2" xfId="11137"/>
    <cellStyle name="Comma 5 2 2 2 6 4 3" xfId="21141"/>
    <cellStyle name="Comma 5 2 2 2 6 5" xfId="6713"/>
    <cellStyle name="Comma 5 2 2 2 6 5 2" xfId="15540"/>
    <cellStyle name="Comma 5 2 2 2 6 5 3" xfId="25791"/>
    <cellStyle name="Comma 5 2 2 2 6 6" xfId="8159"/>
    <cellStyle name="Comma 5 2 2 2 6 6 2" xfId="20549"/>
    <cellStyle name="Comma 5 2 2 2 6 7" xfId="16134"/>
    <cellStyle name="Comma 5 2 2 2 7" xfId="2663"/>
    <cellStyle name="Comma 5 2 2 2 7 2" xfId="11983"/>
    <cellStyle name="Comma 5 2 2 2 7 2 2" xfId="22024"/>
    <cellStyle name="Comma 5 2 2 2 7 3" xfId="8507"/>
    <cellStyle name="Comma 5 2 2 2 7 4" xfId="17017"/>
    <cellStyle name="Comma 5 2 2 2 8" xfId="4214"/>
    <cellStyle name="Comma 5 2 2 2 8 2" xfId="13052"/>
    <cellStyle name="Comma 5 2 2 2 8 2 2" xfId="23303"/>
    <cellStyle name="Comma 5 2 2 2 8 3" xfId="9473"/>
    <cellStyle name="Comma 5 2 2 2 8 4" xfId="18296"/>
    <cellStyle name="Comma 5 2 2 2 9" xfId="1486"/>
    <cellStyle name="Comma 5 2 2 2 9 2" xfId="10863"/>
    <cellStyle name="Comma 5 2 2 2 9 3" xfId="20867"/>
    <cellStyle name="Comma 5 2 2 3" xfId="211"/>
    <cellStyle name="Comma 5 2 2 3 10" xfId="7157"/>
    <cellStyle name="Comma 5 2 2 3 10 2" xfId="19666"/>
    <cellStyle name="Comma 5 2 2 3 11" xfId="15903"/>
    <cellStyle name="Comma 5 2 2 3 2" xfId="537"/>
    <cellStyle name="Comma 5 2 2 3 2 2" xfId="633"/>
    <cellStyle name="Comma 5 2 2 3 2 2 2" xfId="3119"/>
    <cellStyle name="Comma 5 2 2 3 2 2 2 2" xfId="12262"/>
    <cellStyle name="Comma 5 2 2 3 2 2 2 2 2" xfId="22480"/>
    <cellStyle name="Comma 5 2 2 3 2 2 2 3" xfId="8684"/>
    <cellStyle name="Comma 5 2 2 3 2 2 2 4" xfId="17473"/>
    <cellStyle name="Comma 5 2 2 3 2 2 3" xfId="4448"/>
    <cellStyle name="Comma 5 2 2 3 2 2 3 2" xfId="13286"/>
    <cellStyle name="Comma 5 2 2 3 2 2 3 2 2" xfId="23537"/>
    <cellStyle name="Comma 5 2 2 3 2 2 3 3" xfId="9707"/>
    <cellStyle name="Comma 5 2 2 3 2 2 3 4" xfId="18530"/>
    <cellStyle name="Comma 5 2 2 3 2 2 4" xfId="2228"/>
    <cellStyle name="Comma 5 2 2 3 2 2 4 2" xfId="11593"/>
    <cellStyle name="Comma 5 2 2 3 2 2 4 3" xfId="21597"/>
    <cellStyle name="Comma 5 2 2 3 2 2 5" xfId="5904"/>
    <cellStyle name="Comma 5 2 2 3 2 2 5 2" xfId="14731"/>
    <cellStyle name="Comma 5 2 2 3 2 2 5 3" xfId="24982"/>
    <cellStyle name="Comma 5 2 2 3 2 2 6" xfId="7348"/>
    <cellStyle name="Comma 5 2 2 3 2 2 6 2" xfId="20079"/>
    <cellStyle name="Comma 5 2 2 3 2 2 7" xfId="16590"/>
    <cellStyle name="Comma 5 2 2 3 2 3" xfId="1309"/>
    <cellStyle name="Comma 5 2 2 3 2 3 2" xfId="3738"/>
    <cellStyle name="Comma 5 2 2 3 2 3 2 2" xfId="12874"/>
    <cellStyle name="Comma 5 2 2 3 2 3 2 2 2" xfId="23093"/>
    <cellStyle name="Comma 5 2 2 3 2 3 2 3" xfId="9295"/>
    <cellStyle name="Comma 5 2 2 3 2 3 2 4" xfId="18086"/>
    <cellStyle name="Comma 5 2 2 3 2 3 3" xfId="4797"/>
    <cellStyle name="Comma 5 2 2 3 2 3 3 2" xfId="13634"/>
    <cellStyle name="Comma 5 2 2 3 2 3 3 2 2" xfId="23885"/>
    <cellStyle name="Comma 5 2 2 3 2 3 3 3" xfId="10055"/>
    <cellStyle name="Comma 5 2 2 3 2 3 3 4" xfId="18878"/>
    <cellStyle name="Comma 5 2 2 3 2 3 4" xfId="2132"/>
    <cellStyle name="Comma 5 2 2 3 2 3 4 2" xfId="11497"/>
    <cellStyle name="Comma 5 2 2 3 2 3 4 3" xfId="21501"/>
    <cellStyle name="Comma 5 2 2 3 2 3 5" xfId="6252"/>
    <cellStyle name="Comma 5 2 2 3 2 3 5 2" xfId="15079"/>
    <cellStyle name="Comma 5 2 2 3 2 3 5 3" xfId="25330"/>
    <cellStyle name="Comma 5 2 2 3 2 3 6" xfId="7698"/>
    <cellStyle name="Comma 5 2 2 3 2 3 6 2" xfId="20692"/>
    <cellStyle name="Comma 5 2 2 3 2 3 7" xfId="16494"/>
    <cellStyle name="Comma 5 2 2 3 2 4" xfId="3023"/>
    <cellStyle name="Comma 5 2 2 3 2 4 2" xfId="5401"/>
    <cellStyle name="Comma 5 2 2 3 2 4 2 2" xfId="14238"/>
    <cellStyle name="Comma 5 2 2 3 2 4 2 2 2" xfId="24489"/>
    <cellStyle name="Comma 5 2 2 3 2 4 2 3" xfId="10659"/>
    <cellStyle name="Comma 5 2 2 3 2 4 2 4" xfId="19482"/>
    <cellStyle name="Comma 5 2 2 3 2 4 3" xfId="6856"/>
    <cellStyle name="Comma 5 2 2 3 2 4 3 2" xfId="15683"/>
    <cellStyle name="Comma 5 2 2 3 2 4 3 3" xfId="25934"/>
    <cellStyle name="Comma 5 2 2 3 2 4 4" xfId="8302"/>
    <cellStyle name="Comma 5 2 2 3 2 4 4 2" xfId="22384"/>
    <cellStyle name="Comma 5 2 2 3 2 4 5" xfId="17377"/>
    <cellStyle name="Comma 5 2 2 3 2 5" xfId="4357"/>
    <cellStyle name="Comma 5 2 2 3 2 5 2" xfId="13195"/>
    <cellStyle name="Comma 5 2 2 3 2 5 2 2" xfId="23446"/>
    <cellStyle name="Comma 5 2 2 3 2 5 3" xfId="9616"/>
    <cellStyle name="Comma 5 2 2 3 2 5 4" xfId="18439"/>
    <cellStyle name="Comma 5 2 2 3 2 6" xfId="1629"/>
    <cellStyle name="Comma 5 2 2 3 2 6 2" xfId="11006"/>
    <cellStyle name="Comma 5 2 2 3 2 6 3" xfId="21010"/>
    <cellStyle name="Comma 5 2 2 3 2 7" xfId="5813"/>
    <cellStyle name="Comma 5 2 2 3 2 7 2" xfId="14640"/>
    <cellStyle name="Comma 5 2 2 3 2 7 3" xfId="24891"/>
    <cellStyle name="Comma 5 2 2 3 2 8" xfId="7257"/>
    <cellStyle name="Comma 5 2 2 3 2 8 2" xfId="19983"/>
    <cellStyle name="Comma 5 2 2 3 2 9" xfId="16003"/>
    <cellStyle name="Comma 5 2 2 3 3" xfId="437"/>
    <cellStyle name="Comma 5 2 2 3 3 2" xfId="2923"/>
    <cellStyle name="Comma 5 2 2 3 3 2 2" xfId="12211"/>
    <cellStyle name="Comma 5 2 2 3 3 2 2 2" xfId="22284"/>
    <cellStyle name="Comma 5 2 2 3 3 2 3" xfId="8394"/>
    <cellStyle name="Comma 5 2 2 3 3 2 4" xfId="17277"/>
    <cellStyle name="Comma 5 2 2 3 3 3" xfId="4447"/>
    <cellStyle name="Comma 5 2 2 3 3 3 2" xfId="13285"/>
    <cellStyle name="Comma 5 2 2 3 3 3 2 2" xfId="23536"/>
    <cellStyle name="Comma 5 2 2 3 3 3 3" xfId="9706"/>
    <cellStyle name="Comma 5 2 2 3 3 3 4" xfId="18529"/>
    <cellStyle name="Comma 5 2 2 3 3 4" xfId="2032"/>
    <cellStyle name="Comma 5 2 2 3 3 4 2" xfId="11397"/>
    <cellStyle name="Comma 5 2 2 3 3 4 3" xfId="21401"/>
    <cellStyle name="Comma 5 2 2 3 3 5" xfId="5903"/>
    <cellStyle name="Comma 5 2 2 3 3 5 2" xfId="14730"/>
    <cellStyle name="Comma 5 2 2 3 3 5 3" xfId="24981"/>
    <cellStyle name="Comma 5 2 2 3 3 6" xfId="7347"/>
    <cellStyle name="Comma 5 2 2 3 3 6 2" xfId="19883"/>
    <cellStyle name="Comma 5 2 2 3 3 7" xfId="16394"/>
    <cellStyle name="Comma 5 2 2 3 4" xfId="632"/>
    <cellStyle name="Comma 5 2 2 3 4 2" xfId="3118"/>
    <cellStyle name="Comma 5 2 2 3 4 2 2" xfId="12261"/>
    <cellStyle name="Comma 5 2 2 3 4 2 2 2" xfId="22479"/>
    <cellStyle name="Comma 5 2 2 3 4 2 3" xfId="8683"/>
    <cellStyle name="Comma 5 2 2 3 4 2 4" xfId="17472"/>
    <cellStyle name="Comma 5 2 2 3 4 3" xfId="4796"/>
    <cellStyle name="Comma 5 2 2 3 4 3 2" xfId="13633"/>
    <cellStyle name="Comma 5 2 2 3 4 3 2 2" xfId="23884"/>
    <cellStyle name="Comma 5 2 2 3 4 3 3" xfId="10054"/>
    <cellStyle name="Comma 5 2 2 3 4 3 4" xfId="18877"/>
    <cellStyle name="Comma 5 2 2 3 4 4" xfId="2227"/>
    <cellStyle name="Comma 5 2 2 3 4 4 2" xfId="11592"/>
    <cellStyle name="Comma 5 2 2 3 4 4 3" xfId="21596"/>
    <cellStyle name="Comma 5 2 2 3 4 5" xfId="6251"/>
    <cellStyle name="Comma 5 2 2 3 4 5 2" xfId="15078"/>
    <cellStyle name="Comma 5 2 2 3 4 5 3" xfId="25329"/>
    <cellStyle name="Comma 5 2 2 3 4 6" xfId="7697"/>
    <cellStyle name="Comma 5 2 2 3 4 6 2" xfId="20078"/>
    <cellStyle name="Comma 5 2 2 3 4 7" xfId="16589"/>
    <cellStyle name="Comma 5 2 2 3 5" xfId="1209"/>
    <cellStyle name="Comma 5 2 2 3 5 2" xfId="3638"/>
    <cellStyle name="Comma 5 2 2 3 5 2 2" xfId="12774"/>
    <cellStyle name="Comma 5 2 2 3 5 2 2 2" xfId="22993"/>
    <cellStyle name="Comma 5 2 2 3 5 2 3" xfId="9195"/>
    <cellStyle name="Comma 5 2 2 3 5 2 4" xfId="17986"/>
    <cellStyle name="Comma 5 2 2 3 5 3" xfId="5301"/>
    <cellStyle name="Comma 5 2 2 3 5 3 2" xfId="14138"/>
    <cellStyle name="Comma 5 2 2 3 5 3 2 2" xfId="24389"/>
    <cellStyle name="Comma 5 2 2 3 5 3 3" xfId="10559"/>
    <cellStyle name="Comma 5 2 2 3 5 3 4" xfId="19382"/>
    <cellStyle name="Comma 5 2 2 3 5 4" xfId="1812"/>
    <cellStyle name="Comma 5 2 2 3 5 4 2" xfId="11180"/>
    <cellStyle name="Comma 5 2 2 3 5 4 3" xfId="21184"/>
    <cellStyle name="Comma 5 2 2 3 5 5" xfId="6756"/>
    <cellStyle name="Comma 5 2 2 3 5 5 2" xfId="15583"/>
    <cellStyle name="Comma 5 2 2 3 5 5 3" xfId="25834"/>
    <cellStyle name="Comma 5 2 2 3 5 6" xfId="8202"/>
    <cellStyle name="Comma 5 2 2 3 5 6 2" xfId="20592"/>
    <cellStyle name="Comma 5 2 2 3 5 7" xfId="16177"/>
    <cellStyle name="Comma 5 2 2 3 6" xfId="2706"/>
    <cellStyle name="Comma 5 2 2 3 6 2" xfId="12023"/>
    <cellStyle name="Comma 5 2 2 3 6 2 2" xfId="22067"/>
    <cellStyle name="Comma 5 2 2 3 6 3" xfId="8562"/>
    <cellStyle name="Comma 5 2 2 3 6 4" xfId="17060"/>
    <cellStyle name="Comma 5 2 2 3 7" xfId="4257"/>
    <cellStyle name="Comma 5 2 2 3 7 2" xfId="13095"/>
    <cellStyle name="Comma 5 2 2 3 7 2 2" xfId="23346"/>
    <cellStyle name="Comma 5 2 2 3 7 3" xfId="9516"/>
    <cellStyle name="Comma 5 2 2 3 7 4" xfId="18339"/>
    <cellStyle name="Comma 5 2 2 3 8" xfId="1529"/>
    <cellStyle name="Comma 5 2 2 3 8 2" xfId="10906"/>
    <cellStyle name="Comma 5 2 2 3 8 3" xfId="20910"/>
    <cellStyle name="Comma 5 2 2 3 9" xfId="5713"/>
    <cellStyle name="Comma 5 2 2 3 9 2" xfId="14540"/>
    <cellStyle name="Comma 5 2 2 3 9 3" xfId="24791"/>
    <cellStyle name="Comma 5 2 2 4" xfId="246"/>
    <cellStyle name="Comma 5 2 2 4 10" xfId="7084"/>
    <cellStyle name="Comma 5 2 2 4 10 2" xfId="19698"/>
    <cellStyle name="Comma 5 2 2 4 11" xfId="15830"/>
    <cellStyle name="Comma 5 2 2 4 2" xfId="569"/>
    <cellStyle name="Comma 5 2 2 4 2 2" xfId="635"/>
    <cellStyle name="Comma 5 2 2 4 2 2 2" xfId="3121"/>
    <cellStyle name="Comma 5 2 2 4 2 2 2 2" xfId="12264"/>
    <cellStyle name="Comma 5 2 2 4 2 2 2 2 2" xfId="22482"/>
    <cellStyle name="Comma 5 2 2 4 2 2 2 3" xfId="8686"/>
    <cellStyle name="Comma 5 2 2 4 2 2 2 4" xfId="17475"/>
    <cellStyle name="Comma 5 2 2 4 2 2 3" xfId="4450"/>
    <cellStyle name="Comma 5 2 2 4 2 2 3 2" xfId="13288"/>
    <cellStyle name="Comma 5 2 2 4 2 2 3 2 2" xfId="23539"/>
    <cellStyle name="Comma 5 2 2 4 2 2 3 3" xfId="9709"/>
    <cellStyle name="Comma 5 2 2 4 2 2 3 4" xfId="18532"/>
    <cellStyle name="Comma 5 2 2 4 2 2 4" xfId="2230"/>
    <cellStyle name="Comma 5 2 2 4 2 2 4 2" xfId="11595"/>
    <cellStyle name="Comma 5 2 2 4 2 2 4 3" xfId="21599"/>
    <cellStyle name="Comma 5 2 2 4 2 2 5" xfId="5906"/>
    <cellStyle name="Comma 5 2 2 4 2 2 5 2" xfId="14733"/>
    <cellStyle name="Comma 5 2 2 4 2 2 5 3" xfId="24984"/>
    <cellStyle name="Comma 5 2 2 4 2 2 6" xfId="7350"/>
    <cellStyle name="Comma 5 2 2 4 2 2 6 2" xfId="20081"/>
    <cellStyle name="Comma 5 2 2 4 2 2 7" xfId="16592"/>
    <cellStyle name="Comma 5 2 2 4 2 3" xfId="1341"/>
    <cellStyle name="Comma 5 2 2 4 2 3 2" xfId="3770"/>
    <cellStyle name="Comma 5 2 2 4 2 3 2 2" xfId="12906"/>
    <cellStyle name="Comma 5 2 2 4 2 3 2 2 2" xfId="23125"/>
    <cellStyle name="Comma 5 2 2 4 2 3 2 3" xfId="9327"/>
    <cellStyle name="Comma 5 2 2 4 2 3 2 4" xfId="18118"/>
    <cellStyle name="Comma 5 2 2 4 2 3 3" xfId="4799"/>
    <cellStyle name="Comma 5 2 2 4 2 3 3 2" xfId="13636"/>
    <cellStyle name="Comma 5 2 2 4 2 3 3 2 2" xfId="23887"/>
    <cellStyle name="Comma 5 2 2 4 2 3 3 3" xfId="10057"/>
    <cellStyle name="Comma 5 2 2 4 2 3 3 4" xfId="18880"/>
    <cellStyle name="Comma 5 2 2 4 2 3 4" xfId="2164"/>
    <cellStyle name="Comma 5 2 2 4 2 3 4 2" xfId="11529"/>
    <cellStyle name="Comma 5 2 2 4 2 3 4 3" xfId="21533"/>
    <cellStyle name="Comma 5 2 2 4 2 3 5" xfId="6254"/>
    <cellStyle name="Comma 5 2 2 4 2 3 5 2" xfId="15081"/>
    <cellStyle name="Comma 5 2 2 4 2 3 5 3" xfId="25332"/>
    <cellStyle name="Comma 5 2 2 4 2 3 6" xfId="7700"/>
    <cellStyle name="Comma 5 2 2 4 2 3 6 2" xfId="20724"/>
    <cellStyle name="Comma 5 2 2 4 2 3 7" xfId="16526"/>
    <cellStyle name="Comma 5 2 2 4 2 4" xfId="3055"/>
    <cellStyle name="Comma 5 2 2 4 2 4 2" xfId="5433"/>
    <cellStyle name="Comma 5 2 2 4 2 4 2 2" xfId="14270"/>
    <cellStyle name="Comma 5 2 2 4 2 4 2 2 2" xfId="24521"/>
    <cellStyle name="Comma 5 2 2 4 2 4 2 3" xfId="10691"/>
    <cellStyle name="Comma 5 2 2 4 2 4 2 4" xfId="19514"/>
    <cellStyle name="Comma 5 2 2 4 2 4 3" xfId="6888"/>
    <cellStyle name="Comma 5 2 2 4 2 4 3 2" xfId="15715"/>
    <cellStyle name="Comma 5 2 2 4 2 4 3 3" xfId="25966"/>
    <cellStyle name="Comma 5 2 2 4 2 4 4" xfId="8334"/>
    <cellStyle name="Comma 5 2 2 4 2 4 4 2" xfId="22416"/>
    <cellStyle name="Comma 5 2 2 4 2 4 5" xfId="17409"/>
    <cellStyle name="Comma 5 2 2 4 2 5" xfId="4389"/>
    <cellStyle name="Comma 5 2 2 4 2 5 2" xfId="13227"/>
    <cellStyle name="Comma 5 2 2 4 2 5 2 2" xfId="23478"/>
    <cellStyle name="Comma 5 2 2 4 2 5 3" xfId="9648"/>
    <cellStyle name="Comma 5 2 2 4 2 5 4" xfId="18471"/>
    <cellStyle name="Comma 5 2 2 4 2 6" xfId="1661"/>
    <cellStyle name="Comma 5 2 2 4 2 6 2" xfId="11038"/>
    <cellStyle name="Comma 5 2 2 4 2 6 3" xfId="21042"/>
    <cellStyle name="Comma 5 2 2 4 2 7" xfId="5845"/>
    <cellStyle name="Comma 5 2 2 4 2 7 2" xfId="14672"/>
    <cellStyle name="Comma 5 2 2 4 2 7 3" xfId="24923"/>
    <cellStyle name="Comma 5 2 2 4 2 8" xfId="7289"/>
    <cellStyle name="Comma 5 2 2 4 2 8 2" xfId="20015"/>
    <cellStyle name="Comma 5 2 2 4 2 9" xfId="16035"/>
    <cellStyle name="Comma 5 2 2 4 3" xfId="364"/>
    <cellStyle name="Comma 5 2 2 4 3 2" xfId="2850"/>
    <cellStyle name="Comma 5 2 2 4 3 2 2" xfId="12138"/>
    <cellStyle name="Comma 5 2 2 4 3 2 2 2" xfId="22211"/>
    <cellStyle name="Comma 5 2 2 4 3 2 3" xfId="8448"/>
    <cellStyle name="Comma 5 2 2 4 3 2 4" xfId="17204"/>
    <cellStyle name="Comma 5 2 2 4 3 3" xfId="4449"/>
    <cellStyle name="Comma 5 2 2 4 3 3 2" xfId="13287"/>
    <cellStyle name="Comma 5 2 2 4 3 3 2 2" xfId="23538"/>
    <cellStyle name="Comma 5 2 2 4 3 3 3" xfId="9708"/>
    <cellStyle name="Comma 5 2 2 4 3 3 4" xfId="18531"/>
    <cellStyle name="Comma 5 2 2 4 3 4" xfId="1959"/>
    <cellStyle name="Comma 5 2 2 4 3 4 2" xfId="11324"/>
    <cellStyle name="Comma 5 2 2 4 3 4 3" xfId="21328"/>
    <cellStyle name="Comma 5 2 2 4 3 5" xfId="5905"/>
    <cellStyle name="Comma 5 2 2 4 3 5 2" xfId="14732"/>
    <cellStyle name="Comma 5 2 2 4 3 5 3" xfId="24983"/>
    <cellStyle name="Comma 5 2 2 4 3 6" xfId="7349"/>
    <cellStyle name="Comma 5 2 2 4 3 6 2" xfId="19810"/>
    <cellStyle name="Comma 5 2 2 4 3 7" xfId="16321"/>
    <cellStyle name="Comma 5 2 2 4 4" xfId="634"/>
    <cellStyle name="Comma 5 2 2 4 4 2" xfId="3120"/>
    <cellStyle name="Comma 5 2 2 4 4 2 2" xfId="12263"/>
    <cellStyle name="Comma 5 2 2 4 4 2 2 2" xfId="22481"/>
    <cellStyle name="Comma 5 2 2 4 4 2 3" xfId="8685"/>
    <cellStyle name="Comma 5 2 2 4 4 2 4" xfId="17474"/>
    <cellStyle name="Comma 5 2 2 4 4 3" xfId="4798"/>
    <cellStyle name="Comma 5 2 2 4 4 3 2" xfId="13635"/>
    <cellStyle name="Comma 5 2 2 4 4 3 2 2" xfId="23886"/>
    <cellStyle name="Comma 5 2 2 4 4 3 3" xfId="10056"/>
    <cellStyle name="Comma 5 2 2 4 4 3 4" xfId="18879"/>
    <cellStyle name="Comma 5 2 2 4 4 4" xfId="2229"/>
    <cellStyle name="Comma 5 2 2 4 4 4 2" xfId="11594"/>
    <cellStyle name="Comma 5 2 2 4 4 4 3" xfId="21598"/>
    <cellStyle name="Comma 5 2 2 4 4 5" xfId="6253"/>
    <cellStyle name="Comma 5 2 2 4 4 5 2" xfId="15080"/>
    <cellStyle name="Comma 5 2 2 4 4 5 3" xfId="25331"/>
    <cellStyle name="Comma 5 2 2 4 4 6" xfId="7699"/>
    <cellStyle name="Comma 5 2 2 4 4 6 2" xfId="20080"/>
    <cellStyle name="Comma 5 2 2 4 4 7" xfId="16591"/>
    <cellStyle name="Comma 5 2 2 4 5" xfId="1136"/>
    <cellStyle name="Comma 5 2 2 4 5 2" xfId="3565"/>
    <cellStyle name="Comma 5 2 2 4 5 2 2" xfId="12701"/>
    <cellStyle name="Comma 5 2 2 4 5 2 2 2" xfId="22920"/>
    <cellStyle name="Comma 5 2 2 4 5 2 3" xfId="9122"/>
    <cellStyle name="Comma 5 2 2 4 5 2 4" xfId="17913"/>
    <cellStyle name="Comma 5 2 2 4 5 3" xfId="5228"/>
    <cellStyle name="Comma 5 2 2 4 5 3 2" xfId="14065"/>
    <cellStyle name="Comma 5 2 2 4 5 3 2 2" xfId="24316"/>
    <cellStyle name="Comma 5 2 2 4 5 3 3" xfId="10486"/>
    <cellStyle name="Comma 5 2 2 4 5 3 4" xfId="19309"/>
    <cellStyle name="Comma 5 2 2 4 5 4" xfId="1844"/>
    <cellStyle name="Comma 5 2 2 4 5 4 2" xfId="11212"/>
    <cellStyle name="Comma 5 2 2 4 5 4 3" xfId="21216"/>
    <cellStyle name="Comma 5 2 2 4 5 5" xfId="6683"/>
    <cellStyle name="Comma 5 2 2 4 5 5 2" xfId="15510"/>
    <cellStyle name="Comma 5 2 2 4 5 5 3" xfId="25761"/>
    <cellStyle name="Comma 5 2 2 4 5 6" xfId="8129"/>
    <cellStyle name="Comma 5 2 2 4 5 6 2" xfId="20519"/>
    <cellStyle name="Comma 5 2 2 4 5 7" xfId="16209"/>
    <cellStyle name="Comma 5 2 2 4 6" xfId="2738"/>
    <cellStyle name="Comma 5 2 2 4 6 2" xfId="12055"/>
    <cellStyle name="Comma 5 2 2 4 6 2 2" xfId="22099"/>
    <cellStyle name="Comma 5 2 2 4 6 3" xfId="8555"/>
    <cellStyle name="Comma 5 2 2 4 6 4" xfId="17092"/>
    <cellStyle name="Comma 5 2 2 4 7" xfId="4184"/>
    <cellStyle name="Comma 5 2 2 4 7 2" xfId="13022"/>
    <cellStyle name="Comma 5 2 2 4 7 2 2" xfId="23273"/>
    <cellStyle name="Comma 5 2 2 4 7 3" xfId="9443"/>
    <cellStyle name="Comma 5 2 2 4 7 4" xfId="18266"/>
    <cellStyle name="Comma 5 2 2 4 8" xfId="1456"/>
    <cellStyle name="Comma 5 2 2 4 8 2" xfId="10833"/>
    <cellStyle name="Comma 5 2 2 4 8 3" xfId="20837"/>
    <cellStyle name="Comma 5 2 2 4 9" xfId="5640"/>
    <cellStyle name="Comma 5 2 2 4 9 2" xfId="14467"/>
    <cellStyle name="Comma 5 2 2 4 9 3" xfId="24718"/>
    <cellStyle name="Comma 5 2 2 5" xfId="464"/>
    <cellStyle name="Comma 5 2 2 5 2" xfId="636"/>
    <cellStyle name="Comma 5 2 2 5 2 2" xfId="3122"/>
    <cellStyle name="Comma 5 2 2 5 2 2 2" xfId="12265"/>
    <cellStyle name="Comma 5 2 2 5 2 2 2 2" xfId="22483"/>
    <cellStyle name="Comma 5 2 2 5 2 2 3" xfId="8687"/>
    <cellStyle name="Comma 5 2 2 5 2 2 4" xfId="17476"/>
    <cellStyle name="Comma 5 2 2 5 2 3" xfId="4451"/>
    <cellStyle name="Comma 5 2 2 5 2 3 2" xfId="13289"/>
    <cellStyle name="Comma 5 2 2 5 2 3 2 2" xfId="23540"/>
    <cellStyle name="Comma 5 2 2 5 2 3 3" xfId="9710"/>
    <cellStyle name="Comma 5 2 2 5 2 3 4" xfId="18533"/>
    <cellStyle name="Comma 5 2 2 5 2 4" xfId="2231"/>
    <cellStyle name="Comma 5 2 2 5 2 4 2" xfId="11596"/>
    <cellStyle name="Comma 5 2 2 5 2 4 3" xfId="21600"/>
    <cellStyle name="Comma 5 2 2 5 2 5" xfId="5907"/>
    <cellStyle name="Comma 5 2 2 5 2 5 2" xfId="14734"/>
    <cellStyle name="Comma 5 2 2 5 2 5 3" xfId="24985"/>
    <cellStyle name="Comma 5 2 2 5 2 6" xfId="7351"/>
    <cellStyle name="Comma 5 2 2 5 2 6 2" xfId="20082"/>
    <cellStyle name="Comma 5 2 2 5 2 7" xfId="16593"/>
    <cellStyle name="Comma 5 2 2 5 3" xfId="1236"/>
    <cellStyle name="Comma 5 2 2 5 3 2" xfId="3665"/>
    <cellStyle name="Comma 5 2 2 5 3 2 2" xfId="12801"/>
    <cellStyle name="Comma 5 2 2 5 3 2 2 2" xfId="23020"/>
    <cellStyle name="Comma 5 2 2 5 3 2 3" xfId="9222"/>
    <cellStyle name="Comma 5 2 2 5 3 2 4" xfId="18013"/>
    <cellStyle name="Comma 5 2 2 5 3 3" xfId="4800"/>
    <cellStyle name="Comma 5 2 2 5 3 3 2" xfId="13637"/>
    <cellStyle name="Comma 5 2 2 5 3 3 2 2" xfId="23888"/>
    <cellStyle name="Comma 5 2 2 5 3 3 3" xfId="10058"/>
    <cellStyle name="Comma 5 2 2 5 3 3 4" xfId="18881"/>
    <cellStyle name="Comma 5 2 2 5 3 4" xfId="2059"/>
    <cellStyle name="Comma 5 2 2 5 3 4 2" xfId="11424"/>
    <cellStyle name="Comma 5 2 2 5 3 4 3" xfId="21428"/>
    <cellStyle name="Comma 5 2 2 5 3 5" xfId="6255"/>
    <cellStyle name="Comma 5 2 2 5 3 5 2" xfId="15082"/>
    <cellStyle name="Comma 5 2 2 5 3 5 3" xfId="25333"/>
    <cellStyle name="Comma 5 2 2 5 3 6" xfId="7701"/>
    <cellStyle name="Comma 5 2 2 5 3 6 2" xfId="20619"/>
    <cellStyle name="Comma 5 2 2 5 3 7" xfId="16421"/>
    <cellStyle name="Comma 5 2 2 5 4" xfId="2950"/>
    <cellStyle name="Comma 5 2 2 5 4 2" xfId="5328"/>
    <cellStyle name="Comma 5 2 2 5 4 2 2" xfId="14165"/>
    <cellStyle name="Comma 5 2 2 5 4 2 2 2" xfId="24416"/>
    <cellStyle name="Comma 5 2 2 5 4 2 3" xfId="10586"/>
    <cellStyle name="Comma 5 2 2 5 4 2 4" xfId="19409"/>
    <cellStyle name="Comma 5 2 2 5 4 3" xfId="6783"/>
    <cellStyle name="Comma 5 2 2 5 4 3 2" xfId="15610"/>
    <cellStyle name="Comma 5 2 2 5 4 3 3" xfId="25861"/>
    <cellStyle name="Comma 5 2 2 5 4 4" xfId="8229"/>
    <cellStyle name="Comma 5 2 2 5 4 4 2" xfId="22311"/>
    <cellStyle name="Comma 5 2 2 5 4 5" xfId="17304"/>
    <cellStyle name="Comma 5 2 2 5 5" xfId="4284"/>
    <cellStyle name="Comma 5 2 2 5 5 2" xfId="13122"/>
    <cellStyle name="Comma 5 2 2 5 5 2 2" xfId="23373"/>
    <cellStyle name="Comma 5 2 2 5 5 3" xfId="9543"/>
    <cellStyle name="Comma 5 2 2 5 5 4" xfId="18366"/>
    <cellStyle name="Comma 5 2 2 5 6" xfId="1556"/>
    <cellStyle name="Comma 5 2 2 5 6 2" xfId="10933"/>
    <cellStyle name="Comma 5 2 2 5 6 3" xfId="20937"/>
    <cellStyle name="Comma 5 2 2 5 7" xfId="5740"/>
    <cellStyle name="Comma 5 2 2 5 7 2" xfId="14567"/>
    <cellStyle name="Comma 5 2 2 5 7 3" xfId="24818"/>
    <cellStyle name="Comma 5 2 2 5 8" xfId="7184"/>
    <cellStyle name="Comma 5 2 2 5 8 2" xfId="19910"/>
    <cellStyle name="Comma 5 2 2 5 9" xfId="15930"/>
    <cellStyle name="Comma 5 2 2 6" xfId="337"/>
    <cellStyle name="Comma 5 2 2 6 2" xfId="637"/>
    <cellStyle name="Comma 5 2 2 6 2 2" xfId="3123"/>
    <cellStyle name="Comma 5 2 2 6 2 2 2" xfId="12266"/>
    <cellStyle name="Comma 5 2 2 6 2 2 2 2" xfId="22484"/>
    <cellStyle name="Comma 5 2 2 6 2 2 3" xfId="8688"/>
    <cellStyle name="Comma 5 2 2 6 2 2 4" xfId="17477"/>
    <cellStyle name="Comma 5 2 2 6 2 3" xfId="4452"/>
    <cellStyle name="Comma 5 2 2 6 2 3 2" xfId="13290"/>
    <cellStyle name="Comma 5 2 2 6 2 3 2 2" xfId="23541"/>
    <cellStyle name="Comma 5 2 2 6 2 3 3" xfId="9711"/>
    <cellStyle name="Comma 5 2 2 6 2 3 4" xfId="18534"/>
    <cellStyle name="Comma 5 2 2 6 2 4" xfId="2232"/>
    <cellStyle name="Comma 5 2 2 6 2 4 2" xfId="11597"/>
    <cellStyle name="Comma 5 2 2 6 2 4 3" xfId="21601"/>
    <cellStyle name="Comma 5 2 2 6 2 5" xfId="5908"/>
    <cellStyle name="Comma 5 2 2 6 2 5 2" xfId="14735"/>
    <cellStyle name="Comma 5 2 2 6 2 5 3" xfId="24986"/>
    <cellStyle name="Comma 5 2 2 6 2 6" xfId="7352"/>
    <cellStyle name="Comma 5 2 2 6 2 6 2" xfId="20083"/>
    <cellStyle name="Comma 5 2 2 6 2 7" xfId="16594"/>
    <cellStyle name="Comma 5 2 2 6 3" xfId="1109"/>
    <cellStyle name="Comma 5 2 2 6 3 2" xfId="3538"/>
    <cellStyle name="Comma 5 2 2 6 3 2 2" xfId="12674"/>
    <cellStyle name="Comma 5 2 2 6 3 2 2 2" xfId="22893"/>
    <cellStyle name="Comma 5 2 2 6 3 2 3" xfId="9095"/>
    <cellStyle name="Comma 5 2 2 6 3 2 4" xfId="17886"/>
    <cellStyle name="Comma 5 2 2 6 3 3" xfId="4801"/>
    <cellStyle name="Comma 5 2 2 6 3 3 2" xfId="13638"/>
    <cellStyle name="Comma 5 2 2 6 3 3 2 2" xfId="23889"/>
    <cellStyle name="Comma 5 2 2 6 3 3 3" xfId="10059"/>
    <cellStyle name="Comma 5 2 2 6 3 3 4" xfId="18882"/>
    <cellStyle name="Comma 5 2 2 6 3 4" xfId="2580"/>
    <cellStyle name="Comma 5 2 2 6 3 4 2" xfId="11944"/>
    <cellStyle name="Comma 5 2 2 6 3 4 3" xfId="21948"/>
    <cellStyle name="Comma 5 2 2 6 3 5" xfId="6256"/>
    <cellStyle name="Comma 5 2 2 6 3 5 2" xfId="15083"/>
    <cellStyle name="Comma 5 2 2 6 3 5 3" xfId="25334"/>
    <cellStyle name="Comma 5 2 2 6 3 6" xfId="7702"/>
    <cellStyle name="Comma 5 2 2 6 3 6 2" xfId="20492"/>
    <cellStyle name="Comma 5 2 2 6 3 7" xfId="16941"/>
    <cellStyle name="Comma 5 2 2 6 4" xfId="2823"/>
    <cellStyle name="Comma 5 2 2 6 4 2" xfId="5201"/>
    <cellStyle name="Comma 5 2 2 6 4 2 2" xfId="14038"/>
    <cellStyle name="Comma 5 2 2 6 4 2 2 2" xfId="24289"/>
    <cellStyle name="Comma 5 2 2 6 4 2 3" xfId="10459"/>
    <cellStyle name="Comma 5 2 2 6 4 2 4" xfId="19282"/>
    <cellStyle name="Comma 5 2 2 6 4 3" xfId="6656"/>
    <cellStyle name="Comma 5 2 2 6 4 3 2" xfId="15483"/>
    <cellStyle name="Comma 5 2 2 6 4 3 3" xfId="25734"/>
    <cellStyle name="Comma 5 2 2 6 4 4" xfId="8102"/>
    <cellStyle name="Comma 5 2 2 6 4 4 2" xfId="22184"/>
    <cellStyle name="Comma 5 2 2 6 4 5" xfId="17177"/>
    <cellStyle name="Comma 5 2 2 6 5" xfId="4155"/>
    <cellStyle name="Comma 5 2 2 6 5 2" xfId="12993"/>
    <cellStyle name="Comma 5 2 2 6 5 2 2" xfId="23244"/>
    <cellStyle name="Comma 5 2 2 6 5 3" xfId="9414"/>
    <cellStyle name="Comma 5 2 2 6 5 4" xfId="18237"/>
    <cellStyle name="Comma 5 2 2 6 6" xfId="1932"/>
    <cellStyle name="Comma 5 2 2 6 6 2" xfId="11297"/>
    <cellStyle name="Comma 5 2 2 6 6 3" xfId="21301"/>
    <cellStyle name="Comma 5 2 2 6 7" xfId="5613"/>
    <cellStyle name="Comma 5 2 2 6 7 2" xfId="14440"/>
    <cellStyle name="Comma 5 2 2 6 7 3" xfId="24691"/>
    <cellStyle name="Comma 5 2 2 6 8" xfId="7057"/>
    <cellStyle name="Comma 5 2 2 6 8 2" xfId="19783"/>
    <cellStyle name="Comma 5 2 2 6 9" xfId="16294"/>
    <cellStyle name="Comma 5 2 2 7" xfId="628"/>
    <cellStyle name="Comma 5 2 2 7 2" xfId="3114"/>
    <cellStyle name="Comma 5 2 2 7 2 2" xfId="12257"/>
    <cellStyle name="Comma 5 2 2 7 2 2 2" xfId="22475"/>
    <cellStyle name="Comma 5 2 2 7 2 3" xfId="8679"/>
    <cellStyle name="Comma 5 2 2 7 2 4" xfId="17468"/>
    <cellStyle name="Comma 5 2 2 7 3" xfId="4443"/>
    <cellStyle name="Comma 5 2 2 7 3 2" xfId="13281"/>
    <cellStyle name="Comma 5 2 2 7 3 2 2" xfId="23532"/>
    <cellStyle name="Comma 5 2 2 7 3 3" xfId="9702"/>
    <cellStyle name="Comma 5 2 2 7 3 4" xfId="18525"/>
    <cellStyle name="Comma 5 2 2 7 4" xfId="2223"/>
    <cellStyle name="Comma 5 2 2 7 4 2" xfId="11588"/>
    <cellStyle name="Comma 5 2 2 7 4 3" xfId="21592"/>
    <cellStyle name="Comma 5 2 2 7 5" xfId="5899"/>
    <cellStyle name="Comma 5 2 2 7 5 2" xfId="14726"/>
    <cellStyle name="Comma 5 2 2 7 5 3" xfId="24977"/>
    <cellStyle name="Comma 5 2 2 7 6" xfId="7343"/>
    <cellStyle name="Comma 5 2 2 7 6 2" xfId="20074"/>
    <cellStyle name="Comma 5 2 2 7 7" xfId="16585"/>
    <cellStyle name="Comma 5 2 2 8" xfId="1064"/>
    <cellStyle name="Comma 5 2 2 8 2" xfId="3493"/>
    <cellStyle name="Comma 5 2 2 8 2 2" xfId="12629"/>
    <cellStyle name="Comma 5 2 2 8 2 2 2" xfId="22848"/>
    <cellStyle name="Comma 5 2 2 8 2 3" xfId="9051"/>
    <cellStyle name="Comma 5 2 2 8 2 4" xfId="17841"/>
    <cellStyle name="Comma 5 2 2 8 3" xfId="4792"/>
    <cellStyle name="Comma 5 2 2 8 3 2" xfId="13629"/>
    <cellStyle name="Comma 5 2 2 8 3 2 2" xfId="23880"/>
    <cellStyle name="Comma 5 2 2 8 3 3" xfId="10050"/>
    <cellStyle name="Comma 5 2 2 8 3 4" xfId="18873"/>
    <cellStyle name="Comma 5 2 2 8 4" xfId="1732"/>
    <cellStyle name="Comma 5 2 2 8 4 2" xfId="11106"/>
    <cellStyle name="Comma 5 2 2 8 4 3" xfId="21110"/>
    <cellStyle name="Comma 5 2 2 8 5" xfId="6247"/>
    <cellStyle name="Comma 5 2 2 8 5 2" xfId="15074"/>
    <cellStyle name="Comma 5 2 2 8 5 3" xfId="25325"/>
    <cellStyle name="Comma 5 2 2 8 6" xfId="7693"/>
    <cellStyle name="Comma 5 2 2 8 6 2" xfId="20447"/>
    <cellStyle name="Comma 5 2 2 8 7" xfId="16103"/>
    <cellStyle name="Comma 5 2 2 9" xfId="2630"/>
    <cellStyle name="Comma 5 2 2 9 2" xfId="5156"/>
    <cellStyle name="Comma 5 2 2 9 2 2" xfId="13993"/>
    <cellStyle name="Comma 5 2 2 9 2 2 2" xfId="24244"/>
    <cellStyle name="Comma 5 2 2 9 2 3" xfId="10414"/>
    <cellStyle name="Comma 5 2 2 9 2 4" xfId="19237"/>
    <cellStyle name="Comma 5 2 2 9 3" xfId="6611"/>
    <cellStyle name="Comma 5 2 2 9 3 2" xfId="15438"/>
    <cellStyle name="Comma 5 2 2 9 3 3" xfId="25689"/>
    <cellStyle name="Comma 5 2 2 9 4" xfId="8057"/>
    <cellStyle name="Comma 5 2 2 9 4 2" xfId="21993"/>
    <cellStyle name="Comma 5 2 2 9 5" xfId="16986"/>
    <cellStyle name="Comma 5 2 3" xfId="132"/>
    <cellStyle name="Comma 5 2 3 10" xfId="4118"/>
    <cellStyle name="Comma 5 2 3 10 2" xfId="5576"/>
    <cellStyle name="Comma 5 2 3 10 2 2" xfId="14403"/>
    <cellStyle name="Comma 5 2 3 10 2 3" xfId="24654"/>
    <cellStyle name="Comma 5 2 3 10 3" xfId="7020"/>
    <cellStyle name="Comma 5 2 3 10 3 2" xfId="23207"/>
    <cellStyle name="Comma 5 2 3 10 4" xfId="18200"/>
    <cellStyle name="Comma 5 2 3 11" xfId="1437"/>
    <cellStyle name="Comma 5 2 3 11 2" xfId="10814"/>
    <cellStyle name="Comma 5 2 3 11 3" xfId="20818"/>
    <cellStyle name="Comma 5 2 3 12" xfId="5546"/>
    <cellStyle name="Comma 5 2 3 12 2" xfId="14373"/>
    <cellStyle name="Comma 5 2 3 12 3" xfId="24624"/>
    <cellStyle name="Comma 5 2 3 13" xfId="6990"/>
    <cellStyle name="Comma 5 2 3 13 2" xfId="19599"/>
    <cellStyle name="Comma 5 2 3 14" xfId="15811"/>
    <cellStyle name="Comma 5 2 3 2" xfId="172"/>
    <cellStyle name="Comma 5 2 3 2 10" xfId="5678"/>
    <cellStyle name="Comma 5 2 3 2 10 2" xfId="14505"/>
    <cellStyle name="Comma 5 2 3 2 10 3" xfId="24756"/>
    <cellStyle name="Comma 5 2 3 2 11" xfId="7122"/>
    <cellStyle name="Comma 5 2 3 2 11 2" xfId="19631"/>
    <cellStyle name="Comma 5 2 3 2 12" xfId="15868"/>
    <cellStyle name="Comma 5 2 3 2 2" xfId="284"/>
    <cellStyle name="Comma 5 2 3 2 2 10" xfId="16072"/>
    <cellStyle name="Comma 5 2 3 2 2 2" xfId="606"/>
    <cellStyle name="Comma 5 2 3 2 2 2 2" xfId="3092"/>
    <cellStyle name="Comma 5 2 3 2 2 2 2 2" xfId="12235"/>
    <cellStyle name="Comma 5 2 3 2 2 2 2 2 2" xfId="22453"/>
    <cellStyle name="Comma 5 2 3 2 2 2 2 3" xfId="8657"/>
    <cellStyle name="Comma 5 2 3 2 2 2 2 4" xfId="17446"/>
    <cellStyle name="Comma 5 2 3 2 2 2 3" xfId="4455"/>
    <cellStyle name="Comma 5 2 3 2 2 2 3 2" xfId="13293"/>
    <cellStyle name="Comma 5 2 3 2 2 2 3 2 2" xfId="23544"/>
    <cellStyle name="Comma 5 2 3 2 2 2 3 3" xfId="9714"/>
    <cellStyle name="Comma 5 2 3 2 2 2 3 4" xfId="18537"/>
    <cellStyle name="Comma 5 2 3 2 2 2 4" xfId="2201"/>
    <cellStyle name="Comma 5 2 3 2 2 2 4 2" xfId="11566"/>
    <cellStyle name="Comma 5 2 3 2 2 2 4 3" xfId="21570"/>
    <cellStyle name="Comma 5 2 3 2 2 2 5" xfId="5911"/>
    <cellStyle name="Comma 5 2 3 2 2 2 5 2" xfId="14738"/>
    <cellStyle name="Comma 5 2 3 2 2 2 5 3" xfId="24989"/>
    <cellStyle name="Comma 5 2 3 2 2 2 6" xfId="7355"/>
    <cellStyle name="Comma 5 2 3 2 2 2 6 2" xfId="20052"/>
    <cellStyle name="Comma 5 2 3 2 2 2 7" xfId="16563"/>
    <cellStyle name="Comma 5 2 3 2 2 3" xfId="640"/>
    <cellStyle name="Comma 5 2 3 2 2 3 2" xfId="3126"/>
    <cellStyle name="Comma 5 2 3 2 2 3 2 2" xfId="12269"/>
    <cellStyle name="Comma 5 2 3 2 2 3 2 2 2" xfId="22487"/>
    <cellStyle name="Comma 5 2 3 2 2 3 2 3" xfId="8691"/>
    <cellStyle name="Comma 5 2 3 2 2 3 2 4" xfId="17480"/>
    <cellStyle name="Comma 5 2 3 2 2 3 3" xfId="4804"/>
    <cellStyle name="Comma 5 2 3 2 2 3 3 2" xfId="13641"/>
    <cellStyle name="Comma 5 2 3 2 2 3 3 2 2" xfId="23892"/>
    <cellStyle name="Comma 5 2 3 2 2 3 3 3" xfId="10062"/>
    <cellStyle name="Comma 5 2 3 2 2 3 3 4" xfId="18885"/>
    <cellStyle name="Comma 5 2 3 2 2 3 4" xfId="2235"/>
    <cellStyle name="Comma 5 2 3 2 2 3 4 2" xfId="11600"/>
    <cellStyle name="Comma 5 2 3 2 2 3 4 3" xfId="21604"/>
    <cellStyle name="Comma 5 2 3 2 2 3 5" xfId="6259"/>
    <cellStyle name="Comma 5 2 3 2 2 3 5 2" xfId="15086"/>
    <cellStyle name="Comma 5 2 3 2 2 3 5 3" xfId="25337"/>
    <cellStyle name="Comma 5 2 3 2 2 3 6" xfId="7705"/>
    <cellStyle name="Comma 5 2 3 2 2 3 6 2" xfId="20086"/>
    <cellStyle name="Comma 5 2 3 2 2 3 7" xfId="16597"/>
    <cellStyle name="Comma 5 2 3 2 2 4" xfId="1378"/>
    <cellStyle name="Comma 5 2 3 2 2 4 2" xfId="3807"/>
    <cellStyle name="Comma 5 2 3 2 2 4 2 2" xfId="12943"/>
    <cellStyle name="Comma 5 2 3 2 2 4 2 2 2" xfId="23162"/>
    <cellStyle name="Comma 5 2 3 2 2 4 2 3" xfId="9364"/>
    <cellStyle name="Comma 5 2 3 2 2 4 2 4" xfId="18155"/>
    <cellStyle name="Comma 5 2 3 2 2 4 3" xfId="5470"/>
    <cellStyle name="Comma 5 2 3 2 2 4 3 2" xfId="14307"/>
    <cellStyle name="Comma 5 2 3 2 2 4 3 2 2" xfId="24558"/>
    <cellStyle name="Comma 5 2 3 2 2 4 3 3" xfId="10728"/>
    <cellStyle name="Comma 5 2 3 2 2 4 3 4" xfId="19551"/>
    <cellStyle name="Comma 5 2 3 2 2 4 4" xfId="1881"/>
    <cellStyle name="Comma 5 2 3 2 2 4 4 2" xfId="11249"/>
    <cellStyle name="Comma 5 2 3 2 2 4 4 3" xfId="21253"/>
    <cellStyle name="Comma 5 2 3 2 2 4 5" xfId="6925"/>
    <cellStyle name="Comma 5 2 3 2 2 4 5 2" xfId="15752"/>
    <cellStyle name="Comma 5 2 3 2 2 4 5 3" xfId="26003"/>
    <cellStyle name="Comma 5 2 3 2 2 4 6" xfId="8371"/>
    <cellStyle name="Comma 5 2 3 2 2 4 6 2" xfId="20761"/>
    <cellStyle name="Comma 5 2 3 2 2 4 7" xfId="16246"/>
    <cellStyle name="Comma 5 2 3 2 2 5" xfId="2775"/>
    <cellStyle name="Comma 5 2 3 2 2 5 2" xfId="12092"/>
    <cellStyle name="Comma 5 2 3 2 2 5 2 2" xfId="22136"/>
    <cellStyle name="Comma 5 2 3 2 2 5 3" xfId="8637"/>
    <cellStyle name="Comma 5 2 3 2 2 5 4" xfId="17129"/>
    <cellStyle name="Comma 5 2 3 2 2 6" xfId="4426"/>
    <cellStyle name="Comma 5 2 3 2 2 6 2" xfId="13264"/>
    <cellStyle name="Comma 5 2 3 2 2 6 2 2" xfId="23515"/>
    <cellStyle name="Comma 5 2 3 2 2 6 3" xfId="9685"/>
    <cellStyle name="Comma 5 2 3 2 2 6 4" xfId="18508"/>
    <cellStyle name="Comma 5 2 3 2 2 7" xfId="1698"/>
    <cellStyle name="Comma 5 2 3 2 2 7 2" xfId="11075"/>
    <cellStyle name="Comma 5 2 3 2 2 7 3" xfId="21079"/>
    <cellStyle name="Comma 5 2 3 2 2 8" xfId="5882"/>
    <cellStyle name="Comma 5 2 3 2 2 8 2" xfId="14709"/>
    <cellStyle name="Comma 5 2 3 2 2 8 3" xfId="24960"/>
    <cellStyle name="Comma 5 2 3 2 2 9" xfId="7326"/>
    <cellStyle name="Comma 5 2 3 2 2 9 2" xfId="19735"/>
    <cellStyle name="Comma 5 2 3 2 3" xfId="502"/>
    <cellStyle name="Comma 5 2 3 2 3 2" xfId="641"/>
    <cellStyle name="Comma 5 2 3 2 3 2 2" xfId="3127"/>
    <cellStyle name="Comma 5 2 3 2 3 2 2 2" xfId="12270"/>
    <cellStyle name="Comma 5 2 3 2 3 2 2 2 2" xfId="22488"/>
    <cellStyle name="Comma 5 2 3 2 3 2 2 3" xfId="8692"/>
    <cellStyle name="Comma 5 2 3 2 3 2 2 4" xfId="17481"/>
    <cellStyle name="Comma 5 2 3 2 3 2 3" xfId="4456"/>
    <cellStyle name="Comma 5 2 3 2 3 2 3 2" xfId="13294"/>
    <cellStyle name="Comma 5 2 3 2 3 2 3 2 2" xfId="23545"/>
    <cellStyle name="Comma 5 2 3 2 3 2 3 3" xfId="9715"/>
    <cellStyle name="Comma 5 2 3 2 3 2 3 4" xfId="18538"/>
    <cellStyle name="Comma 5 2 3 2 3 2 4" xfId="2236"/>
    <cellStyle name="Comma 5 2 3 2 3 2 4 2" xfId="11601"/>
    <cellStyle name="Comma 5 2 3 2 3 2 4 3" xfId="21605"/>
    <cellStyle name="Comma 5 2 3 2 3 2 5" xfId="5912"/>
    <cellStyle name="Comma 5 2 3 2 3 2 5 2" xfId="14739"/>
    <cellStyle name="Comma 5 2 3 2 3 2 5 3" xfId="24990"/>
    <cellStyle name="Comma 5 2 3 2 3 2 6" xfId="7356"/>
    <cellStyle name="Comma 5 2 3 2 3 2 6 2" xfId="20087"/>
    <cellStyle name="Comma 5 2 3 2 3 2 7" xfId="16598"/>
    <cellStyle name="Comma 5 2 3 2 3 3" xfId="1274"/>
    <cellStyle name="Comma 5 2 3 2 3 3 2" xfId="3703"/>
    <cellStyle name="Comma 5 2 3 2 3 3 2 2" xfId="12839"/>
    <cellStyle name="Comma 5 2 3 2 3 3 2 2 2" xfId="23058"/>
    <cellStyle name="Comma 5 2 3 2 3 3 2 3" xfId="9260"/>
    <cellStyle name="Comma 5 2 3 2 3 3 2 4" xfId="18051"/>
    <cellStyle name="Comma 5 2 3 2 3 3 3" xfId="4805"/>
    <cellStyle name="Comma 5 2 3 2 3 3 3 2" xfId="13642"/>
    <cellStyle name="Comma 5 2 3 2 3 3 3 2 2" xfId="23893"/>
    <cellStyle name="Comma 5 2 3 2 3 3 3 3" xfId="10063"/>
    <cellStyle name="Comma 5 2 3 2 3 3 3 4" xfId="18886"/>
    <cellStyle name="Comma 5 2 3 2 3 3 4" xfId="2097"/>
    <cellStyle name="Comma 5 2 3 2 3 3 4 2" xfId="11462"/>
    <cellStyle name="Comma 5 2 3 2 3 3 4 3" xfId="21466"/>
    <cellStyle name="Comma 5 2 3 2 3 3 5" xfId="6260"/>
    <cellStyle name="Comma 5 2 3 2 3 3 5 2" xfId="15087"/>
    <cellStyle name="Comma 5 2 3 2 3 3 5 3" xfId="25338"/>
    <cellStyle name="Comma 5 2 3 2 3 3 6" xfId="7706"/>
    <cellStyle name="Comma 5 2 3 2 3 3 6 2" xfId="20657"/>
    <cellStyle name="Comma 5 2 3 2 3 3 7" xfId="16459"/>
    <cellStyle name="Comma 5 2 3 2 3 4" xfId="2988"/>
    <cellStyle name="Comma 5 2 3 2 3 4 2" xfId="5366"/>
    <cellStyle name="Comma 5 2 3 2 3 4 2 2" xfId="14203"/>
    <cellStyle name="Comma 5 2 3 2 3 4 2 2 2" xfId="24454"/>
    <cellStyle name="Comma 5 2 3 2 3 4 2 3" xfId="10624"/>
    <cellStyle name="Comma 5 2 3 2 3 4 2 4" xfId="19447"/>
    <cellStyle name="Comma 5 2 3 2 3 4 3" xfId="6821"/>
    <cellStyle name="Comma 5 2 3 2 3 4 3 2" xfId="15648"/>
    <cellStyle name="Comma 5 2 3 2 3 4 3 3" xfId="25899"/>
    <cellStyle name="Comma 5 2 3 2 3 4 4" xfId="8267"/>
    <cellStyle name="Comma 5 2 3 2 3 4 4 2" xfId="22349"/>
    <cellStyle name="Comma 5 2 3 2 3 4 5" xfId="17342"/>
    <cellStyle name="Comma 5 2 3 2 3 5" xfId="4322"/>
    <cellStyle name="Comma 5 2 3 2 3 5 2" xfId="13160"/>
    <cellStyle name="Comma 5 2 3 2 3 5 2 2" xfId="23411"/>
    <cellStyle name="Comma 5 2 3 2 3 5 3" xfId="9581"/>
    <cellStyle name="Comma 5 2 3 2 3 5 4" xfId="18404"/>
    <cellStyle name="Comma 5 2 3 2 3 6" xfId="1594"/>
    <cellStyle name="Comma 5 2 3 2 3 6 2" xfId="10971"/>
    <cellStyle name="Comma 5 2 3 2 3 6 3" xfId="20975"/>
    <cellStyle name="Comma 5 2 3 2 3 7" xfId="5778"/>
    <cellStyle name="Comma 5 2 3 2 3 7 2" xfId="14605"/>
    <cellStyle name="Comma 5 2 3 2 3 7 3" xfId="24856"/>
    <cellStyle name="Comma 5 2 3 2 3 8" xfId="7222"/>
    <cellStyle name="Comma 5 2 3 2 3 8 2" xfId="19948"/>
    <cellStyle name="Comma 5 2 3 2 3 9" xfId="15968"/>
    <cellStyle name="Comma 5 2 3 2 4" xfId="402"/>
    <cellStyle name="Comma 5 2 3 2 4 2" xfId="2888"/>
    <cellStyle name="Comma 5 2 3 2 4 2 2" xfId="12176"/>
    <cellStyle name="Comma 5 2 3 2 4 2 2 2" xfId="22249"/>
    <cellStyle name="Comma 5 2 3 2 4 2 3" xfId="8644"/>
    <cellStyle name="Comma 5 2 3 2 4 2 4" xfId="17242"/>
    <cellStyle name="Comma 5 2 3 2 4 3" xfId="4454"/>
    <cellStyle name="Comma 5 2 3 2 4 3 2" xfId="13292"/>
    <cellStyle name="Comma 5 2 3 2 4 3 2 2" xfId="23543"/>
    <cellStyle name="Comma 5 2 3 2 4 3 3" xfId="9713"/>
    <cellStyle name="Comma 5 2 3 2 4 3 4" xfId="18536"/>
    <cellStyle name="Comma 5 2 3 2 4 4" xfId="1997"/>
    <cellStyle name="Comma 5 2 3 2 4 4 2" xfId="11362"/>
    <cellStyle name="Comma 5 2 3 2 4 4 3" xfId="21366"/>
    <cellStyle name="Comma 5 2 3 2 4 5" xfId="5910"/>
    <cellStyle name="Comma 5 2 3 2 4 5 2" xfId="14737"/>
    <cellStyle name="Comma 5 2 3 2 4 5 3" xfId="24988"/>
    <cellStyle name="Comma 5 2 3 2 4 6" xfId="7354"/>
    <cellStyle name="Comma 5 2 3 2 4 6 2" xfId="19848"/>
    <cellStyle name="Comma 5 2 3 2 4 7" xfId="16359"/>
    <cellStyle name="Comma 5 2 3 2 5" xfId="639"/>
    <cellStyle name="Comma 5 2 3 2 5 2" xfId="3125"/>
    <cellStyle name="Comma 5 2 3 2 5 2 2" xfId="12268"/>
    <cellStyle name="Comma 5 2 3 2 5 2 2 2" xfId="22486"/>
    <cellStyle name="Comma 5 2 3 2 5 2 3" xfId="8690"/>
    <cellStyle name="Comma 5 2 3 2 5 2 4" xfId="17479"/>
    <cellStyle name="Comma 5 2 3 2 5 3" xfId="4803"/>
    <cellStyle name="Comma 5 2 3 2 5 3 2" xfId="13640"/>
    <cellStyle name="Comma 5 2 3 2 5 3 2 2" xfId="23891"/>
    <cellStyle name="Comma 5 2 3 2 5 3 3" xfId="10061"/>
    <cellStyle name="Comma 5 2 3 2 5 3 4" xfId="18884"/>
    <cellStyle name="Comma 5 2 3 2 5 4" xfId="2234"/>
    <cellStyle name="Comma 5 2 3 2 5 4 2" xfId="11599"/>
    <cellStyle name="Comma 5 2 3 2 5 4 3" xfId="21603"/>
    <cellStyle name="Comma 5 2 3 2 5 5" xfId="6258"/>
    <cellStyle name="Comma 5 2 3 2 5 5 2" xfId="15085"/>
    <cellStyle name="Comma 5 2 3 2 5 5 3" xfId="25336"/>
    <cellStyle name="Comma 5 2 3 2 5 6" xfId="7704"/>
    <cellStyle name="Comma 5 2 3 2 5 6 2" xfId="20085"/>
    <cellStyle name="Comma 5 2 3 2 5 7" xfId="16596"/>
    <cellStyle name="Comma 5 2 3 2 6" xfId="1174"/>
    <cellStyle name="Comma 5 2 3 2 6 2" xfId="3603"/>
    <cellStyle name="Comma 5 2 3 2 6 2 2" xfId="12739"/>
    <cellStyle name="Comma 5 2 3 2 6 2 2 2" xfId="22958"/>
    <cellStyle name="Comma 5 2 3 2 6 2 3" xfId="9160"/>
    <cellStyle name="Comma 5 2 3 2 6 2 4" xfId="17951"/>
    <cellStyle name="Comma 5 2 3 2 6 3" xfId="5266"/>
    <cellStyle name="Comma 5 2 3 2 6 3 2" xfId="14103"/>
    <cellStyle name="Comma 5 2 3 2 6 3 2 2" xfId="24354"/>
    <cellStyle name="Comma 5 2 3 2 6 3 3" xfId="10524"/>
    <cellStyle name="Comma 5 2 3 2 6 3 4" xfId="19347"/>
    <cellStyle name="Comma 5 2 3 2 6 4" xfId="1774"/>
    <cellStyle name="Comma 5 2 3 2 6 4 2" xfId="11145"/>
    <cellStyle name="Comma 5 2 3 2 6 4 3" xfId="21149"/>
    <cellStyle name="Comma 5 2 3 2 6 5" xfId="6721"/>
    <cellStyle name="Comma 5 2 3 2 6 5 2" xfId="15548"/>
    <cellStyle name="Comma 5 2 3 2 6 5 3" xfId="25799"/>
    <cellStyle name="Comma 5 2 3 2 6 6" xfId="8167"/>
    <cellStyle name="Comma 5 2 3 2 6 6 2" xfId="20557"/>
    <cellStyle name="Comma 5 2 3 2 6 7" xfId="16142"/>
    <cellStyle name="Comma 5 2 3 2 7" xfId="2671"/>
    <cellStyle name="Comma 5 2 3 2 7 2" xfId="11988"/>
    <cellStyle name="Comma 5 2 3 2 7 2 2" xfId="22032"/>
    <cellStyle name="Comma 5 2 3 2 7 3" xfId="8611"/>
    <cellStyle name="Comma 5 2 3 2 7 4" xfId="17025"/>
    <cellStyle name="Comma 5 2 3 2 8" xfId="4222"/>
    <cellStyle name="Comma 5 2 3 2 8 2" xfId="13060"/>
    <cellStyle name="Comma 5 2 3 2 8 2 2" xfId="23311"/>
    <cellStyle name="Comma 5 2 3 2 8 3" xfId="9481"/>
    <cellStyle name="Comma 5 2 3 2 8 4" xfId="18304"/>
    <cellStyle name="Comma 5 2 3 2 9" xfId="1494"/>
    <cellStyle name="Comma 5 2 3 2 9 2" xfId="10871"/>
    <cellStyle name="Comma 5 2 3 2 9 3" xfId="20875"/>
    <cellStyle name="Comma 5 2 3 3" xfId="219"/>
    <cellStyle name="Comma 5 2 3 3 10" xfId="7165"/>
    <cellStyle name="Comma 5 2 3 3 10 2" xfId="19674"/>
    <cellStyle name="Comma 5 2 3 3 11" xfId="15911"/>
    <cellStyle name="Comma 5 2 3 3 2" xfId="545"/>
    <cellStyle name="Comma 5 2 3 3 2 2" xfId="643"/>
    <cellStyle name="Comma 5 2 3 3 2 2 2" xfId="3129"/>
    <cellStyle name="Comma 5 2 3 3 2 2 2 2" xfId="12272"/>
    <cellStyle name="Comma 5 2 3 3 2 2 2 2 2" xfId="22490"/>
    <cellStyle name="Comma 5 2 3 3 2 2 2 3" xfId="8694"/>
    <cellStyle name="Comma 5 2 3 3 2 2 2 4" xfId="17483"/>
    <cellStyle name="Comma 5 2 3 3 2 2 3" xfId="4458"/>
    <cellStyle name="Comma 5 2 3 3 2 2 3 2" xfId="13296"/>
    <cellStyle name="Comma 5 2 3 3 2 2 3 2 2" xfId="23547"/>
    <cellStyle name="Comma 5 2 3 3 2 2 3 3" xfId="9717"/>
    <cellStyle name="Comma 5 2 3 3 2 2 3 4" xfId="18540"/>
    <cellStyle name="Comma 5 2 3 3 2 2 4" xfId="2238"/>
    <cellStyle name="Comma 5 2 3 3 2 2 4 2" xfId="11603"/>
    <cellStyle name="Comma 5 2 3 3 2 2 4 3" xfId="21607"/>
    <cellStyle name="Comma 5 2 3 3 2 2 5" xfId="5914"/>
    <cellStyle name="Comma 5 2 3 3 2 2 5 2" xfId="14741"/>
    <cellStyle name="Comma 5 2 3 3 2 2 5 3" xfId="24992"/>
    <cellStyle name="Comma 5 2 3 3 2 2 6" xfId="7358"/>
    <cellStyle name="Comma 5 2 3 3 2 2 6 2" xfId="20089"/>
    <cellStyle name="Comma 5 2 3 3 2 2 7" xfId="16600"/>
    <cellStyle name="Comma 5 2 3 3 2 3" xfId="1317"/>
    <cellStyle name="Comma 5 2 3 3 2 3 2" xfId="3746"/>
    <cellStyle name="Comma 5 2 3 3 2 3 2 2" xfId="12882"/>
    <cellStyle name="Comma 5 2 3 3 2 3 2 2 2" xfId="23101"/>
    <cellStyle name="Comma 5 2 3 3 2 3 2 3" xfId="9303"/>
    <cellStyle name="Comma 5 2 3 3 2 3 2 4" xfId="18094"/>
    <cellStyle name="Comma 5 2 3 3 2 3 3" xfId="4807"/>
    <cellStyle name="Comma 5 2 3 3 2 3 3 2" xfId="13644"/>
    <cellStyle name="Comma 5 2 3 3 2 3 3 2 2" xfId="23895"/>
    <cellStyle name="Comma 5 2 3 3 2 3 3 3" xfId="10065"/>
    <cellStyle name="Comma 5 2 3 3 2 3 3 4" xfId="18888"/>
    <cellStyle name="Comma 5 2 3 3 2 3 4" xfId="2140"/>
    <cellStyle name="Comma 5 2 3 3 2 3 4 2" xfId="11505"/>
    <cellStyle name="Comma 5 2 3 3 2 3 4 3" xfId="21509"/>
    <cellStyle name="Comma 5 2 3 3 2 3 5" xfId="6262"/>
    <cellStyle name="Comma 5 2 3 3 2 3 5 2" xfId="15089"/>
    <cellStyle name="Comma 5 2 3 3 2 3 5 3" xfId="25340"/>
    <cellStyle name="Comma 5 2 3 3 2 3 6" xfId="7708"/>
    <cellStyle name="Comma 5 2 3 3 2 3 6 2" xfId="20700"/>
    <cellStyle name="Comma 5 2 3 3 2 3 7" xfId="16502"/>
    <cellStyle name="Comma 5 2 3 3 2 4" xfId="3031"/>
    <cellStyle name="Comma 5 2 3 3 2 4 2" xfId="5409"/>
    <cellStyle name="Comma 5 2 3 3 2 4 2 2" xfId="14246"/>
    <cellStyle name="Comma 5 2 3 3 2 4 2 2 2" xfId="24497"/>
    <cellStyle name="Comma 5 2 3 3 2 4 2 3" xfId="10667"/>
    <cellStyle name="Comma 5 2 3 3 2 4 2 4" xfId="19490"/>
    <cellStyle name="Comma 5 2 3 3 2 4 3" xfId="6864"/>
    <cellStyle name="Comma 5 2 3 3 2 4 3 2" xfId="15691"/>
    <cellStyle name="Comma 5 2 3 3 2 4 3 3" xfId="25942"/>
    <cellStyle name="Comma 5 2 3 3 2 4 4" xfId="8310"/>
    <cellStyle name="Comma 5 2 3 3 2 4 4 2" xfId="22392"/>
    <cellStyle name="Comma 5 2 3 3 2 4 5" xfId="17385"/>
    <cellStyle name="Comma 5 2 3 3 2 5" xfId="4365"/>
    <cellStyle name="Comma 5 2 3 3 2 5 2" xfId="13203"/>
    <cellStyle name="Comma 5 2 3 3 2 5 2 2" xfId="23454"/>
    <cellStyle name="Comma 5 2 3 3 2 5 3" xfId="9624"/>
    <cellStyle name="Comma 5 2 3 3 2 5 4" xfId="18447"/>
    <cellStyle name="Comma 5 2 3 3 2 6" xfId="1637"/>
    <cellStyle name="Comma 5 2 3 3 2 6 2" xfId="11014"/>
    <cellStyle name="Comma 5 2 3 3 2 6 3" xfId="21018"/>
    <cellStyle name="Comma 5 2 3 3 2 7" xfId="5821"/>
    <cellStyle name="Comma 5 2 3 3 2 7 2" xfId="14648"/>
    <cellStyle name="Comma 5 2 3 3 2 7 3" xfId="24899"/>
    <cellStyle name="Comma 5 2 3 3 2 8" xfId="7265"/>
    <cellStyle name="Comma 5 2 3 3 2 8 2" xfId="19991"/>
    <cellStyle name="Comma 5 2 3 3 2 9" xfId="16011"/>
    <cellStyle name="Comma 5 2 3 3 3" xfId="445"/>
    <cellStyle name="Comma 5 2 3 3 3 2" xfId="2931"/>
    <cellStyle name="Comma 5 2 3 3 3 2 2" xfId="12219"/>
    <cellStyle name="Comma 5 2 3 3 3 2 2 2" xfId="22292"/>
    <cellStyle name="Comma 5 2 3 3 3 2 3" xfId="8604"/>
    <cellStyle name="Comma 5 2 3 3 3 2 4" xfId="17285"/>
    <cellStyle name="Comma 5 2 3 3 3 3" xfId="4457"/>
    <cellStyle name="Comma 5 2 3 3 3 3 2" xfId="13295"/>
    <cellStyle name="Comma 5 2 3 3 3 3 2 2" xfId="23546"/>
    <cellStyle name="Comma 5 2 3 3 3 3 3" xfId="9716"/>
    <cellStyle name="Comma 5 2 3 3 3 3 4" xfId="18539"/>
    <cellStyle name="Comma 5 2 3 3 3 4" xfId="2040"/>
    <cellStyle name="Comma 5 2 3 3 3 4 2" xfId="11405"/>
    <cellStyle name="Comma 5 2 3 3 3 4 3" xfId="21409"/>
    <cellStyle name="Comma 5 2 3 3 3 5" xfId="5913"/>
    <cellStyle name="Comma 5 2 3 3 3 5 2" xfId="14740"/>
    <cellStyle name="Comma 5 2 3 3 3 5 3" xfId="24991"/>
    <cellStyle name="Comma 5 2 3 3 3 6" xfId="7357"/>
    <cellStyle name="Comma 5 2 3 3 3 6 2" xfId="19891"/>
    <cellStyle name="Comma 5 2 3 3 3 7" xfId="16402"/>
    <cellStyle name="Comma 5 2 3 3 4" xfId="642"/>
    <cellStyle name="Comma 5 2 3 3 4 2" xfId="3128"/>
    <cellStyle name="Comma 5 2 3 3 4 2 2" xfId="12271"/>
    <cellStyle name="Comma 5 2 3 3 4 2 2 2" xfId="22489"/>
    <cellStyle name="Comma 5 2 3 3 4 2 3" xfId="8693"/>
    <cellStyle name="Comma 5 2 3 3 4 2 4" xfId="17482"/>
    <cellStyle name="Comma 5 2 3 3 4 3" xfId="4806"/>
    <cellStyle name="Comma 5 2 3 3 4 3 2" xfId="13643"/>
    <cellStyle name="Comma 5 2 3 3 4 3 2 2" xfId="23894"/>
    <cellStyle name="Comma 5 2 3 3 4 3 3" xfId="10064"/>
    <cellStyle name="Comma 5 2 3 3 4 3 4" xfId="18887"/>
    <cellStyle name="Comma 5 2 3 3 4 4" xfId="2237"/>
    <cellStyle name="Comma 5 2 3 3 4 4 2" xfId="11602"/>
    <cellStyle name="Comma 5 2 3 3 4 4 3" xfId="21606"/>
    <cellStyle name="Comma 5 2 3 3 4 5" xfId="6261"/>
    <cellStyle name="Comma 5 2 3 3 4 5 2" xfId="15088"/>
    <cellStyle name="Comma 5 2 3 3 4 5 3" xfId="25339"/>
    <cellStyle name="Comma 5 2 3 3 4 6" xfId="7707"/>
    <cellStyle name="Comma 5 2 3 3 4 6 2" xfId="20088"/>
    <cellStyle name="Comma 5 2 3 3 4 7" xfId="16599"/>
    <cellStyle name="Comma 5 2 3 3 5" xfId="1217"/>
    <cellStyle name="Comma 5 2 3 3 5 2" xfId="3646"/>
    <cellStyle name="Comma 5 2 3 3 5 2 2" xfId="12782"/>
    <cellStyle name="Comma 5 2 3 3 5 2 2 2" xfId="23001"/>
    <cellStyle name="Comma 5 2 3 3 5 2 3" xfId="9203"/>
    <cellStyle name="Comma 5 2 3 3 5 2 4" xfId="17994"/>
    <cellStyle name="Comma 5 2 3 3 5 3" xfId="5309"/>
    <cellStyle name="Comma 5 2 3 3 5 3 2" xfId="14146"/>
    <cellStyle name="Comma 5 2 3 3 5 3 2 2" xfId="24397"/>
    <cellStyle name="Comma 5 2 3 3 5 3 3" xfId="10567"/>
    <cellStyle name="Comma 5 2 3 3 5 3 4" xfId="19390"/>
    <cellStyle name="Comma 5 2 3 3 5 4" xfId="1820"/>
    <cellStyle name="Comma 5 2 3 3 5 4 2" xfId="11188"/>
    <cellStyle name="Comma 5 2 3 3 5 4 3" xfId="21192"/>
    <cellStyle name="Comma 5 2 3 3 5 5" xfId="6764"/>
    <cellStyle name="Comma 5 2 3 3 5 5 2" xfId="15591"/>
    <cellStyle name="Comma 5 2 3 3 5 5 3" xfId="25842"/>
    <cellStyle name="Comma 5 2 3 3 5 6" xfId="8210"/>
    <cellStyle name="Comma 5 2 3 3 5 6 2" xfId="20600"/>
    <cellStyle name="Comma 5 2 3 3 5 7" xfId="16185"/>
    <cellStyle name="Comma 5 2 3 3 6" xfId="2714"/>
    <cellStyle name="Comma 5 2 3 3 6 2" xfId="12031"/>
    <cellStyle name="Comma 5 2 3 3 6 2 2" xfId="22075"/>
    <cellStyle name="Comma 5 2 3 3 6 3" xfId="7502"/>
    <cellStyle name="Comma 5 2 3 3 6 4" xfId="17068"/>
    <cellStyle name="Comma 5 2 3 3 7" xfId="4265"/>
    <cellStyle name="Comma 5 2 3 3 7 2" xfId="13103"/>
    <cellStyle name="Comma 5 2 3 3 7 2 2" xfId="23354"/>
    <cellStyle name="Comma 5 2 3 3 7 3" xfId="9524"/>
    <cellStyle name="Comma 5 2 3 3 7 4" xfId="18347"/>
    <cellStyle name="Comma 5 2 3 3 8" xfId="1537"/>
    <cellStyle name="Comma 5 2 3 3 8 2" xfId="10914"/>
    <cellStyle name="Comma 5 2 3 3 8 3" xfId="20918"/>
    <cellStyle name="Comma 5 2 3 3 9" xfId="5721"/>
    <cellStyle name="Comma 5 2 3 3 9 2" xfId="14548"/>
    <cellStyle name="Comma 5 2 3 3 9 3" xfId="24799"/>
    <cellStyle name="Comma 5 2 3 4" xfId="252"/>
    <cellStyle name="Comma 5 2 3 4 10" xfId="7090"/>
    <cellStyle name="Comma 5 2 3 4 10 2" xfId="19704"/>
    <cellStyle name="Comma 5 2 3 4 11" xfId="15836"/>
    <cellStyle name="Comma 5 2 3 4 2" xfId="575"/>
    <cellStyle name="Comma 5 2 3 4 2 2" xfId="645"/>
    <cellStyle name="Comma 5 2 3 4 2 2 2" xfId="3131"/>
    <cellStyle name="Comma 5 2 3 4 2 2 2 2" xfId="12274"/>
    <cellStyle name="Comma 5 2 3 4 2 2 2 2 2" xfId="22492"/>
    <cellStyle name="Comma 5 2 3 4 2 2 2 3" xfId="8696"/>
    <cellStyle name="Comma 5 2 3 4 2 2 2 4" xfId="17485"/>
    <cellStyle name="Comma 5 2 3 4 2 2 3" xfId="4460"/>
    <cellStyle name="Comma 5 2 3 4 2 2 3 2" xfId="13298"/>
    <cellStyle name="Comma 5 2 3 4 2 2 3 2 2" xfId="23549"/>
    <cellStyle name="Comma 5 2 3 4 2 2 3 3" xfId="9719"/>
    <cellStyle name="Comma 5 2 3 4 2 2 3 4" xfId="18542"/>
    <cellStyle name="Comma 5 2 3 4 2 2 4" xfId="2240"/>
    <cellStyle name="Comma 5 2 3 4 2 2 4 2" xfId="11605"/>
    <cellStyle name="Comma 5 2 3 4 2 2 4 3" xfId="21609"/>
    <cellStyle name="Comma 5 2 3 4 2 2 5" xfId="5916"/>
    <cellStyle name="Comma 5 2 3 4 2 2 5 2" xfId="14743"/>
    <cellStyle name="Comma 5 2 3 4 2 2 5 3" xfId="24994"/>
    <cellStyle name="Comma 5 2 3 4 2 2 6" xfId="7360"/>
    <cellStyle name="Comma 5 2 3 4 2 2 6 2" xfId="20091"/>
    <cellStyle name="Comma 5 2 3 4 2 2 7" xfId="16602"/>
    <cellStyle name="Comma 5 2 3 4 2 3" xfId="1347"/>
    <cellStyle name="Comma 5 2 3 4 2 3 2" xfId="3776"/>
    <cellStyle name="Comma 5 2 3 4 2 3 2 2" xfId="12912"/>
    <cellStyle name="Comma 5 2 3 4 2 3 2 2 2" xfId="23131"/>
    <cellStyle name="Comma 5 2 3 4 2 3 2 3" xfId="9333"/>
    <cellStyle name="Comma 5 2 3 4 2 3 2 4" xfId="18124"/>
    <cellStyle name="Comma 5 2 3 4 2 3 3" xfId="4809"/>
    <cellStyle name="Comma 5 2 3 4 2 3 3 2" xfId="13646"/>
    <cellStyle name="Comma 5 2 3 4 2 3 3 2 2" xfId="23897"/>
    <cellStyle name="Comma 5 2 3 4 2 3 3 3" xfId="10067"/>
    <cellStyle name="Comma 5 2 3 4 2 3 3 4" xfId="18890"/>
    <cellStyle name="Comma 5 2 3 4 2 3 4" xfId="2170"/>
    <cellStyle name="Comma 5 2 3 4 2 3 4 2" xfId="11535"/>
    <cellStyle name="Comma 5 2 3 4 2 3 4 3" xfId="21539"/>
    <cellStyle name="Comma 5 2 3 4 2 3 5" xfId="6264"/>
    <cellStyle name="Comma 5 2 3 4 2 3 5 2" xfId="15091"/>
    <cellStyle name="Comma 5 2 3 4 2 3 5 3" xfId="25342"/>
    <cellStyle name="Comma 5 2 3 4 2 3 6" xfId="7710"/>
    <cellStyle name="Comma 5 2 3 4 2 3 6 2" xfId="20730"/>
    <cellStyle name="Comma 5 2 3 4 2 3 7" xfId="16532"/>
    <cellStyle name="Comma 5 2 3 4 2 4" xfId="3061"/>
    <cellStyle name="Comma 5 2 3 4 2 4 2" xfId="5439"/>
    <cellStyle name="Comma 5 2 3 4 2 4 2 2" xfId="14276"/>
    <cellStyle name="Comma 5 2 3 4 2 4 2 2 2" xfId="24527"/>
    <cellStyle name="Comma 5 2 3 4 2 4 2 3" xfId="10697"/>
    <cellStyle name="Comma 5 2 3 4 2 4 2 4" xfId="19520"/>
    <cellStyle name="Comma 5 2 3 4 2 4 3" xfId="6894"/>
    <cellStyle name="Comma 5 2 3 4 2 4 3 2" xfId="15721"/>
    <cellStyle name="Comma 5 2 3 4 2 4 3 3" xfId="25972"/>
    <cellStyle name="Comma 5 2 3 4 2 4 4" xfId="8340"/>
    <cellStyle name="Comma 5 2 3 4 2 4 4 2" xfId="22422"/>
    <cellStyle name="Comma 5 2 3 4 2 4 5" xfId="17415"/>
    <cellStyle name="Comma 5 2 3 4 2 5" xfId="4395"/>
    <cellStyle name="Comma 5 2 3 4 2 5 2" xfId="13233"/>
    <cellStyle name="Comma 5 2 3 4 2 5 2 2" xfId="23484"/>
    <cellStyle name="Comma 5 2 3 4 2 5 3" xfId="9654"/>
    <cellStyle name="Comma 5 2 3 4 2 5 4" xfId="18477"/>
    <cellStyle name="Comma 5 2 3 4 2 6" xfId="1667"/>
    <cellStyle name="Comma 5 2 3 4 2 6 2" xfId="11044"/>
    <cellStyle name="Comma 5 2 3 4 2 6 3" xfId="21048"/>
    <cellStyle name="Comma 5 2 3 4 2 7" xfId="5851"/>
    <cellStyle name="Comma 5 2 3 4 2 7 2" xfId="14678"/>
    <cellStyle name="Comma 5 2 3 4 2 7 3" xfId="24929"/>
    <cellStyle name="Comma 5 2 3 4 2 8" xfId="7295"/>
    <cellStyle name="Comma 5 2 3 4 2 8 2" xfId="20021"/>
    <cellStyle name="Comma 5 2 3 4 2 9" xfId="16041"/>
    <cellStyle name="Comma 5 2 3 4 3" xfId="370"/>
    <cellStyle name="Comma 5 2 3 4 3 2" xfId="2856"/>
    <cellStyle name="Comma 5 2 3 4 3 2 2" xfId="12144"/>
    <cellStyle name="Comma 5 2 3 4 3 2 2 2" xfId="22217"/>
    <cellStyle name="Comma 5 2 3 4 3 2 3" xfId="8462"/>
    <cellStyle name="Comma 5 2 3 4 3 2 4" xfId="17210"/>
    <cellStyle name="Comma 5 2 3 4 3 3" xfId="4459"/>
    <cellStyle name="Comma 5 2 3 4 3 3 2" xfId="13297"/>
    <cellStyle name="Comma 5 2 3 4 3 3 2 2" xfId="23548"/>
    <cellStyle name="Comma 5 2 3 4 3 3 3" xfId="9718"/>
    <cellStyle name="Comma 5 2 3 4 3 3 4" xfId="18541"/>
    <cellStyle name="Comma 5 2 3 4 3 4" xfId="1965"/>
    <cellStyle name="Comma 5 2 3 4 3 4 2" xfId="11330"/>
    <cellStyle name="Comma 5 2 3 4 3 4 3" xfId="21334"/>
    <cellStyle name="Comma 5 2 3 4 3 5" xfId="5915"/>
    <cellStyle name="Comma 5 2 3 4 3 5 2" xfId="14742"/>
    <cellStyle name="Comma 5 2 3 4 3 5 3" xfId="24993"/>
    <cellStyle name="Comma 5 2 3 4 3 6" xfId="7359"/>
    <cellStyle name="Comma 5 2 3 4 3 6 2" xfId="19816"/>
    <cellStyle name="Comma 5 2 3 4 3 7" xfId="16327"/>
    <cellStyle name="Comma 5 2 3 4 4" xfId="644"/>
    <cellStyle name="Comma 5 2 3 4 4 2" xfId="3130"/>
    <cellStyle name="Comma 5 2 3 4 4 2 2" xfId="12273"/>
    <cellStyle name="Comma 5 2 3 4 4 2 2 2" xfId="22491"/>
    <cellStyle name="Comma 5 2 3 4 4 2 3" xfId="8695"/>
    <cellStyle name="Comma 5 2 3 4 4 2 4" xfId="17484"/>
    <cellStyle name="Comma 5 2 3 4 4 3" xfId="4808"/>
    <cellStyle name="Comma 5 2 3 4 4 3 2" xfId="13645"/>
    <cellStyle name="Comma 5 2 3 4 4 3 2 2" xfId="23896"/>
    <cellStyle name="Comma 5 2 3 4 4 3 3" xfId="10066"/>
    <cellStyle name="Comma 5 2 3 4 4 3 4" xfId="18889"/>
    <cellStyle name="Comma 5 2 3 4 4 4" xfId="2239"/>
    <cellStyle name="Comma 5 2 3 4 4 4 2" xfId="11604"/>
    <cellStyle name="Comma 5 2 3 4 4 4 3" xfId="21608"/>
    <cellStyle name="Comma 5 2 3 4 4 5" xfId="6263"/>
    <cellStyle name="Comma 5 2 3 4 4 5 2" xfId="15090"/>
    <cellStyle name="Comma 5 2 3 4 4 5 3" xfId="25341"/>
    <cellStyle name="Comma 5 2 3 4 4 6" xfId="7709"/>
    <cellStyle name="Comma 5 2 3 4 4 6 2" xfId="20090"/>
    <cellStyle name="Comma 5 2 3 4 4 7" xfId="16601"/>
    <cellStyle name="Comma 5 2 3 4 5" xfId="1142"/>
    <cellStyle name="Comma 5 2 3 4 5 2" xfId="3571"/>
    <cellStyle name="Comma 5 2 3 4 5 2 2" xfId="12707"/>
    <cellStyle name="Comma 5 2 3 4 5 2 2 2" xfId="22926"/>
    <cellStyle name="Comma 5 2 3 4 5 2 3" xfId="9128"/>
    <cellStyle name="Comma 5 2 3 4 5 2 4" xfId="17919"/>
    <cellStyle name="Comma 5 2 3 4 5 3" xfId="5234"/>
    <cellStyle name="Comma 5 2 3 4 5 3 2" xfId="14071"/>
    <cellStyle name="Comma 5 2 3 4 5 3 2 2" xfId="24322"/>
    <cellStyle name="Comma 5 2 3 4 5 3 3" xfId="10492"/>
    <cellStyle name="Comma 5 2 3 4 5 3 4" xfId="19315"/>
    <cellStyle name="Comma 5 2 3 4 5 4" xfId="1850"/>
    <cellStyle name="Comma 5 2 3 4 5 4 2" xfId="11218"/>
    <cellStyle name="Comma 5 2 3 4 5 4 3" xfId="21222"/>
    <cellStyle name="Comma 5 2 3 4 5 5" xfId="6689"/>
    <cellStyle name="Comma 5 2 3 4 5 5 2" xfId="15516"/>
    <cellStyle name="Comma 5 2 3 4 5 5 3" xfId="25767"/>
    <cellStyle name="Comma 5 2 3 4 5 6" xfId="8135"/>
    <cellStyle name="Comma 5 2 3 4 5 6 2" xfId="20525"/>
    <cellStyle name="Comma 5 2 3 4 5 7" xfId="16215"/>
    <cellStyle name="Comma 5 2 3 4 6" xfId="2744"/>
    <cellStyle name="Comma 5 2 3 4 6 2" xfId="12061"/>
    <cellStyle name="Comma 5 2 3 4 6 2 2" xfId="22105"/>
    <cellStyle name="Comma 5 2 3 4 6 3" xfId="8488"/>
    <cellStyle name="Comma 5 2 3 4 6 4" xfId="17098"/>
    <cellStyle name="Comma 5 2 3 4 7" xfId="4190"/>
    <cellStyle name="Comma 5 2 3 4 7 2" xfId="13028"/>
    <cellStyle name="Comma 5 2 3 4 7 2 2" xfId="23279"/>
    <cellStyle name="Comma 5 2 3 4 7 3" xfId="9449"/>
    <cellStyle name="Comma 5 2 3 4 7 4" xfId="18272"/>
    <cellStyle name="Comma 5 2 3 4 8" xfId="1462"/>
    <cellStyle name="Comma 5 2 3 4 8 2" xfId="10839"/>
    <cellStyle name="Comma 5 2 3 4 8 3" xfId="20843"/>
    <cellStyle name="Comma 5 2 3 4 9" xfId="5646"/>
    <cellStyle name="Comma 5 2 3 4 9 2" xfId="14473"/>
    <cellStyle name="Comma 5 2 3 4 9 3" xfId="24724"/>
    <cellStyle name="Comma 5 2 3 5" xfId="470"/>
    <cellStyle name="Comma 5 2 3 5 2" xfId="646"/>
    <cellStyle name="Comma 5 2 3 5 2 2" xfId="3132"/>
    <cellStyle name="Comma 5 2 3 5 2 2 2" xfId="12275"/>
    <cellStyle name="Comma 5 2 3 5 2 2 2 2" xfId="22493"/>
    <cellStyle name="Comma 5 2 3 5 2 2 3" xfId="8697"/>
    <cellStyle name="Comma 5 2 3 5 2 2 4" xfId="17486"/>
    <cellStyle name="Comma 5 2 3 5 2 3" xfId="4461"/>
    <cellStyle name="Comma 5 2 3 5 2 3 2" xfId="13299"/>
    <cellStyle name="Comma 5 2 3 5 2 3 2 2" xfId="23550"/>
    <cellStyle name="Comma 5 2 3 5 2 3 3" xfId="9720"/>
    <cellStyle name="Comma 5 2 3 5 2 3 4" xfId="18543"/>
    <cellStyle name="Comma 5 2 3 5 2 4" xfId="2241"/>
    <cellStyle name="Comma 5 2 3 5 2 4 2" xfId="11606"/>
    <cellStyle name="Comma 5 2 3 5 2 4 3" xfId="21610"/>
    <cellStyle name="Comma 5 2 3 5 2 5" xfId="5917"/>
    <cellStyle name="Comma 5 2 3 5 2 5 2" xfId="14744"/>
    <cellStyle name="Comma 5 2 3 5 2 5 3" xfId="24995"/>
    <cellStyle name="Comma 5 2 3 5 2 6" xfId="7361"/>
    <cellStyle name="Comma 5 2 3 5 2 6 2" xfId="20092"/>
    <cellStyle name="Comma 5 2 3 5 2 7" xfId="16603"/>
    <cellStyle name="Comma 5 2 3 5 3" xfId="1242"/>
    <cellStyle name="Comma 5 2 3 5 3 2" xfId="3671"/>
    <cellStyle name="Comma 5 2 3 5 3 2 2" xfId="12807"/>
    <cellStyle name="Comma 5 2 3 5 3 2 2 2" xfId="23026"/>
    <cellStyle name="Comma 5 2 3 5 3 2 3" xfId="9228"/>
    <cellStyle name="Comma 5 2 3 5 3 2 4" xfId="18019"/>
    <cellStyle name="Comma 5 2 3 5 3 3" xfId="4810"/>
    <cellStyle name="Comma 5 2 3 5 3 3 2" xfId="13647"/>
    <cellStyle name="Comma 5 2 3 5 3 3 2 2" xfId="23898"/>
    <cellStyle name="Comma 5 2 3 5 3 3 3" xfId="10068"/>
    <cellStyle name="Comma 5 2 3 5 3 3 4" xfId="18891"/>
    <cellStyle name="Comma 5 2 3 5 3 4" xfId="2065"/>
    <cellStyle name="Comma 5 2 3 5 3 4 2" xfId="11430"/>
    <cellStyle name="Comma 5 2 3 5 3 4 3" xfId="21434"/>
    <cellStyle name="Comma 5 2 3 5 3 5" xfId="6265"/>
    <cellStyle name="Comma 5 2 3 5 3 5 2" xfId="15092"/>
    <cellStyle name="Comma 5 2 3 5 3 5 3" xfId="25343"/>
    <cellStyle name="Comma 5 2 3 5 3 6" xfId="7711"/>
    <cellStyle name="Comma 5 2 3 5 3 6 2" xfId="20625"/>
    <cellStyle name="Comma 5 2 3 5 3 7" xfId="16427"/>
    <cellStyle name="Comma 5 2 3 5 4" xfId="2956"/>
    <cellStyle name="Comma 5 2 3 5 4 2" xfId="5334"/>
    <cellStyle name="Comma 5 2 3 5 4 2 2" xfId="14171"/>
    <cellStyle name="Comma 5 2 3 5 4 2 2 2" xfId="24422"/>
    <cellStyle name="Comma 5 2 3 5 4 2 3" xfId="10592"/>
    <cellStyle name="Comma 5 2 3 5 4 2 4" xfId="19415"/>
    <cellStyle name="Comma 5 2 3 5 4 3" xfId="6789"/>
    <cellStyle name="Comma 5 2 3 5 4 3 2" xfId="15616"/>
    <cellStyle name="Comma 5 2 3 5 4 3 3" xfId="25867"/>
    <cellStyle name="Comma 5 2 3 5 4 4" xfId="8235"/>
    <cellStyle name="Comma 5 2 3 5 4 4 2" xfId="22317"/>
    <cellStyle name="Comma 5 2 3 5 4 5" xfId="17310"/>
    <cellStyle name="Comma 5 2 3 5 5" xfId="4290"/>
    <cellStyle name="Comma 5 2 3 5 5 2" xfId="13128"/>
    <cellStyle name="Comma 5 2 3 5 5 2 2" xfId="23379"/>
    <cellStyle name="Comma 5 2 3 5 5 3" xfId="9549"/>
    <cellStyle name="Comma 5 2 3 5 5 4" xfId="18372"/>
    <cellStyle name="Comma 5 2 3 5 6" xfId="1562"/>
    <cellStyle name="Comma 5 2 3 5 6 2" xfId="10939"/>
    <cellStyle name="Comma 5 2 3 5 6 3" xfId="20943"/>
    <cellStyle name="Comma 5 2 3 5 7" xfId="5746"/>
    <cellStyle name="Comma 5 2 3 5 7 2" xfId="14573"/>
    <cellStyle name="Comma 5 2 3 5 7 3" xfId="24824"/>
    <cellStyle name="Comma 5 2 3 5 8" xfId="7190"/>
    <cellStyle name="Comma 5 2 3 5 8 2" xfId="19916"/>
    <cellStyle name="Comma 5 2 3 5 9" xfId="15936"/>
    <cellStyle name="Comma 5 2 3 6" xfId="345"/>
    <cellStyle name="Comma 5 2 3 6 2" xfId="647"/>
    <cellStyle name="Comma 5 2 3 6 2 2" xfId="3133"/>
    <cellStyle name="Comma 5 2 3 6 2 2 2" xfId="12276"/>
    <cellStyle name="Comma 5 2 3 6 2 2 2 2" xfId="22494"/>
    <cellStyle name="Comma 5 2 3 6 2 2 3" xfId="8698"/>
    <cellStyle name="Comma 5 2 3 6 2 2 4" xfId="17487"/>
    <cellStyle name="Comma 5 2 3 6 2 3" xfId="4462"/>
    <cellStyle name="Comma 5 2 3 6 2 3 2" xfId="13300"/>
    <cellStyle name="Comma 5 2 3 6 2 3 2 2" xfId="23551"/>
    <cellStyle name="Comma 5 2 3 6 2 3 3" xfId="9721"/>
    <cellStyle name="Comma 5 2 3 6 2 3 4" xfId="18544"/>
    <cellStyle name="Comma 5 2 3 6 2 4" xfId="2242"/>
    <cellStyle name="Comma 5 2 3 6 2 4 2" xfId="11607"/>
    <cellStyle name="Comma 5 2 3 6 2 4 3" xfId="21611"/>
    <cellStyle name="Comma 5 2 3 6 2 5" xfId="5918"/>
    <cellStyle name="Comma 5 2 3 6 2 5 2" xfId="14745"/>
    <cellStyle name="Comma 5 2 3 6 2 5 3" xfId="24996"/>
    <cellStyle name="Comma 5 2 3 6 2 6" xfId="7362"/>
    <cellStyle name="Comma 5 2 3 6 2 6 2" xfId="20093"/>
    <cellStyle name="Comma 5 2 3 6 2 7" xfId="16604"/>
    <cellStyle name="Comma 5 2 3 6 3" xfId="1117"/>
    <cellStyle name="Comma 5 2 3 6 3 2" xfId="3546"/>
    <cellStyle name="Comma 5 2 3 6 3 2 2" xfId="12682"/>
    <cellStyle name="Comma 5 2 3 6 3 2 2 2" xfId="22901"/>
    <cellStyle name="Comma 5 2 3 6 3 2 3" xfId="9103"/>
    <cellStyle name="Comma 5 2 3 6 3 2 4" xfId="17894"/>
    <cellStyle name="Comma 5 2 3 6 3 3" xfId="4811"/>
    <cellStyle name="Comma 5 2 3 6 3 3 2" xfId="13648"/>
    <cellStyle name="Comma 5 2 3 6 3 3 2 2" xfId="23899"/>
    <cellStyle name="Comma 5 2 3 6 3 3 3" xfId="10069"/>
    <cellStyle name="Comma 5 2 3 6 3 3 4" xfId="18892"/>
    <cellStyle name="Comma 5 2 3 6 3 4" xfId="2578"/>
    <cellStyle name="Comma 5 2 3 6 3 4 2" xfId="11942"/>
    <cellStyle name="Comma 5 2 3 6 3 4 3" xfId="21946"/>
    <cellStyle name="Comma 5 2 3 6 3 5" xfId="6266"/>
    <cellStyle name="Comma 5 2 3 6 3 5 2" xfId="15093"/>
    <cellStyle name="Comma 5 2 3 6 3 5 3" xfId="25344"/>
    <cellStyle name="Comma 5 2 3 6 3 6" xfId="7712"/>
    <cellStyle name="Comma 5 2 3 6 3 6 2" xfId="20500"/>
    <cellStyle name="Comma 5 2 3 6 3 7" xfId="16939"/>
    <cellStyle name="Comma 5 2 3 6 4" xfId="2831"/>
    <cellStyle name="Comma 5 2 3 6 4 2" xfId="5209"/>
    <cellStyle name="Comma 5 2 3 6 4 2 2" xfId="14046"/>
    <cellStyle name="Comma 5 2 3 6 4 2 2 2" xfId="24297"/>
    <cellStyle name="Comma 5 2 3 6 4 2 3" xfId="10467"/>
    <cellStyle name="Comma 5 2 3 6 4 2 4" xfId="19290"/>
    <cellStyle name="Comma 5 2 3 6 4 3" xfId="6664"/>
    <cellStyle name="Comma 5 2 3 6 4 3 2" xfId="15491"/>
    <cellStyle name="Comma 5 2 3 6 4 3 3" xfId="25742"/>
    <cellStyle name="Comma 5 2 3 6 4 4" xfId="8110"/>
    <cellStyle name="Comma 5 2 3 6 4 4 2" xfId="22192"/>
    <cellStyle name="Comma 5 2 3 6 4 5" xfId="17185"/>
    <cellStyle name="Comma 5 2 3 6 5" xfId="4163"/>
    <cellStyle name="Comma 5 2 3 6 5 2" xfId="13001"/>
    <cellStyle name="Comma 5 2 3 6 5 2 2" xfId="23252"/>
    <cellStyle name="Comma 5 2 3 6 5 3" xfId="9422"/>
    <cellStyle name="Comma 5 2 3 6 5 4" xfId="18245"/>
    <cellStyle name="Comma 5 2 3 6 6" xfId="1940"/>
    <cellStyle name="Comma 5 2 3 6 6 2" xfId="11305"/>
    <cellStyle name="Comma 5 2 3 6 6 3" xfId="21309"/>
    <cellStyle name="Comma 5 2 3 6 7" xfId="5621"/>
    <cellStyle name="Comma 5 2 3 6 7 2" xfId="14448"/>
    <cellStyle name="Comma 5 2 3 6 7 3" xfId="24699"/>
    <cellStyle name="Comma 5 2 3 6 8" xfId="7065"/>
    <cellStyle name="Comma 5 2 3 6 8 2" xfId="19791"/>
    <cellStyle name="Comma 5 2 3 6 9" xfId="16302"/>
    <cellStyle name="Comma 5 2 3 7" xfId="638"/>
    <cellStyle name="Comma 5 2 3 7 2" xfId="3124"/>
    <cellStyle name="Comma 5 2 3 7 2 2" xfId="12267"/>
    <cellStyle name="Comma 5 2 3 7 2 2 2" xfId="22485"/>
    <cellStyle name="Comma 5 2 3 7 2 3" xfId="8689"/>
    <cellStyle name="Comma 5 2 3 7 2 4" xfId="17478"/>
    <cellStyle name="Comma 5 2 3 7 3" xfId="4453"/>
    <cellStyle name="Comma 5 2 3 7 3 2" xfId="13291"/>
    <cellStyle name="Comma 5 2 3 7 3 2 2" xfId="23542"/>
    <cellStyle name="Comma 5 2 3 7 3 3" xfId="9712"/>
    <cellStyle name="Comma 5 2 3 7 3 4" xfId="18535"/>
    <cellStyle name="Comma 5 2 3 7 4" xfId="2233"/>
    <cellStyle name="Comma 5 2 3 7 4 2" xfId="11598"/>
    <cellStyle name="Comma 5 2 3 7 4 3" xfId="21602"/>
    <cellStyle name="Comma 5 2 3 7 5" xfId="5909"/>
    <cellStyle name="Comma 5 2 3 7 5 2" xfId="14736"/>
    <cellStyle name="Comma 5 2 3 7 5 3" xfId="24987"/>
    <cellStyle name="Comma 5 2 3 7 6" xfId="7353"/>
    <cellStyle name="Comma 5 2 3 7 6 2" xfId="20084"/>
    <cellStyle name="Comma 5 2 3 7 7" xfId="16595"/>
    <cellStyle name="Comma 5 2 3 8" xfId="1072"/>
    <cellStyle name="Comma 5 2 3 8 2" xfId="3501"/>
    <cellStyle name="Comma 5 2 3 8 2 2" xfId="12637"/>
    <cellStyle name="Comma 5 2 3 8 2 2 2" xfId="22856"/>
    <cellStyle name="Comma 5 2 3 8 2 3" xfId="9059"/>
    <cellStyle name="Comma 5 2 3 8 2 4" xfId="17849"/>
    <cellStyle name="Comma 5 2 3 8 3" xfId="4802"/>
    <cellStyle name="Comma 5 2 3 8 3 2" xfId="13639"/>
    <cellStyle name="Comma 5 2 3 8 3 2 2" xfId="23890"/>
    <cellStyle name="Comma 5 2 3 8 3 3" xfId="10060"/>
    <cellStyle name="Comma 5 2 3 8 3 4" xfId="18883"/>
    <cellStyle name="Comma 5 2 3 8 4" xfId="1738"/>
    <cellStyle name="Comma 5 2 3 8 4 2" xfId="11112"/>
    <cellStyle name="Comma 5 2 3 8 4 3" xfId="21116"/>
    <cellStyle name="Comma 5 2 3 8 5" xfId="6257"/>
    <cellStyle name="Comma 5 2 3 8 5 2" xfId="15084"/>
    <cellStyle name="Comma 5 2 3 8 5 3" xfId="25335"/>
    <cellStyle name="Comma 5 2 3 8 6" xfId="7703"/>
    <cellStyle name="Comma 5 2 3 8 6 2" xfId="20455"/>
    <cellStyle name="Comma 5 2 3 8 7" xfId="16109"/>
    <cellStyle name="Comma 5 2 3 9" xfId="2638"/>
    <cellStyle name="Comma 5 2 3 9 2" xfId="5164"/>
    <cellStyle name="Comma 5 2 3 9 2 2" xfId="14001"/>
    <cellStyle name="Comma 5 2 3 9 2 2 2" xfId="24252"/>
    <cellStyle name="Comma 5 2 3 9 2 3" xfId="10422"/>
    <cellStyle name="Comma 5 2 3 9 2 4" xfId="19245"/>
    <cellStyle name="Comma 5 2 3 9 3" xfId="6619"/>
    <cellStyle name="Comma 5 2 3 9 3 2" xfId="15446"/>
    <cellStyle name="Comma 5 2 3 9 3 3" xfId="25697"/>
    <cellStyle name="Comma 5 2 3 9 4" xfId="8065"/>
    <cellStyle name="Comma 5 2 3 9 4 2" xfId="22000"/>
    <cellStyle name="Comma 5 2 3 9 5" xfId="16993"/>
    <cellStyle name="Comma 5 2 4" xfId="147"/>
    <cellStyle name="Comma 5 2 4 10" xfId="1415"/>
    <cellStyle name="Comma 5 2 4 10 2" xfId="10792"/>
    <cellStyle name="Comma 5 2 4 10 3" xfId="20796"/>
    <cellStyle name="Comma 5 2 4 11" xfId="5526"/>
    <cellStyle name="Comma 5 2 4 11 2" xfId="14353"/>
    <cellStyle name="Comma 5 2 4 11 3" xfId="24604"/>
    <cellStyle name="Comma 5 2 4 12" xfId="6966"/>
    <cellStyle name="Comma 5 2 4 12 2" xfId="19611"/>
    <cellStyle name="Comma 5 2 4 13" xfId="15789"/>
    <cellStyle name="Comma 5 2 4 2" xfId="197"/>
    <cellStyle name="Comma 5 2 4 2 10" xfId="7145"/>
    <cellStyle name="Comma 5 2 4 2 10 2" xfId="19654"/>
    <cellStyle name="Comma 5 2 4 2 11" xfId="15891"/>
    <cellStyle name="Comma 5 2 4 2 2" xfId="525"/>
    <cellStyle name="Comma 5 2 4 2 2 2" xfId="650"/>
    <cellStyle name="Comma 5 2 4 2 2 2 2" xfId="3136"/>
    <cellStyle name="Comma 5 2 4 2 2 2 2 2" xfId="12279"/>
    <cellStyle name="Comma 5 2 4 2 2 2 2 2 2" xfId="22497"/>
    <cellStyle name="Comma 5 2 4 2 2 2 2 3" xfId="8701"/>
    <cellStyle name="Comma 5 2 4 2 2 2 2 4" xfId="17490"/>
    <cellStyle name="Comma 5 2 4 2 2 2 3" xfId="4465"/>
    <cellStyle name="Comma 5 2 4 2 2 2 3 2" xfId="13303"/>
    <cellStyle name="Comma 5 2 4 2 2 2 3 2 2" xfId="23554"/>
    <cellStyle name="Comma 5 2 4 2 2 2 3 3" xfId="9724"/>
    <cellStyle name="Comma 5 2 4 2 2 2 3 4" xfId="18547"/>
    <cellStyle name="Comma 5 2 4 2 2 2 4" xfId="2245"/>
    <cellStyle name="Comma 5 2 4 2 2 2 4 2" xfId="11610"/>
    <cellStyle name="Comma 5 2 4 2 2 2 4 3" xfId="21614"/>
    <cellStyle name="Comma 5 2 4 2 2 2 5" xfId="5921"/>
    <cellStyle name="Comma 5 2 4 2 2 2 5 2" xfId="14748"/>
    <cellStyle name="Comma 5 2 4 2 2 2 5 3" xfId="24999"/>
    <cellStyle name="Comma 5 2 4 2 2 2 6" xfId="7365"/>
    <cellStyle name="Comma 5 2 4 2 2 2 6 2" xfId="20096"/>
    <cellStyle name="Comma 5 2 4 2 2 2 7" xfId="16607"/>
    <cellStyle name="Comma 5 2 4 2 2 3" xfId="1297"/>
    <cellStyle name="Comma 5 2 4 2 2 3 2" xfId="3726"/>
    <cellStyle name="Comma 5 2 4 2 2 3 2 2" xfId="12862"/>
    <cellStyle name="Comma 5 2 4 2 2 3 2 2 2" xfId="23081"/>
    <cellStyle name="Comma 5 2 4 2 2 3 2 3" xfId="9283"/>
    <cellStyle name="Comma 5 2 4 2 2 3 2 4" xfId="18074"/>
    <cellStyle name="Comma 5 2 4 2 2 3 3" xfId="4814"/>
    <cellStyle name="Comma 5 2 4 2 2 3 3 2" xfId="13651"/>
    <cellStyle name="Comma 5 2 4 2 2 3 3 2 2" xfId="23902"/>
    <cellStyle name="Comma 5 2 4 2 2 3 3 3" xfId="10072"/>
    <cellStyle name="Comma 5 2 4 2 2 3 3 4" xfId="18895"/>
    <cellStyle name="Comma 5 2 4 2 2 3 4" xfId="2120"/>
    <cellStyle name="Comma 5 2 4 2 2 3 4 2" xfId="11485"/>
    <cellStyle name="Comma 5 2 4 2 2 3 4 3" xfId="21489"/>
    <cellStyle name="Comma 5 2 4 2 2 3 5" xfId="6269"/>
    <cellStyle name="Comma 5 2 4 2 2 3 5 2" xfId="15096"/>
    <cellStyle name="Comma 5 2 4 2 2 3 5 3" xfId="25347"/>
    <cellStyle name="Comma 5 2 4 2 2 3 6" xfId="7715"/>
    <cellStyle name="Comma 5 2 4 2 2 3 6 2" xfId="20680"/>
    <cellStyle name="Comma 5 2 4 2 2 3 7" xfId="16482"/>
    <cellStyle name="Comma 5 2 4 2 2 4" xfId="3011"/>
    <cellStyle name="Comma 5 2 4 2 2 4 2" xfId="5389"/>
    <cellStyle name="Comma 5 2 4 2 2 4 2 2" xfId="14226"/>
    <cellStyle name="Comma 5 2 4 2 2 4 2 2 2" xfId="24477"/>
    <cellStyle name="Comma 5 2 4 2 2 4 2 3" xfId="10647"/>
    <cellStyle name="Comma 5 2 4 2 2 4 2 4" xfId="19470"/>
    <cellStyle name="Comma 5 2 4 2 2 4 3" xfId="6844"/>
    <cellStyle name="Comma 5 2 4 2 2 4 3 2" xfId="15671"/>
    <cellStyle name="Comma 5 2 4 2 2 4 3 3" xfId="25922"/>
    <cellStyle name="Comma 5 2 4 2 2 4 4" xfId="8290"/>
    <cellStyle name="Comma 5 2 4 2 2 4 4 2" xfId="22372"/>
    <cellStyle name="Comma 5 2 4 2 2 4 5" xfId="17365"/>
    <cellStyle name="Comma 5 2 4 2 2 5" xfId="4345"/>
    <cellStyle name="Comma 5 2 4 2 2 5 2" xfId="13183"/>
    <cellStyle name="Comma 5 2 4 2 2 5 2 2" xfId="23434"/>
    <cellStyle name="Comma 5 2 4 2 2 5 3" xfId="9604"/>
    <cellStyle name="Comma 5 2 4 2 2 5 4" xfId="18427"/>
    <cellStyle name="Comma 5 2 4 2 2 6" xfId="1617"/>
    <cellStyle name="Comma 5 2 4 2 2 6 2" xfId="10994"/>
    <cellStyle name="Comma 5 2 4 2 2 6 3" xfId="20998"/>
    <cellStyle name="Comma 5 2 4 2 2 7" xfId="5801"/>
    <cellStyle name="Comma 5 2 4 2 2 7 2" xfId="14628"/>
    <cellStyle name="Comma 5 2 4 2 2 7 3" xfId="24879"/>
    <cellStyle name="Comma 5 2 4 2 2 8" xfId="7245"/>
    <cellStyle name="Comma 5 2 4 2 2 8 2" xfId="19971"/>
    <cellStyle name="Comma 5 2 4 2 2 9" xfId="15991"/>
    <cellStyle name="Comma 5 2 4 2 3" xfId="425"/>
    <cellStyle name="Comma 5 2 4 2 3 2" xfId="2911"/>
    <cellStyle name="Comma 5 2 4 2 3 2 2" xfId="12199"/>
    <cellStyle name="Comma 5 2 4 2 3 2 2 2" xfId="22272"/>
    <cellStyle name="Comma 5 2 4 2 3 2 3" xfId="8520"/>
    <cellStyle name="Comma 5 2 4 2 3 2 4" xfId="17265"/>
    <cellStyle name="Comma 5 2 4 2 3 3" xfId="4464"/>
    <cellStyle name="Comma 5 2 4 2 3 3 2" xfId="13302"/>
    <cellStyle name="Comma 5 2 4 2 3 3 2 2" xfId="23553"/>
    <cellStyle name="Comma 5 2 4 2 3 3 3" xfId="9723"/>
    <cellStyle name="Comma 5 2 4 2 3 3 4" xfId="18546"/>
    <cellStyle name="Comma 5 2 4 2 3 4" xfId="2020"/>
    <cellStyle name="Comma 5 2 4 2 3 4 2" xfId="11385"/>
    <cellStyle name="Comma 5 2 4 2 3 4 3" xfId="21389"/>
    <cellStyle name="Comma 5 2 4 2 3 5" xfId="5920"/>
    <cellStyle name="Comma 5 2 4 2 3 5 2" xfId="14747"/>
    <cellStyle name="Comma 5 2 4 2 3 5 3" xfId="24998"/>
    <cellStyle name="Comma 5 2 4 2 3 6" xfId="7364"/>
    <cellStyle name="Comma 5 2 4 2 3 6 2" xfId="19871"/>
    <cellStyle name="Comma 5 2 4 2 3 7" xfId="16382"/>
    <cellStyle name="Comma 5 2 4 2 4" xfId="649"/>
    <cellStyle name="Comma 5 2 4 2 4 2" xfId="3135"/>
    <cellStyle name="Comma 5 2 4 2 4 2 2" xfId="12278"/>
    <cellStyle name="Comma 5 2 4 2 4 2 2 2" xfId="22496"/>
    <cellStyle name="Comma 5 2 4 2 4 2 3" xfId="8700"/>
    <cellStyle name="Comma 5 2 4 2 4 2 4" xfId="17489"/>
    <cellStyle name="Comma 5 2 4 2 4 3" xfId="4813"/>
    <cellStyle name="Comma 5 2 4 2 4 3 2" xfId="13650"/>
    <cellStyle name="Comma 5 2 4 2 4 3 2 2" xfId="23901"/>
    <cellStyle name="Comma 5 2 4 2 4 3 3" xfId="10071"/>
    <cellStyle name="Comma 5 2 4 2 4 3 4" xfId="18894"/>
    <cellStyle name="Comma 5 2 4 2 4 4" xfId="2244"/>
    <cellStyle name="Comma 5 2 4 2 4 4 2" xfId="11609"/>
    <cellStyle name="Comma 5 2 4 2 4 4 3" xfId="21613"/>
    <cellStyle name="Comma 5 2 4 2 4 5" xfId="6268"/>
    <cellStyle name="Comma 5 2 4 2 4 5 2" xfId="15095"/>
    <cellStyle name="Comma 5 2 4 2 4 5 3" xfId="25346"/>
    <cellStyle name="Comma 5 2 4 2 4 6" xfId="7714"/>
    <cellStyle name="Comma 5 2 4 2 4 6 2" xfId="20095"/>
    <cellStyle name="Comma 5 2 4 2 4 7" xfId="16606"/>
    <cellStyle name="Comma 5 2 4 2 5" xfId="1197"/>
    <cellStyle name="Comma 5 2 4 2 5 2" xfId="3626"/>
    <cellStyle name="Comma 5 2 4 2 5 2 2" xfId="12762"/>
    <cellStyle name="Comma 5 2 4 2 5 2 2 2" xfId="22981"/>
    <cellStyle name="Comma 5 2 4 2 5 2 3" xfId="9183"/>
    <cellStyle name="Comma 5 2 4 2 5 2 4" xfId="17974"/>
    <cellStyle name="Comma 5 2 4 2 5 3" xfId="5289"/>
    <cellStyle name="Comma 5 2 4 2 5 3 2" xfId="14126"/>
    <cellStyle name="Comma 5 2 4 2 5 3 2 2" xfId="24377"/>
    <cellStyle name="Comma 5 2 4 2 5 3 3" xfId="10547"/>
    <cellStyle name="Comma 5 2 4 2 5 3 4" xfId="19370"/>
    <cellStyle name="Comma 5 2 4 2 5 4" xfId="1799"/>
    <cellStyle name="Comma 5 2 4 2 5 4 2" xfId="11168"/>
    <cellStyle name="Comma 5 2 4 2 5 4 3" xfId="21172"/>
    <cellStyle name="Comma 5 2 4 2 5 5" xfId="6744"/>
    <cellStyle name="Comma 5 2 4 2 5 5 2" xfId="15571"/>
    <cellStyle name="Comma 5 2 4 2 5 5 3" xfId="25822"/>
    <cellStyle name="Comma 5 2 4 2 5 6" xfId="8190"/>
    <cellStyle name="Comma 5 2 4 2 5 6 2" xfId="20580"/>
    <cellStyle name="Comma 5 2 4 2 5 7" xfId="16165"/>
    <cellStyle name="Comma 5 2 4 2 6" xfId="2694"/>
    <cellStyle name="Comma 5 2 4 2 6 2" xfId="12011"/>
    <cellStyle name="Comma 5 2 4 2 6 2 2" xfId="22055"/>
    <cellStyle name="Comma 5 2 4 2 6 3" xfId="8591"/>
    <cellStyle name="Comma 5 2 4 2 6 4" xfId="17048"/>
    <cellStyle name="Comma 5 2 4 2 7" xfId="4245"/>
    <cellStyle name="Comma 5 2 4 2 7 2" xfId="13083"/>
    <cellStyle name="Comma 5 2 4 2 7 2 2" xfId="23334"/>
    <cellStyle name="Comma 5 2 4 2 7 3" xfId="9504"/>
    <cellStyle name="Comma 5 2 4 2 7 4" xfId="18327"/>
    <cellStyle name="Comma 5 2 4 2 8" xfId="1517"/>
    <cellStyle name="Comma 5 2 4 2 8 2" xfId="10894"/>
    <cellStyle name="Comma 5 2 4 2 8 3" xfId="20898"/>
    <cellStyle name="Comma 5 2 4 2 9" xfId="5701"/>
    <cellStyle name="Comma 5 2 4 2 9 2" xfId="14528"/>
    <cellStyle name="Comma 5 2 4 2 9 3" xfId="24779"/>
    <cellStyle name="Comma 5 2 4 3" xfId="264"/>
    <cellStyle name="Comma 5 2 4 3 10" xfId="7102"/>
    <cellStyle name="Comma 5 2 4 3 10 2" xfId="19716"/>
    <cellStyle name="Comma 5 2 4 3 11" xfId="15848"/>
    <cellStyle name="Comma 5 2 4 3 2" xfId="587"/>
    <cellStyle name="Comma 5 2 4 3 2 2" xfId="652"/>
    <cellStyle name="Comma 5 2 4 3 2 2 2" xfId="3138"/>
    <cellStyle name="Comma 5 2 4 3 2 2 2 2" xfId="12281"/>
    <cellStyle name="Comma 5 2 4 3 2 2 2 2 2" xfId="22499"/>
    <cellStyle name="Comma 5 2 4 3 2 2 2 3" xfId="8703"/>
    <cellStyle name="Comma 5 2 4 3 2 2 2 4" xfId="17492"/>
    <cellStyle name="Comma 5 2 4 3 2 2 3" xfId="4467"/>
    <cellStyle name="Comma 5 2 4 3 2 2 3 2" xfId="13305"/>
    <cellStyle name="Comma 5 2 4 3 2 2 3 2 2" xfId="23556"/>
    <cellStyle name="Comma 5 2 4 3 2 2 3 3" xfId="9726"/>
    <cellStyle name="Comma 5 2 4 3 2 2 3 4" xfId="18549"/>
    <cellStyle name="Comma 5 2 4 3 2 2 4" xfId="2247"/>
    <cellStyle name="Comma 5 2 4 3 2 2 4 2" xfId="11612"/>
    <cellStyle name="Comma 5 2 4 3 2 2 4 3" xfId="21616"/>
    <cellStyle name="Comma 5 2 4 3 2 2 5" xfId="5923"/>
    <cellStyle name="Comma 5 2 4 3 2 2 5 2" xfId="14750"/>
    <cellStyle name="Comma 5 2 4 3 2 2 5 3" xfId="25001"/>
    <cellStyle name="Comma 5 2 4 3 2 2 6" xfId="7367"/>
    <cellStyle name="Comma 5 2 4 3 2 2 6 2" xfId="20098"/>
    <cellStyle name="Comma 5 2 4 3 2 2 7" xfId="16609"/>
    <cellStyle name="Comma 5 2 4 3 2 3" xfId="1359"/>
    <cellStyle name="Comma 5 2 4 3 2 3 2" xfId="3788"/>
    <cellStyle name="Comma 5 2 4 3 2 3 2 2" xfId="12924"/>
    <cellStyle name="Comma 5 2 4 3 2 3 2 2 2" xfId="23143"/>
    <cellStyle name="Comma 5 2 4 3 2 3 2 3" xfId="9345"/>
    <cellStyle name="Comma 5 2 4 3 2 3 2 4" xfId="18136"/>
    <cellStyle name="Comma 5 2 4 3 2 3 3" xfId="4816"/>
    <cellStyle name="Comma 5 2 4 3 2 3 3 2" xfId="13653"/>
    <cellStyle name="Comma 5 2 4 3 2 3 3 2 2" xfId="23904"/>
    <cellStyle name="Comma 5 2 4 3 2 3 3 3" xfId="10074"/>
    <cellStyle name="Comma 5 2 4 3 2 3 3 4" xfId="18897"/>
    <cellStyle name="Comma 5 2 4 3 2 3 4" xfId="2182"/>
    <cellStyle name="Comma 5 2 4 3 2 3 4 2" xfId="11547"/>
    <cellStyle name="Comma 5 2 4 3 2 3 4 3" xfId="21551"/>
    <cellStyle name="Comma 5 2 4 3 2 3 5" xfId="6271"/>
    <cellStyle name="Comma 5 2 4 3 2 3 5 2" xfId="15098"/>
    <cellStyle name="Comma 5 2 4 3 2 3 5 3" xfId="25349"/>
    <cellStyle name="Comma 5 2 4 3 2 3 6" xfId="7717"/>
    <cellStyle name="Comma 5 2 4 3 2 3 6 2" xfId="20742"/>
    <cellStyle name="Comma 5 2 4 3 2 3 7" xfId="16544"/>
    <cellStyle name="Comma 5 2 4 3 2 4" xfId="3073"/>
    <cellStyle name="Comma 5 2 4 3 2 4 2" xfId="5451"/>
    <cellStyle name="Comma 5 2 4 3 2 4 2 2" xfId="14288"/>
    <cellStyle name="Comma 5 2 4 3 2 4 2 2 2" xfId="24539"/>
    <cellStyle name="Comma 5 2 4 3 2 4 2 3" xfId="10709"/>
    <cellStyle name="Comma 5 2 4 3 2 4 2 4" xfId="19532"/>
    <cellStyle name="Comma 5 2 4 3 2 4 3" xfId="6906"/>
    <cellStyle name="Comma 5 2 4 3 2 4 3 2" xfId="15733"/>
    <cellStyle name="Comma 5 2 4 3 2 4 3 3" xfId="25984"/>
    <cellStyle name="Comma 5 2 4 3 2 4 4" xfId="8352"/>
    <cellStyle name="Comma 5 2 4 3 2 4 4 2" xfId="22434"/>
    <cellStyle name="Comma 5 2 4 3 2 4 5" xfId="17427"/>
    <cellStyle name="Comma 5 2 4 3 2 5" xfId="4407"/>
    <cellStyle name="Comma 5 2 4 3 2 5 2" xfId="13245"/>
    <cellStyle name="Comma 5 2 4 3 2 5 2 2" xfId="23496"/>
    <cellStyle name="Comma 5 2 4 3 2 5 3" xfId="9666"/>
    <cellStyle name="Comma 5 2 4 3 2 5 4" xfId="18489"/>
    <cellStyle name="Comma 5 2 4 3 2 6" xfId="1679"/>
    <cellStyle name="Comma 5 2 4 3 2 6 2" xfId="11056"/>
    <cellStyle name="Comma 5 2 4 3 2 6 3" xfId="21060"/>
    <cellStyle name="Comma 5 2 4 3 2 7" xfId="5863"/>
    <cellStyle name="Comma 5 2 4 3 2 7 2" xfId="14690"/>
    <cellStyle name="Comma 5 2 4 3 2 7 3" xfId="24941"/>
    <cellStyle name="Comma 5 2 4 3 2 8" xfId="7307"/>
    <cellStyle name="Comma 5 2 4 3 2 8 2" xfId="20033"/>
    <cellStyle name="Comma 5 2 4 3 2 9" xfId="16053"/>
    <cellStyle name="Comma 5 2 4 3 3" xfId="382"/>
    <cellStyle name="Comma 5 2 4 3 3 2" xfId="2868"/>
    <cellStyle name="Comma 5 2 4 3 3 2 2" xfId="12156"/>
    <cellStyle name="Comma 5 2 4 3 3 2 2 2" xfId="22229"/>
    <cellStyle name="Comma 5 2 4 3 3 2 3" xfId="8640"/>
    <cellStyle name="Comma 5 2 4 3 3 2 4" xfId="17222"/>
    <cellStyle name="Comma 5 2 4 3 3 3" xfId="4466"/>
    <cellStyle name="Comma 5 2 4 3 3 3 2" xfId="13304"/>
    <cellStyle name="Comma 5 2 4 3 3 3 2 2" xfId="23555"/>
    <cellStyle name="Comma 5 2 4 3 3 3 3" xfId="9725"/>
    <cellStyle name="Comma 5 2 4 3 3 3 4" xfId="18548"/>
    <cellStyle name="Comma 5 2 4 3 3 4" xfId="1977"/>
    <cellStyle name="Comma 5 2 4 3 3 4 2" xfId="11342"/>
    <cellStyle name="Comma 5 2 4 3 3 4 3" xfId="21346"/>
    <cellStyle name="Comma 5 2 4 3 3 5" xfId="5922"/>
    <cellStyle name="Comma 5 2 4 3 3 5 2" xfId="14749"/>
    <cellStyle name="Comma 5 2 4 3 3 5 3" xfId="25000"/>
    <cellStyle name="Comma 5 2 4 3 3 6" xfId="7366"/>
    <cellStyle name="Comma 5 2 4 3 3 6 2" xfId="19828"/>
    <cellStyle name="Comma 5 2 4 3 3 7" xfId="16339"/>
    <cellStyle name="Comma 5 2 4 3 4" xfId="651"/>
    <cellStyle name="Comma 5 2 4 3 4 2" xfId="3137"/>
    <cellStyle name="Comma 5 2 4 3 4 2 2" xfId="12280"/>
    <cellStyle name="Comma 5 2 4 3 4 2 2 2" xfId="22498"/>
    <cellStyle name="Comma 5 2 4 3 4 2 3" xfId="8702"/>
    <cellStyle name="Comma 5 2 4 3 4 2 4" xfId="17491"/>
    <cellStyle name="Comma 5 2 4 3 4 3" xfId="4815"/>
    <cellStyle name="Comma 5 2 4 3 4 3 2" xfId="13652"/>
    <cellStyle name="Comma 5 2 4 3 4 3 2 2" xfId="23903"/>
    <cellStyle name="Comma 5 2 4 3 4 3 3" xfId="10073"/>
    <cellStyle name="Comma 5 2 4 3 4 3 4" xfId="18896"/>
    <cellStyle name="Comma 5 2 4 3 4 4" xfId="2246"/>
    <cellStyle name="Comma 5 2 4 3 4 4 2" xfId="11611"/>
    <cellStyle name="Comma 5 2 4 3 4 4 3" xfId="21615"/>
    <cellStyle name="Comma 5 2 4 3 4 5" xfId="6270"/>
    <cellStyle name="Comma 5 2 4 3 4 5 2" xfId="15097"/>
    <cellStyle name="Comma 5 2 4 3 4 5 3" xfId="25348"/>
    <cellStyle name="Comma 5 2 4 3 4 6" xfId="7716"/>
    <cellStyle name="Comma 5 2 4 3 4 6 2" xfId="20097"/>
    <cellStyle name="Comma 5 2 4 3 4 7" xfId="16608"/>
    <cellStyle name="Comma 5 2 4 3 5" xfId="1154"/>
    <cellStyle name="Comma 5 2 4 3 5 2" xfId="3583"/>
    <cellStyle name="Comma 5 2 4 3 5 2 2" xfId="12719"/>
    <cellStyle name="Comma 5 2 4 3 5 2 2 2" xfId="22938"/>
    <cellStyle name="Comma 5 2 4 3 5 2 3" xfId="9140"/>
    <cellStyle name="Comma 5 2 4 3 5 2 4" xfId="17931"/>
    <cellStyle name="Comma 5 2 4 3 5 3" xfId="5246"/>
    <cellStyle name="Comma 5 2 4 3 5 3 2" xfId="14083"/>
    <cellStyle name="Comma 5 2 4 3 5 3 2 2" xfId="24334"/>
    <cellStyle name="Comma 5 2 4 3 5 3 3" xfId="10504"/>
    <cellStyle name="Comma 5 2 4 3 5 3 4" xfId="19327"/>
    <cellStyle name="Comma 5 2 4 3 5 4" xfId="1862"/>
    <cellStyle name="Comma 5 2 4 3 5 4 2" xfId="11230"/>
    <cellStyle name="Comma 5 2 4 3 5 4 3" xfId="21234"/>
    <cellStyle name="Comma 5 2 4 3 5 5" xfId="6701"/>
    <cellStyle name="Comma 5 2 4 3 5 5 2" xfId="15528"/>
    <cellStyle name="Comma 5 2 4 3 5 5 3" xfId="25779"/>
    <cellStyle name="Comma 5 2 4 3 5 6" xfId="8147"/>
    <cellStyle name="Comma 5 2 4 3 5 6 2" xfId="20537"/>
    <cellStyle name="Comma 5 2 4 3 5 7" xfId="16227"/>
    <cellStyle name="Comma 5 2 4 3 6" xfId="2756"/>
    <cellStyle name="Comma 5 2 4 3 6 2" xfId="12073"/>
    <cellStyle name="Comma 5 2 4 3 6 2 2" xfId="22117"/>
    <cellStyle name="Comma 5 2 4 3 6 3" xfId="8642"/>
    <cellStyle name="Comma 5 2 4 3 6 4" xfId="17110"/>
    <cellStyle name="Comma 5 2 4 3 7" xfId="4202"/>
    <cellStyle name="Comma 5 2 4 3 7 2" xfId="13040"/>
    <cellStyle name="Comma 5 2 4 3 7 2 2" xfId="23291"/>
    <cellStyle name="Comma 5 2 4 3 7 3" xfId="9461"/>
    <cellStyle name="Comma 5 2 4 3 7 4" xfId="18284"/>
    <cellStyle name="Comma 5 2 4 3 8" xfId="1474"/>
    <cellStyle name="Comma 5 2 4 3 8 2" xfId="10851"/>
    <cellStyle name="Comma 5 2 4 3 8 3" xfId="20855"/>
    <cellStyle name="Comma 5 2 4 3 9" xfId="5658"/>
    <cellStyle name="Comma 5 2 4 3 9 2" xfId="14485"/>
    <cellStyle name="Comma 5 2 4 3 9 3" xfId="24736"/>
    <cellStyle name="Comma 5 2 4 4" xfId="482"/>
    <cellStyle name="Comma 5 2 4 4 2" xfId="653"/>
    <cellStyle name="Comma 5 2 4 4 2 2" xfId="3139"/>
    <cellStyle name="Comma 5 2 4 4 2 2 2" xfId="12282"/>
    <cellStyle name="Comma 5 2 4 4 2 2 2 2" xfId="22500"/>
    <cellStyle name="Comma 5 2 4 4 2 2 3" xfId="8704"/>
    <cellStyle name="Comma 5 2 4 4 2 2 4" xfId="17493"/>
    <cellStyle name="Comma 5 2 4 4 2 3" xfId="4468"/>
    <cellStyle name="Comma 5 2 4 4 2 3 2" xfId="13306"/>
    <cellStyle name="Comma 5 2 4 4 2 3 2 2" xfId="23557"/>
    <cellStyle name="Comma 5 2 4 4 2 3 3" xfId="9727"/>
    <cellStyle name="Comma 5 2 4 4 2 3 4" xfId="18550"/>
    <cellStyle name="Comma 5 2 4 4 2 4" xfId="2248"/>
    <cellStyle name="Comma 5 2 4 4 2 4 2" xfId="11613"/>
    <cellStyle name="Comma 5 2 4 4 2 4 3" xfId="21617"/>
    <cellStyle name="Comma 5 2 4 4 2 5" xfId="5924"/>
    <cellStyle name="Comma 5 2 4 4 2 5 2" xfId="14751"/>
    <cellStyle name="Comma 5 2 4 4 2 5 3" xfId="25002"/>
    <cellStyle name="Comma 5 2 4 4 2 6" xfId="7368"/>
    <cellStyle name="Comma 5 2 4 4 2 6 2" xfId="20099"/>
    <cellStyle name="Comma 5 2 4 4 2 7" xfId="16610"/>
    <cellStyle name="Comma 5 2 4 4 3" xfId="1254"/>
    <cellStyle name="Comma 5 2 4 4 3 2" xfId="3683"/>
    <cellStyle name="Comma 5 2 4 4 3 2 2" xfId="12819"/>
    <cellStyle name="Comma 5 2 4 4 3 2 2 2" xfId="23038"/>
    <cellStyle name="Comma 5 2 4 4 3 2 3" xfId="9240"/>
    <cellStyle name="Comma 5 2 4 4 3 2 4" xfId="18031"/>
    <cellStyle name="Comma 5 2 4 4 3 3" xfId="4817"/>
    <cellStyle name="Comma 5 2 4 4 3 3 2" xfId="13654"/>
    <cellStyle name="Comma 5 2 4 4 3 3 2 2" xfId="23905"/>
    <cellStyle name="Comma 5 2 4 4 3 3 3" xfId="10075"/>
    <cellStyle name="Comma 5 2 4 4 3 3 4" xfId="18898"/>
    <cellStyle name="Comma 5 2 4 4 3 4" xfId="2077"/>
    <cellStyle name="Comma 5 2 4 4 3 4 2" xfId="11442"/>
    <cellStyle name="Comma 5 2 4 4 3 4 3" xfId="21446"/>
    <cellStyle name="Comma 5 2 4 4 3 5" xfId="6272"/>
    <cellStyle name="Comma 5 2 4 4 3 5 2" xfId="15099"/>
    <cellStyle name="Comma 5 2 4 4 3 5 3" xfId="25350"/>
    <cellStyle name="Comma 5 2 4 4 3 6" xfId="7718"/>
    <cellStyle name="Comma 5 2 4 4 3 6 2" xfId="20637"/>
    <cellStyle name="Comma 5 2 4 4 3 7" xfId="16439"/>
    <cellStyle name="Comma 5 2 4 4 4" xfId="2968"/>
    <cellStyle name="Comma 5 2 4 4 4 2" xfId="5346"/>
    <cellStyle name="Comma 5 2 4 4 4 2 2" xfId="14183"/>
    <cellStyle name="Comma 5 2 4 4 4 2 2 2" xfId="24434"/>
    <cellStyle name="Comma 5 2 4 4 4 2 3" xfId="10604"/>
    <cellStyle name="Comma 5 2 4 4 4 2 4" xfId="19427"/>
    <cellStyle name="Comma 5 2 4 4 4 3" xfId="6801"/>
    <cellStyle name="Comma 5 2 4 4 4 3 2" xfId="15628"/>
    <cellStyle name="Comma 5 2 4 4 4 3 3" xfId="25879"/>
    <cellStyle name="Comma 5 2 4 4 4 4" xfId="8247"/>
    <cellStyle name="Comma 5 2 4 4 4 4 2" xfId="22329"/>
    <cellStyle name="Comma 5 2 4 4 4 5" xfId="17322"/>
    <cellStyle name="Comma 5 2 4 4 5" xfId="4302"/>
    <cellStyle name="Comma 5 2 4 4 5 2" xfId="13140"/>
    <cellStyle name="Comma 5 2 4 4 5 2 2" xfId="23391"/>
    <cellStyle name="Comma 5 2 4 4 5 3" xfId="9561"/>
    <cellStyle name="Comma 5 2 4 4 5 4" xfId="18384"/>
    <cellStyle name="Comma 5 2 4 4 6" xfId="1574"/>
    <cellStyle name="Comma 5 2 4 4 6 2" xfId="10951"/>
    <cellStyle name="Comma 5 2 4 4 6 3" xfId="20955"/>
    <cellStyle name="Comma 5 2 4 4 7" xfId="5758"/>
    <cellStyle name="Comma 5 2 4 4 7 2" xfId="14585"/>
    <cellStyle name="Comma 5 2 4 4 7 3" xfId="24836"/>
    <cellStyle name="Comma 5 2 4 4 8" xfId="7202"/>
    <cellStyle name="Comma 5 2 4 4 8 2" xfId="19928"/>
    <cellStyle name="Comma 5 2 4 4 9" xfId="15948"/>
    <cellStyle name="Comma 5 2 4 5" xfId="323"/>
    <cellStyle name="Comma 5 2 4 5 2" xfId="2809"/>
    <cellStyle name="Comma 5 2 4 5 2 2" xfId="12113"/>
    <cellStyle name="Comma 5 2 4 5 2 2 2" xfId="22170"/>
    <cellStyle name="Comma 5 2 4 5 2 3" xfId="8480"/>
    <cellStyle name="Comma 5 2 4 5 2 4" xfId="17163"/>
    <cellStyle name="Comma 5 2 4 5 3" xfId="4463"/>
    <cellStyle name="Comma 5 2 4 5 3 2" xfId="13301"/>
    <cellStyle name="Comma 5 2 4 5 3 2 2" xfId="23552"/>
    <cellStyle name="Comma 5 2 4 5 3 3" xfId="9722"/>
    <cellStyle name="Comma 5 2 4 5 3 4" xfId="18545"/>
    <cellStyle name="Comma 5 2 4 5 4" xfId="1918"/>
    <cellStyle name="Comma 5 2 4 5 4 2" xfId="11283"/>
    <cellStyle name="Comma 5 2 4 5 4 3" xfId="21287"/>
    <cellStyle name="Comma 5 2 4 5 5" xfId="5919"/>
    <cellStyle name="Comma 5 2 4 5 5 2" xfId="14746"/>
    <cellStyle name="Comma 5 2 4 5 5 3" xfId="24997"/>
    <cellStyle name="Comma 5 2 4 5 6" xfId="7363"/>
    <cellStyle name="Comma 5 2 4 5 6 2" xfId="19769"/>
    <cellStyle name="Comma 5 2 4 5 7" xfId="16280"/>
    <cellStyle name="Comma 5 2 4 6" xfId="648"/>
    <cellStyle name="Comma 5 2 4 6 2" xfId="3134"/>
    <cellStyle name="Comma 5 2 4 6 2 2" xfId="12277"/>
    <cellStyle name="Comma 5 2 4 6 2 2 2" xfId="22495"/>
    <cellStyle name="Comma 5 2 4 6 2 3" xfId="8699"/>
    <cellStyle name="Comma 5 2 4 6 2 4" xfId="17488"/>
    <cellStyle name="Comma 5 2 4 6 3" xfId="4812"/>
    <cellStyle name="Comma 5 2 4 6 3 2" xfId="13649"/>
    <cellStyle name="Comma 5 2 4 6 3 2 2" xfId="23900"/>
    <cellStyle name="Comma 5 2 4 6 3 3" xfId="10070"/>
    <cellStyle name="Comma 5 2 4 6 3 4" xfId="18893"/>
    <cellStyle name="Comma 5 2 4 6 4" xfId="2243"/>
    <cellStyle name="Comma 5 2 4 6 4 2" xfId="11608"/>
    <cellStyle name="Comma 5 2 4 6 4 3" xfId="21612"/>
    <cellStyle name="Comma 5 2 4 6 5" xfId="6267"/>
    <cellStyle name="Comma 5 2 4 6 5 2" xfId="15094"/>
    <cellStyle name="Comma 5 2 4 6 5 3" xfId="25345"/>
    <cellStyle name="Comma 5 2 4 6 6" xfId="7713"/>
    <cellStyle name="Comma 5 2 4 6 6 2" xfId="20094"/>
    <cellStyle name="Comma 5 2 4 6 7" xfId="16605"/>
    <cellStyle name="Comma 5 2 4 7" xfId="1095"/>
    <cellStyle name="Comma 5 2 4 7 2" xfId="3524"/>
    <cellStyle name="Comma 5 2 4 7 2 2" xfId="12660"/>
    <cellStyle name="Comma 5 2 4 7 2 2 2" xfId="22879"/>
    <cellStyle name="Comma 5 2 4 7 2 3" xfId="9082"/>
    <cellStyle name="Comma 5 2 4 7 2 4" xfId="17872"/>
    <cellStyle name="Comma 5 2 4 7 3" xfId="5187"/>
    <cellStyle name="Comma 5 2 4 7 3 2" xfId="14024"/>
    <cellStyle name="Comma 5 2 4 7 3 2 2" xfId="24275"/>
    <cellStyle name="Comma 5 2 4 7 3 3" xfId="10445"/>
    <cellStyle name="Comma 5 2 4 7 3 4" xfId="19268"/>
    <cellStyle name="Comma 5 2 4 7 4" xfId="1753"/>
    <cellStyle name="Comma 5 2 4 7 4 2" xfId="11124"/>
    <cellStyle name="Comma 5 2 4 7 4 3" xfId="21128"/>
    <cellStyle name="Comma 5 2 4 7 5" xfId="6642"/>
    <cellStyle name="Comma 5 2 4 7 5 2" xfId="15469"/>
    <cellStyle name="Comma 5 2 4 7 5 3" xfId="25720"/>
    <cellStyle name="Comma 5 2 4 7 6" xfId="8088"/>
    <cellStyle name="Comma 5 2 4 7 6 2" xfId="20478"/>
    <cellStyle name="Comma 5 2 4 7 7" xfId="16121"/>
    <cellStyle name="Comma 5 2 4 8" xfId="2651"/>
    <cellStyle name="Comma 5 2 4 8 2" xfId="5599"/>
    <cellStyle name="Comma 5 2 4 8 2 2" xfId="14426"/>
    <cellStyle name="Comma 5 2 4 8 2 3" xfId="24677"/>
    <cellStyle name="Comma 5 2 4 8 3" xfId="7043"/>
    <cellStyle name="Comma 5 2 4 8 3 2" xfId="22012"/>
    <cellStyle name="Comma 5 2 4 8 4" xfId="17005"/>
    <cellStyle name="Comma 5 2 4 9" xfId="4141"/>
    <cellStyle name="Comma 5 2 4 9 2" xfId="12979"/>
    <cellStyle name="Comma 5 2 4 9 2 2" xfId="23230"/>
    <cellStyle name="Comma 5 2 4 9 3" xfId="9400"/>
    <cellStyle name="Comma 5 2 4 9 4" xfId="18223"/>
    <cellStyle name="Comma 5 2 5" xfId="180"/>
    <cellStyle name="Comma 5 2 5 10" xfId="7128"/>
    <cellStyle name="Comma 5 2 5 10 2" xfId="19637"/>
    <cellStyle name="Comma 5 2 5 11" xfId="15874"/>
    <cellStyle name="Comma 5 2 5 2" xfId="508"/>
    <cellStyle name="Comma 5 2 5 2 2" xfId="655"/>
    <cellStyle name="Comma 5 2 5 2 2 2" xfId="3141"/>
    <cellStyle name="Comma 5 2 5 2 2 2 2" xfId="12284"/>
    <cellStyle name="Comma 5 2 5 2 2 2 2 2" xfId="22502"/>
    <cellStyle name="Comma 5 2 5 2 2 2 3" xfId="8706"/>
    <cellStyle name="Comma 5 2 5 2 2 2 4" xfId="17495"/>
    <cellStyle name="Comma 5 2 5 2 2 3" xfId="4470"/>
    <cellStyle name="Comma 5 2 5 2 2 3 2" xfId="13308"/>
    <cellStyle name="Comma 5 2 5 2 2 3 2 2" xfId="23559"/>
    <cellStyle name="Comma 5 2 5 2 2 3 3" xfId="9729"/>
    <cellStyle name="Comma 5 2 5 2 2 3 4" xfId="18552"/>
    <cellStyle name="Comma 5 2 5 2 2 4" xfId="2250"/>
    <cellStyle name="Comma 5 2 5 2 2 4 2" xfId="11615"/>
    <cellStyle name="Comma 5 2 5 2 2 4 3" xfId="21619"/>
    <cellStyle name="Comma 5 2 5 2 2 5" xfId="5926"/>
    <cellStyle name="Comma 5 2 5 2 2 5 2" xfId="14753"/>
    <cellStyle name="Comma 5 2 5 2 2 5 3" xfId="25004"/>
    <cellStyle name="Comma 5 2 5 2 2 6" xfId="7370"/>
    <cellStyle name="Comma 5 2 5 2 2 6 2" xfId="20101"/>
    <cellStyle name="Comma 5 2 5 2 2 7" xfId="16612"/>
    <cellStyle name="Comma 5 2 5 2 3" xfId="1280"/>
    <cellStyle name="Comma 5 2 5 2 3 2" xfId="3709"/>
    <cellStyle name="Comma 5 2 5 2 3 2 2" xfId="12845"/>
    <cellStyle name="Comma 5 2 5 2 3 2 2 2" xfId="23064"/>
    <cellStyle name="Comma 5 2 5 2 3 2 3" xfId="9266"/>
    <cellStyle name="Comma 5 2 5 2 3 2 4" xfId="18057"/>
    <cellStyle name="Comma 5 2 5 2 3 3" xfId="4819"/>
    <cellStyle name="Comma 5 2 5 2 3 3 2" xfId="13656"/>
    <cellStyle name="Comma 5 2 5 2 3 3 2 2" xfId="23907"/>
    <cellStyle name="Comma 5 2 5 2 3 3 3" xfId="10077"/>
    <cellStyle name="Comma 5 2 5 2 3 3 4" xfId="18900"/>
    <cellStyle name="Comma 5 2 5 2 3 4" xfId="2103"/>
    <cellStyle name="Comma 5 2 5 2 3 4 2" xfId="11468"/>
    <cellStyle name="Comma 5 2 5 2 3 4 3" xfId="21472"/>
    <cellStyle name="Comma 5 2 5 2 3 5" xfId="6274"/>
    <cellStyle name="Comma 5 2 5 2 3 5 2" xfId="15101"/>
    <cellStyle name="Comma 5 2 5 2 3 5 3" xfId="25352"/>
    <cellStyle name="Comma 5 2 5 2 3 6" xfId="7720"/>
    <cellStyle name="Comma 5 2 5 2 3 6 2" xfId="20663"/>
    <cellStyle name="Comma 5 2 5 2 3 7" xfId="16465"/>
    <cellStyle name="Comma 5 2 5 2 4" xfId="2994"/>
    <cellStyle name="Comma 5 2 5 2 4 2" xfId="5372"/>
    <cellStyle name="Comma 5 2 5 2 4 2 2" xfId="14209"/>
    <cellStyle name="Comma 5 2 5 2 4 2 2 2" xfId="24460"/>
    <cellStyle name="Comma 5 2 5 2 4 2 3" xfId="10630"/>
    <cellStyle name="Comma 5 2 5 2 4 2 4" xfId="19453"/>
    <cellStyle name="Comma 5 2 5 2 4 3" xfId="6827"/>
    <cellStyle name="Comma 5 2 5 2 4 3 2" xfId="15654"/>
    <cellStyle name="Comma 5 2 5 2 4 3 3" xfId="25905"/>
    <cellStyle name="Comma 5 2 5 2 4 4" xfId="8273"/>
    <cellStyle name="Comma 5 2 5 2 4 4 2" xfId="22355"/>
    <cellStyle name="Comma 5 2 5 2 4 5" xfId="17348"/>
    <cellStyle name="Comma 5 2 5 2 5" xfId="4328"/>
    <cellStyle name="Comma 5 2 5 2 5 2" xfId="13166"/>
    <cellStyle name="Comma 5 2 5 2 5 2 2" xfId="23417"/>
    <cellStyle name="Comma 5 2 5 2 5 3" xfId="9587"/>
    <cellStyle name="Comma 5 2 5 2 5 4" xfId="18410"/>
    <cellStyle name="Comma 5 2 5 2 6" xfId="1600"/>
    <cellStyle name="Comma 5 2 5 2 6 2" xfId="10977"/>
    <cellStyle name="Comma 5 2 5 2 6 3" xfId="20981"/>
    <cellStyle name="Comma 5 2 5 2 7" xfId="5784"/>
    <cellStyle name="Comma 5 2 5 2 7 2" xfId="14611"/>
    <cellStyle name="Comma 5 2 5 2 7 3" xfId="24862"/>
    <cellStyle name="Comma 5 2 5 2 8" xfId="7228"/>
    <cellStyle name="Comma 5 2 5 2 8 2" xfId="19954"/>
    <cellStyle name="Comma 5 2 5 2 9" xfId="15974"/>
    <cellStyle name="Comma 5 2 5 3" xfId="408"/>
    <cellStyle name="Comma 5 2 5 3 2" xfId="2894"/>
    <cellStyle name="Comma 5 2 5 3 2 2" xfId="12182"/>
    <cellStyle name="Comma 5 2 5 3 2 2 2" xfId="22255"/>
    <cellStyle name="Comma 5 2 5 3 2 3" xfId="6976"/>
    <cellStyle name="Comma 5 2 5 3 2 4" xfId="17248"/>
    <cellStyle name="Comma 5 2 5 3 3" xfId="4469"/>
    <cellStyle name="Comma 5 2 5 3 3 2" xfId="13307"/>
    <cellStyle name="Comma 5 2 5 3 3 2 2" xfId="23558"/>
    <cellStyle name="Comma 5 2 5 3 3 3" xfId="9728"/>
    <cellStyle name="Comma 5 2 5 3 3 4" xfId="18551"/>
    <cellStyle name="Comma 5 2 5 3 4" xfId="2003"/>
    <cellStyle name="Comma 5 2 5 3 4 2" xfId="11368"/>
    <cellStyle name="Comma 5 2 5 3 4 3" xfId="21372"/>
    <cellStyle name="Comma 5 2 5 3 5" xfId="5925"/>
    <cellStyle name="Comma 5 2 5 3 5 2" xfId="14752"/>
    <cellStyle name="Comma 5 2 5 3 5 3" xfId="25003"/>
    <cellStyle name="Comma 5 2 5 3 6" xfId="7369"/>
    <cellStyle name="Comma 5 2 5 3 6 2" xfId="19854"/>
    <cellStyle name="Comma 5 2 5 3 7" xfId="16365"/>
    <cellStyle name="Comma 5 2 5 4" xfId="654"/>
    <cellStyle name="Comma 5 2 5 4 2" xfId="3140"/>
    <cellStyle name="Comma 5 2 5 4 2 2" xfId="12283"/>
    <cellStyle name="Comma 5 2 5 4 2 2 2" xfId="22501"/>
    <cellStyle name="Comma 5 2 5 4 2 3" xfId="8705"/>
    <cellStyle name="Comma 5 2 5 4 2 4" xfId="17494"/>
    <cellStyle name="Comma 5 2 5 4 3" xfId="4818"/>
    <cellStyle name="Comma 5 2 5 4 3 2" xfId="13655"/>
    <cellStyle name="Comma 5 2 5 4 3 2 2" xfId="23906"/>
    <cellStyle name="Comma 5 2 5 4 3 3" xfId="10076"/>
    <cellStyle name="Comma 5 2 5 4 3 4" xfId="18899"/>
    <cellStyle name="Comma 5 2 5 4 4" xfId="2249"/>
    <cellStyle name="Comma 5 2 5 4 4 2" xfId="11614"/>
    <cellStyle name="Comma 5 2 5 4 4 3" xfId="21618"/>
    <cellStyle name="Comma 5 2 5 4 5" xfId="6273"/>
    <cellStyle name="Comma 5 2 5 4 5 2" xfId="15100"/>
    <cellStyle name="Comma 5 2 5 4 5 3" xfId="25351"/>
    <cellStyle name="Comma 5 2 5 4 6" xfId="7719"/>
    <cellStyle name="Comma 5 2 5 4 6 2" xfId="20100"/>
    <cellStyle name="Comma 5 2 5 4 7" xfId="16611"/>
    <cellStyle name="Comma 5 2 5 5" xfId="1180"/>
    <cellStyle name="Comma 5 2 5 5 2" xfId="3609"/>
    <cellStyle name="Comma 5 2 5 5 2 2" xfId="12745"/>
    <cellStyle name="Comma 5 2 5 5 2 2 2" xfId="22964"/>
    <cellStyle name="Comma 5 2 5 5 2 3" xfId="9166"/>
    <cellStyle name="Comma 5 2 5 5 2 4" xfId="17957"/>
    <cellStyle name="Comma 5 2 5 5 3" xfId="5272"/>
    <cellStyle name="Comma 5 2 5 5 3 2" xfId="14109"/>
    <cellStyle name="Comma 5 2 5 5 3 2 2" xfId="24360"/>
    <cellStyle name="Comma 5 2 5 5 3 3" xfId="10530"/>
    <cellStyle name="Comma 5 2 5 5 3 4" xfId="19353"/>
    <cellStyle name="Comma 5 2 5 5 4" xfId="1782"/>
    <cellStyle name="Comma 5 2 5 5 4 2" xfId="11151"/>
    <cellStyle name="Comma 5 2 5 5 4 3" xfId="21155"/>
    <cellStyle name="Comma 5 2 5 5 5" xfId="6727"/>
    <cellStyle name="Comma 5 2 5 5 5 2" xfId="15554"/>
    <cellStyle name="Comma 5 2 5 5 5 3" xfId="25805"/>
    <cellStyle name="Comma 5 2 5 5 6" xfId="8173"/>
    <cellStyle name="Comma 5 2 5 5 6 2" xfId="20563"/>
    <cellStyle name="Comma 5 2 5 5 7" xfId="16148"/>
    <cellStyle name="Comma 5 2 5 6" xfId="2677"/>
    <cellStyle name="Comma 5 2 5 6 2" xfId="11994"/>
    <cellStyle name="Comma 5 2 5 6 2 2" xfId="22038"/>
    <cellStyle name="Comma 5 2 5 6 3" xfId="8506"/>
    <cellStyle name="Comma 5 2 5 6 4" xfId="17031"/>
    <cellStyle name="Comma 5 2 5 7" xfId="4228"/>
    <cellStyle name="Comma 5 2 5 7 2" xfId="13066"/>
    <cellStyle name="Comma 5 2 5 7 2 2" xfId="23317"/>
    <cellStyle name="Comma 5 2 5 7 3" xfId="9487"/>
    <cellStyle name="Comma 5 2 5 7 4" xfId="18310"/>
    <cellStyle name="Comma 5 2 5 8" xfId="1500"/>
    <cellStyle name="Comma 5 2 5 8 2" xfId="10877"/>
    <cellStyle name="Comma 5 2 5 8 3" xfId="20881"/>
    <cellStyle name="Comma 5 2 5 9" xfId="5684"/>
    <cellStyle name="Comma 5 2 5 9 2" xfId="14511"/>
    <cellStyle name="Comma 5 2 5 9 3" xfId="24762"/>
    <cellStyle name="Comma 5 2 6" xfId="233"/>
    <cellStyle name="Comma 5 2 6 10" xfId="7071"/>
    <cellStyle name="Comma 5 2 6 10 2" xfId="19685"/>
    <cellStyle name="Comma 5 2 6 11" xfId="15817"/>
    <cellStyle name="Comma 5 2 6 2" xfId="556"/>
    <cellStyle name="Comma 5 2 6 2 2" xfId="657"/>
    <cellStyle name="Comma 5 2 6 2 2 2" xfId="3143"/>
    <cellStyle name="Comma 5 2 6 2 2 2 2" xfId="12286"/>
    <cellStyle name="Comma 5 2 6 2 2 2 2 2" xfId="22504"/>
    <cellStyle name="Comma 5 2 6 2 2 2 3" xfId="8708"/>
    <cellStyle name="Comma 5 2 6 2 2 2 4" xfId="17497"/>
    <cellStyle name="Comma 5 2 6 2 2 3" xfId="4472"/>
    <cellStyle name="Comma 5 2 6 2 2 3 2" xfId="13310"/>
    <cellStyle name="Comma 5 2 6 2 2 3 2 2" xfId="23561"/>
    <cellStyle name="Comma 5 2 6 2 2 3 3" xfId="9731"/>
    <cellStyle name="Comma 5 2 6 2 2 3 4" xfId="18554"/>
    <cellStyle name="Comma 5 2 6 2 2 4" xfId="2252"/>
    <cellStyle name="Comma 5 2 6 2 2 4 2" xfId="11617"/>
    <cellStyle name="Comma 5 2 6 2 2 4 3" xfId="21621"/>
    <cellStyle name="Comma 5 2 6 2 2 5" xfId="5928"/>
    <cellStyle name="Comma 5 2 6 2 2 5 2" xfId="14755"/>
    <cellStyle name="Comma 5 2 6 2 2 5 3" xfId="25006"/>
    <cellStyle name="Comma 5 2 6 2 2 6" xfId="7372"/>
    <cellStyle name="Comma 5 2 6 2 2 6 2" xfId="20103"/>
    <cellStyle name="Comma 5 2 6 2 2 7" xfId="16614"/>
    <cellStyle name="Comma 5 2 6 2 3" xfId="1328"/>
    <cellStyle name="Comma 5 2 6 2 3 2" xfId="3757"/>
    <cellStyle name="Comma 5 2 6 2 3 2 2" xfId="12893"/>
    <cellStyle name="Comma 5 2 6 2 3 2 2 2" xfId="23112"/>
    <cellStyle name="Comma 5 2 6 2 3 2 3" xfId="9314"/>
    <cellStyle name="Comma 5 2 6 2 3 2 4" xfId="18105"/>
    <cellStyle name="Comma 5 2 6 2 3 3" xfId="4821"/>
    <cellStyle name="Comma 5 2 6 2 3 3 2" xfId="13658"/>
    <cellStyle name="Comma 5 2 6 2 3 3 2 2" xfId="23909"/>
    <cellStyle name="Comma 5 2 6 2 3 3 3" xfId="10079"/>
    <cellStyle name="Comma 5 2 6 2 3 3 4" xfId="18902"/>
    <cellStyle name="Comma 5 2 6 2 3 4" xfId="2151"/>
    <cellStyle name="Comma 5 2 6 2 3 4 2" xfId="11516"/>
    <cellStyle name="Comma 5 2 6 2 3 4 3" xfId="21520"/>
    <cellStyle name="Comma 5 2 6 2 3 5" xfId="6276"/>
    <cellStyle name="Comma 5 2 6 2 3 5 2" xfId="15103"/>
    <cellStyle name="Comma 5 2 6 2 3 5 3" xfId="25354"/>
    <cellStyle name="Comma 5 2 6 2 3 6" xfId="7722"/>
    <cellStyle name="Comma 5 2 6 2 3 6 2" xfId="20711"/>
    <cellStyle name="Comma 5 2 6 2 3 7" xfId="16513"/>
    <cellStyle name="Comma 5 2 6 2 4" xfId="3042"/>
    <cellStyle name="Comma 5 2 6 2 4 2" xfId="5420"/>
    <cellStyle name="Comma 5 2 6 2 4 2 2" xfId="14257"/>
    <cellStyle name="Comma 5 2 6 2 4 2 2 2" xfId="24508"/>
    <cellStyle name="Comma 5 2 6 2 4 2 3" xfId="10678"/>
    <cellStyle name="Comma 5 2 6 2 4 2 4" xfId="19501"/>
    <cellStyle name="Comma 5 2 6 2 4 3" xfId="6875"/>
    <cellStyle name="Comma 5 2 6 2 4 3 2" xfId="15702"/>
    <cellStyle name="Comma 5 2 6 2 4 3 3" xfId="25953"/>
    <cellStyle name="Comma 5 2 6 2 4 4" xfId="8321"/>
    <cellStyle name="Comma 5 2 6 2 4 4 2" xfId="22403"/>
    <cellStyle name="Comma 5 2 6 2 4 5" xfId="17396"/>
    <cellStyle name="Comma 5 2 6 2 5" xfId="4376"/>
    <cellStyle name="Comma 5 2 6 2 5 2" xfId="13214"/>
    <cellStyle name="Comma 5 2 6 2 5 2 2" xfId="23465"/>
    <cellStyle name="Comma 5 2 6 2 5 3" xfId="9635"/>
    <cellStyle name="Comma 5 2 6 2 5 4" xfId="18458"/>
    <cellStyle name="Comma 5 2 6 2 6" xfId="1648"/>
    <cellStyle name="Comma 5 2 6 2 6 2" xfId="11025"/>
    <cellStyle name="Comma 5 2 6 2 6 3" xfId="21029"/>
    <cellStyle name="Comma 5 2 6 2 7" xfId="5832"/>
    <cellStyle name="Comma 5 2 6 2 7 2" xfId="14659"/>
    <cellStyle name="Comma 5 2 6 2 7 3" xfId="24910"/>
    <cellStyle name="Comma 5 2 6 2 8" xfId="7276"/>
    <cellStyle name="Comma 5 2 6 2 8 2" xfId="20002"/>
    <cellStyle name="Comma 5 2 6 2 9" xfId="16022"/>
    <cellStyle name="Comma 5 2 6 3" xfId="351"/>
    <cellStyle name="Comma 5 2 6 3 2" xfId="2837"/>
    <cellStyle name="Comma 5 2 6 3 2 2" xfId="12125"/>
    <cellStyle name="Comma 5 2 6 3 2 2 2" xfId="22198"/>
    <cellStyle name="Comma 5 2 6 3 2 3" xfId="8476"/>
    <cellStyle name="Comma 5 2 6 3 2 4" xfId="17191"/>
    <cellStyle name="Comma 5 2 6 3 3" xfId="4471"/>
    <cellStyle name="Comma 5 2 6 3 3 2" xfId="13309"/>
    <cellStyle name="Comma 5 2 6 3 3 2 2" xfId="23560"/>
    <cellStyle name="Comma 5 2 6 3 3 3" xfId="9730"/>
    <cellStyle name="Comma 5 2 6 3 3 4" xfId="18553"/>
    <cellStyle name="Comma 5 2 6 3 4" xfId="1946"/>
    <cellStyle name="Comma 5 2 6 3 4 2" xfId="11311"/>
    <cellStyle name="Comma 5 2 6 3 4 3" xfId="21315"/>
    <cellStyle name="Comma 5 2 6 3 5" xfId="5927"/>
    <cellStyle name="Comma 5 2 6 3 5 2" xfId="14754"/>
    <cellStyle name="Comma 5 2 6 3 5 3" xfId="25005"/>
    <cellStyle name="Comma 5 2 6 3 6" xfId="7371"/>
    <cellStyle name="Comma 5 2 6 3 6 2" xfId="19797"/>
    <cellStyle name="Comma 5 2 6 3 7" xfId="16308"/>
    <cellStyle name="Comma 5 2 6 4" xfId="656"/>
    <cellStyle name="Comma 5 2 6 4 2" xfId="3142"/>
    <cellStyle name="Comma 5 2 6 4 2 2" xfId="12285"/>
    <cellStyle name="Comma 5 2 6 4 2 2 2" xfId="22503"/>
    <cellStyle name="Comma 5 2 6 4 2 3" xfId="8707"/>
    <cellStyle name="Comma 5 2 6 4 2 4" xfId="17496"/>
    <cellStyle name="Comma 5 2 6 4 3" xfId="4820"/>
    <cellStyle name="Comma 5 2 6 4 3 2" xfId="13657"/>
    <cellStyle name="Comma 5 2 6 4 3 2 2" xfId="23908"/>
    <cellStyle name="Comma 5 2 6 4 3 3" xfId="10078"/>
    <cellStyle name="Comma 5 2 6 4 3 4" xfId="18901"/>
    <cellStyle name="Comma 5 2 6 4 4" xfId="2251"/>
    <cellStyle name="Comma 5 2 6 4 4 2" xfId="11616"/>
    <cellStyle name="Comma 5 2 6 4 4 3" xfId="21620"/>
    <cellStyle name="Comma 5 2 6 4 5" xfId="6275"/>
    <cellStyle name="Comma 5 2 6 4 5 2" xfId="15102"/>
    <cellStyle name="Comma 5 2 6 4 5 3" xfId="25353"/>
    <cellStyle name="Comma 5 2 6 4 6" xfId="7721"/>
    <cellStyle name="Comma 5 2 6 4 6 2" xfId="20102"/>
    <cellStyle name="Comma 5 2 6 4 7" xfId="16613"/>
    <cellStyle name="Comma 5 2 6 5" xfId="1123"/>
    <cellStyle name="Comma 5 2 6 5 2" xfId="3552"/>
    <cellStyle name="Comma 5 2 6 5 2 2" xfId="12688"/>
    <cellStyle name="Comma 5 2 6 5 2 2 2" xfId="22907"/>
    <cellStyle name="Comma 5 2 6 5 2 3" xfId="9109"/>
    <cellStyle name="Comma 5 2 6 5 2 4" xfId="17900"/>
    <cellStyle name="Comma 5 2 6 5 3" xfId="5215"/>
    <cellStyle name="Comma 5 2 6 5 3 2" xfId="14052"/>
    <cellStyle name="Comma 5 2 6 5 3 2 2" xfId="24303"/>
    <cellStyle name="Comma 5 2 6 5 3 3" xfId="10473"/>
    <cellStyle name="Comma 5 2 6 5 3 4" xfId="19296"/>
    <cellStyle name="Comma 5 2 6 5 4" xfId="1831"/>
    <cellStyle name="Comma 5 2 6 5 4 2" xfId="11199"/>
    <cellStyle name="Comma 5 2 6 5 4 3" xfId="21203"/>
    <cellStyle name="Comma 5 2 6 5 5" xfId="6670"/>
    <cellStyle name="Comma 5 2 6 5 5 2" xfId="15497"/>
    <cellStyle name="Comma 5 2 6 5 5 3" xfId="25748"/>
    <cellStyle name="Comma 5 2 6 5 6" xfId="8116"/>
    <cellStyle name="Comma 5 2 6 5 6 2" xfId="20506"/>
    <cellStyle name="Comma 5 2 6 5 7" xfId="16196"/>
    <cellStyle name="Comma 5 2 6 6" xfId="2725"/>
    <cellStyle name="Comma 5 2 6 6 2" xfId="12042"/>
    <cellStyle name="Comma 5 2 6 6 2 2" xfId="22086"/>
    <cellStyle name="Comma 5 2 6 6 3" xfId="8422"/>
    <cellStyle name="Comma 5 2 6 6 4" xfId="17079"/>
    <cellStyle name="Comma 5 2 6 7" xfId="4171"/>
    <cellStyle name="Comma 5 2 6 7 2" xfId="13009"/>
    <cellStyle name="Comma 5 2 6 7 2 2" xfId="23260"/>
    <cellStyle name="Comma 5 2 6 7 3" xfId="9430"/>
    <cellStyle name="Comma 5 2 6 7 4" xfId="18253"/>
    <cellStyle name="Comma 5 2 6 8" xfId="1443"/>
    <cellStyle name="Comma 5 2 6 8 2" xfId="10820"/>
    <cellStyle name="Comma 5 2 6 8 3" xfId="20824"/>
    <cellStyle name="Comma 5 2 6 9" xfId="5627"/>
    <cellStyle name="Comma 5 2 6 9 2" xfId="14454"/>
    <cellStyle name="Comma 5 2 6 9 3" xfId="24705"/>
    <cellStyle name="Comma 5 2 7" xfId="290"/>
    <cellStyle name="Comma 5 2 7 10" xfId="16078"/>
    <cellStyle name="Comma 5 2 7 2" xfId="612"/>
    <cellStyle name="Comma 5 2 7 2 2" xfId="3098"/>
    <cellStyle name="Comma 5 2 7 2 2 2" xfId="12241"/>
    <cellStyle name="Comma 5 2 7 2 2 2 2" xfId="22459"/>
    <cellStyle name="Comma 5 2 7 2 2 3" xfId="8663"/>
    <cellStyle name="Comma 5 2 7 2 2 4" xfId="17452"/>
    <cellStyle name="Comma 5 2 7 2 3" xfId="4473"/>
    <cellStyle name="Comma 5 2 7 2 3 2" xfId="13311"/>
    <cellStyle name="Comma 5 2 7 2 3 2 2" xfId="23562"/>
    <cellStyle name="Comma 5 2 7 2 3 3" xfId="9732"/>
    <cellStyle name="Comma 5 2 7 2 3 4" xfId="18555"/>
    <cellStyle name="Comma 5 2 7 2 4" xfId="2207"/>
    <cellStyle name="Comma 5 2 7 2 4 2" xfId="11572"/>
    <cellStyle name="Comma 5 2 7 2 4 3" xfId="21576"/>
    <cellStyle name="Comma 5 2 7 2 5" xfId="5929"/>
    <cellStyle name="Comma 5 2 7 2 5 2" xfId="14756"/>
    <cellStyle name="Comma 5 2 7 2 5 3" xfId="25007"/>
    <cellStyle name="Comma 5 2 7 2 6" xfId="7373"/>
    <cellStyle name="Comma 5 2 7 2 6 2" xfId="20058"/>
    <cellStyle name="Comma 5 2 7 2 7" xfId="16569"/>
    <cellStyle name="Comma 5 2 7 3" xfId="658"/>
    <cellStyle name="Comma 5 2 7 3 2" xfId="3144"/>
    <cellStyle name="Comma 5 2 7 3 2 2" xfId="12287"/>
    <cellStyle name="Comma 5 2 7 3 2 2 2" xfId="22505"/>
    <cellStyle name="Comma 5 2 7 3 2 3" xfId="8709"/>
    <cellStyle name="Comma 5 2 7 3 2 4" xfId="17498"/>
    <cellStyle name="Comma 5 2 7 3 3" xfId="4822"/>
    <cellStyle name="Comma 5 2 7 3 3 2" xfId="13659"/>
    <cellStyle name="Comma 5 2 7 3 3 2 2" xfId="23910"/>
    <cellStyle name="Comma 5 2 7 3 3 3" xfId="10080"/>
    <cellStyle name="Comma 5 2 7 3 3 4" xfId="18903"/>
    <cellStyle name="Comma 5 2 7 3 4" xfId="2253"/>
    <cellStyle name="Comma 5 2 7 3 4 2" xfId="11618"/>
    <cellStyle name="Comma 5 2 7 3 4 3" xfId="21622"/>
    <cellStyle name="Comma 5 2 7 3 5" xfId="6277"/>
    <cellStyle name="Comma 5 2 7 3 5 2" xfId="15104"/>
    <cellStyle name="Comma 5 2 7 3 5 3" xfId="25355"/>
    <cellStyle name="Comma 5 2 7 3 6" xfId="7723"/>
    <cellStyle name="Comma 5 2 7 3 6 2" xfId="20104"/>
    <cellStyle name="Comma 5 2 7 3 7" xfId="16615"/>
    <cellStyle name="Comma 5 2 7 4" xfId="1384"/>
    <cellStyle name="Comma 5 2 7 4 2" xfId="3813"/>
    <cellStyle name="Comma 5 2 7 4 2 2" xfId="12949"/>
    <cellStyle name="Comma 5 2 7 4 2 2 2" xfId="23168"/>
    <cellStyle name="Comma 5 2 7 4 2 3" xfId="9370"/>
    <cellStyle name="Comma 5 2 7 4 2 4" xfId="18161"/>
    <cellStyle name="Comma 5 2 7 4 3" xfId="5476"/>
    <cellStyle name="Comma 5 2 7 4 3 2" xfId="14313"/>
    <cellStyle name="Comma 5 2 7 4 3 2 2" xfId="24564"/>
    <cellStyle name="Comma 5 2 7 4 3 3" xfId="10734"/>
    <cellStyle name="Comma 5 2 7 4 3 4" xfId="19557"/>
    <cellStyle name="Comma 5 2 7 4 4" xfId="1887"/>
    <cellStyle name="Comma 5 2 7 4 4 2" xfId="11255"/>
    <cellStyle name="Comma 5 2 7 4 4 3" xfId="21259"/>
    <cellStyle name="Comma 5 2 7 4 5" xfId="6931"/>
    <cellStyle name="Comma 5 2 7 4 5 2" xfId="15758"/>
    <cellStyle name="Comma 5 2 7 4 5 3" xfId="26009"/>
    <cellStyle name="Comma 5 2 7 4 6" xfId="8377"/>
    <cellStyle name="Comma 5 2 7 4 6 2" xfId="20767"/>
    <cellStyle name="Comma 5 2 7 4 7" xfId="16252"/>
    <cellStyle name="Comma 5 2 7 5" xfId="2781"/>
    <cellStyle name="Comma 5 2 7 5 2" xfId="12098"/>
    <cellStyle name="Comma 5 2 7 5 2 2" xfId="22142"/>
    <cellStyle name="Comma 5 2 7 5 3" xfId="8542"/>
    <cellStyle name="Comma 5 2 7 5 4" xfId="17135"/>
    <cellStyle name="Comma 5 2 7 6" xfId="4432"/>
    <cellStyle name="Comma 5 2 7 6 2" xfId="13270"/>
    <cellStyle name="Comma 5 2 7 6 2 2" xfId="23521"/>
    <cellStyle name="Comma 5 2 7 6 3" xfId="9691"/>
    <cellStyle name="Comma 5 2 7 6 4" xfId="18514"/>
    <cellStyle name="Comma 5 2 7 7" xfId="1704"/>
    <cellStyle name="Comma 5 2 7 7 2" xfId="11081"/>
    <cellStyle name="Comma 5 2 7 7 3" xfId="21085"/>
    <cellStyle name="Comma 5 2 7 8" xfId="5888"/>
    <cellStyle name="Comma 5 2 7 8 2" xfId="14715"/>
    <cellStyle name="Comma 5 2 7 8 3" xfId="24966"/>
    <cellStyle name="Comma 5 2 7 9" xfId="7332"/>
    <cellStyle name="Comma 5 2 7 9 2" xfId="19741"/>
    <cellStyle name="Comma 5 2 8" xfId="451"/>
    <cellStyle name="Comma 5 2 8 2" xfId="659"/>
    <cellStyle name="Comma 5 2 8 2 2" xfId="3145"/>
    <cellStyle name="Comma 5 2 8 2 2 2" xfId="12288"/>
    <cellStyle name="Comma 5 2 8 2 2 2 2" xfId="22506"/>
    <cellStyle name="Comma 5 2 8 2 2 3" xfId="8710"/>
    <cellStyle name="Comma 5 2 8 2 2 4" xfId="17499"/>
    <cellStyle name="Comma 5 2 8 2 3" xfId="4474"/>
    <cellStyle name="Comma 5 2 8 2 3 2" xfId="13312"/>
    <cellStyle name="Comma 5 2 8 2 3 2 2" xfId="23563"/>
    <cellStyle name="Comma 5 2 8 2 3 3" xfId="9733"/>
    <cellStyle name="Comma 5 2 8 2 3 4" xfId="18556"/>
    <cellStyle name="Comma 5 2 8 2 4" xfId="2254"/>
    <cellStyle name="Comma 5 2 8 2 4 2" xfId="11619"/>
    <cellStyle name="Comma 5 2 8 2 4 3" xfId="21623"/>
    <cellStyle name="Comma 5 2 8 2 5" xfId="5930"/>
    <cellStyle name="Comma 5 2 8 2 5 2" xfId="14757"/>
    <cellStyle name="Comma 5 2 8 2 5 3" xfId="25008"/>
    <cellStyle name="Comma 5 2 8 2 6" xfId="7374"/>
    <cellStyle name="Comma 5 2 8 2 6 2" xfId="20105"/>
    <cellStyle name="Comma 5 2 8 2 7" xfId="16616"/>
    <cellStyle name="Comma 5 2 8 3" xfId="1223"/>
    <cellStyle name="Comma 5 2 8 3 2" xfId="3652"/>
    <cellStyle name="Comma 5 2 8 3 2 2" xfId="12788"/>
    <cellStyle name="Comma 5 2 8 3 2 2 2" xfId="23007"/>
    <cellStyle name="Comma 5 2 8 3 2 3" xfId="9209"/>
    <cellStyle name="Comma 5 2 8 3 2 4" xfId="18000"/>
    <cellStyle name="Comma 5 2 8 3 3" xfId="4823"/>
    <cellStyle name="Comma 5 2 8 3 3 2" xfId="13660"/>
    <cellStyle name="Comma 5 2 8 3 3 2 2" xfId="23911"/>
    <cellStyle name="Comma 5 2 8 3 3 3" xfId="10081"/>
    <cellStyle name="Comma 5 2 8 3 3 4" xfId="18904"/>
    <cellStyle name="Comma 5 2 8 3 4" xfId="2046"/>
    <cellStyle name="Comma 5 2 8 3 4 2" xfId="11411"/>
    <cellStyle name="Comma 5 2 8 3 4 3" xfId="21415"/>
    <cellStyle name="Comma 5 2 8 3 5" xfId="6278"/>
    <cellStyle name="Comma 5 2 8 3 5 2" xfId="15105"/>
    <cellStyle name="Comma 5 2 8 3 5 3" xfId="25356"/>
    <cellStyle name="Comma 5 2 8 3 6" xfId="7724"/>
    <cellStyle name="Comma 5 2 8 3 6 2" xfId="20606"/>
    <cellStyle name="Comma 5 2 8 3 7" xfId="16408"/>
    <cellStyle name="Comma 5 2 8 4" xfId="2937"/>
    <cellStyle name="Comma 5 2 8 4 2" xfId="5315"/>
    <cellStyle name="Comma 5 2 8 4 2 2" xfId="14152"/>
    <cellStyle name="Comma 5 2 8 4 2 2 2" xfId="24403"/>
    <cellStyle name="Comma 5 2 8 4 2 3" xfId="10573"/>
    <cellStyle name="Comma 5 2 8 4 2 4" xfId="19396"/>
    <cellStyle name="Comma 5 2 8 4 3" xfId="6770"/>
    <cellStyle name="Comma 5 2 8 4 3 2" xfId="15597"/>
    <cellStyle name="Comma 5 2 8 4 3 3" xfId="25848"/>
    <cellStyle name="Comma 5 2 8 4 4" xfId="8216"/>
    <cellStyle name="Comma 5 2 8 4 4 2" xfId="22298"/>
    <cellStyle name="Comma 5 2 8 4 5" xfId="17291"/>
    <cellStyle name="Comma 5 2 8 5" xfId="4271"/>
    <cellStyle name="Comma 5 2 8 5 2" xfId="13109"/>
    <cellStyle name="Comma 5 2 8 5 2 2" xfId="23360"/>
    <cellStyle name="Comma 5 2 8 5 3" xfId="9530"/>
    <cellStyle name="Comma 5 2 8 5 4" xfId="18353"/>
    <cellStyle name="Comma 5 2 8 6" xfId="1543"/>
    <cellStyle name="Comma 5 2 8 6 2" xfId="10920"/>
    <cellStyle name="Comma 5 2 8 6 3" xfId="20924"/>
    <cellStyle name="Comma 5 2 8 7" xfId="5727"/>
    <cellStyle name="Comma 5 2 8 7 2" xfId="14554"/>
    <cellStyle name="Comma 5 2 8 7 3" xfId="24805"/>
    <cellStyle name="Comma 5 2 8 8" xfId="7171"/>
    <cellStyle name="Comma 5 2 8 8 2" xfId="19897"/>
    <cellStyle name="Comma 5 2 8 9" xfId="15917"/>
    <cellStyle name="Comma 5 2 9" xfId="312"/>
    <cellStyle name="Comma 5 2 9 2" xfId="660"/>
    <cellStyle name="Comma 5 2 9 2 2" xfId="3146"/>
    <cellStyle name="Comma 5 2 9 2 2 2" xfId="12289"/>
    <cellStyle name="Comma 5 2 9 2 2 2 2" xfId="22507"/>
    <cellStyle name="Comma 5 2 9 2 2 3" xfId="8711"/>
    <cellStyle name="Comma 5 2 9 2 2 4" xfId="17500"/>
    <cellStyle name="Comma 5 2 9 2 3" xfId="4475"/>
    <cellStyle name="Comma 5 2 9 2 3 2" xfId="13313"/>
    <cellStyle name="Comma 5 2 9 2 3 2 2" xfId="23564"/>
    <cellStyle name="Comma 5 2 9 2 3 3" xfId="9734"/>
    <cellStyle name="Comma 5 2 9 2 3 4" xfId="18557"/>
    <cellStyle name="Comma 5 2 9 2 4" xfId="2255"/>
    <cellStyle name="Comma 5 2 9 2 4 2" xfId="11620"/>
    <cellStyle name="Comma 5 2 9 2 4 3" xfId="21624"/>
    <cellStyle name="Comma 5 2 9 2 5" xfId="5931"/>
    <cellStyle name="Comma 5 2 9 2 5 2" xfId="14758"/>
    <cellStyle name="Comma 5 2 9 2 5 3" xfId="25009"/>
    <cellStyle name="Comma 5 2 9 2 6" xfId="7375"/>
    <cellStyle name="Comma 5 2 9 2 6 2" xfId="20106"/>
    <cellStyle name="Comma 5 2 9 2 7" xfId="16617"/>
    <cellStyle name="Comma 5 2 9 3" xfId="1084"/>
    <cellStyle name="Comma 5 2 9 3 2" xfId="3513"/>
    <cellStyle name="Comma 5 2 9 3 2 2" xfId="12649"/>
    <cellStyle name="Comma 5 2 9 3 2 2 2" xfId="22868"/>
    <cellStyle name="Comma 5 2 9 3 2 3" xfId="9071"/>
    <cellStyle name="Comma 5 2 9 3 2 4" xfId="17861"/>
    <cellStyle name="Comma 5 2 9 3 3" xfId="4824"/>
    <cellStyle name="Comma 5 2 9 3 3 2" xfId="13661"/>
    <cellStyle name="Comma 5 2 9 3 3 2 2" xfId="23912"/>
    <cellStyle name="Comma 5 2 9 3 3 3" xfId="10082"/>
    <cellStyle name="Comma 5 2 9 3 3 4" xfId="18905"/>
    <cellStyle name="Comma 5 2 9 3 4" xfId="2586"/>
    <cellStyle name="Comma 5 2 9 3 4 2" xfId="11950"/>
    <cellStyle name="Comma 5 2 9 3 4 3" xfId="21954"/>
    <cellStyle name="Comma 5 2 9 3 5" xfId="6279"/>
    <cellStyle name="Comma 5 2 9 3 5 2" xfId="15106"/>
    <cellStyle name="Comma 5 2 9 3 5 3" xfId="25357"/>
    <cellStyle name="Comma 5 2 9 3 6" xfId="7725"/>
    <cellStyle name="Comma 5 2 9 3 6 2" xfId="20467"/>
    <cellStyle name="Comma 5 2 9 3 7" xfId="16947"/>
    <cellStyle name="Comma 5 2 9 4" xfId="2798"/>
    <cellStyle name="Comma 5 2 9 4 2" xfId="5176"/>
    <cellStyle name="Comma 5 2 9 4 2 2" xfId="14013"/>
    <cellStyle name="Comma 5 2 9 4 2 2 2" xfId="24264"/>
    <cellStyle name="Comma 5 2 9 4 2 3" xfId="10434"/>
    <cellStyle name="Comma 5 2 9 4 2 4" xfId="19257"/>
    <cellStyle name="Comma 5 2 9 4 3" xfId="6631"/>
    <cellStyle name="Comma 5 2 9 4 3 2" xfId="15458"/>
    <cellStyle name="Comma 5 2 9 4 3 3" xfId="25709"/>
    <cellStyle name="Comma 5 2 9 4 4" xfId="8077"/>
    <cellStyle name="Comma 5 2 9 4 4 2" xfId="22159"/>
    <cellStyle name="Comma 5 2 9 4 5" xfId="17152"/>
    <cellStyle name="Comma 5 2 9 5" xfId="4130"/>
    <cellStyle name="Comma 5 2 9 5 2" xfId="12968"/>
    <cellStyle name="Comma 5 2 9 5 2 2" xfId="23219"/>
    <cellStyle name="Comma 5 2 9 5 3" xfId="9389"/>
    <cellStyle name="Comma 5 2 9 5 4" xfId="18212"/>
    <cellStyle name="Comma 5 2 9 6" xfId="1907"/>
    <cellStyle name="Comma 5 2 9 6 2" xfId="11272"/>
    <cellStyle name="Comma 5 2 9 6 3" xfId="21276"/>
    <cellStyle name="Comma 5 2 9 7" xfId="5588"/>
    <cellStyle name="Comma 5 2 9 7 2" xfId="14415"/>
    <cellStyle name="Comma 5 2 9 7 3" xfId="24666"/>
    <cellStyle name="Comma 5 2 9 8" xfId="7032"/>
    <cellStyle name="Comma 5 2 9 8 2" xfId="19758"/>
    <cellStyle name="Comma 5 2 9 9" xfId="16269"/>
    <cellStyle name="Comma 5 3" xfId="119"/>
    <cellStyle name="Comma 5 3 10" xfId="4109"/>
    <cellStyle name="Comma 5 3 10 2" xfId="5567"/>
    <cellStyle name="Comma 5 3 10 2 2" xfId="14394"/>
    <cellStyle name="Comma 5 3 10 2 3" xfId="24645"/>
    <cellStyle name="Comma 5 3 10 3" xfId="7011"/>
    <cellStyle name="Comma 5 3 10 3 2" xfId="23198"/>
    <cellStyle name="Comma 5 3 10 4" xfId="18191"/>
    <cellStyle name="Comma 5 3 11" xfId="1428"/>
    <cellStyle name="Comma 5 3 11 2" xfId="10805"/>
    <cellStyle name="Comma 5 3 11 3" xfId="20809"/>
    <cellStyle name="Comma 5 3 12" xfId="5537"/>
    <cellStyle name="Comma 5 3 12 2" xfId="14364"/>
    <cellStyle name="Comma 5 3 12 3" xfId="24615"/>
    <cellStyle name="Comma 5 3 13" xfId="6981"/>
    <cellStyle name="Comma 5 3 13 2" xfId="19592"/>
    <cellStyle name="Comma 5 3 14" xfId="15802"/>
    <cellStyle name="Comma 5 3 2" xfId="163"/>
    <cellStyle name="Comma 5 3 2 10" xfId="5669"/>
    <cellStyle name="Comma 5 3 2 10 2" xfId="14496"/>
    <cellStyle name="Comma 5 3 2 10 3" xfId="24747"/>
    <cellStyle name="Comma 5 3 2 11" xfId="7113"/>
    <cellStyle name="Comma 5 3 2 11 2" xfId="19622"/>
    <cellStyle name="Comma 5 3 2 12" xfId="15859"/>
    <cellStyle name="Comma 5 3 2 2" xfId="275"/>
    <cellStyle name="Comma 5 3 2 2 10" xfId="16063"/>
    <cellStyle name="Comma 5 3 2 2 2" xfId="597"/>
    <cellStyle name="Comma 5 3 2 2 2 2" xfId="3083"/>
    <cellStyle name="Comma 5 3 2 2 2 2 2" xfId="12230"/>
    <cellStyle name="Comma 5 3 2 2 2 2 2 2" xfId="22444"/>
    <cellStyle name="Comma 5 3 2 2 2 2 3" xfId="8652"/>
    <cellStyle name="Comma 5 3 2 2 2 2 4" xfId="17437"/>
    <cellStyle name="Comma 5 3 2 2 2 3" xfId="4478"/>
    <cellStyle name="Comma 5 3 2 2 2 3 2" xfId="13316"/>
    <cellStyle name="Comma 5 3 2 2 2 3 2 2" xfId="23567"/>
    <cellStyle name="Comma 5 3 2 2 2 3 3" xfId="9737"/>
    <cellStyle name="Comma 5 3 2 2 2 3 4" xfId="18560"/>
    <cellStyle name="Comma 5 3 2 2 2 4" xfId="2192"/>
    <cellStyle name="Comma 5 3 2 2 2 4 2" xfId="11557"/>
    <cellStyle name="Comma 5 3 2 2 2 4 3" xfId="21561"/>
    <cellStyle name="Comma 5 3 2 2 2 5" xfId="5934"/>
    <cellStyle name="Comma 5 3 2 2 2 5 2" xfId="14761"/>
    <cellStyle name="Comma 5 3 2 2 2 5 3" xfId="25012"/>
    <cellStyle name="Comma 5 3 2 2 2 6" xfId="7378"/>
    <cellStyle name="Comma 5 3 2 2 2 6 2" xfId="20043"/>
    <cellStyle name="Comma 5 3 2 2 2 7" xfId="16554"/>
    <cellStyle name="Comma 5 3 2 2 3" xfId="663"/>
    <cellStyle name="Comma 5 3 2 2 3 2" xfId="3149"/>
    <cellStyle name="Comma 5 3 2 2 3 2 2" xfId="12292"/>
    <cellStyle name="Comma 5 3 2 2 3 2 2 2" xfId="22510"/>
    <cellStyle name="Comma 5 3 2 2 3 2 3" xfId="8714"/>
    <cellStyle name="Comma 5 3 2 2 3 2 4" xfId="17503"/>
    <cellStyle name="Comma 5 3 2 2 3 3" xfId="4827"/>
    <cellStyle name="Comma 5 3 2 2 3 3 2" xfId="13664"/>
    <cellStyle name="Comma 5 3 2 2 3 3 2 2" xfId="23915"/>
    <cellStyle name="Comma 5 3 2 2 3 3 3" xfId="10085"/>
    <cellStyle name="Comma 5 3 2 2 3 3 4" xfId="18908"/>
    <cellStyle name="Comma 5 3 2 2 3 4" xfId="2258"/>
    <cellStyle name="Comma 5 3 2 2 3 4 2" xfId="11623"/>
    <cellStyle name="Comma 5 3 2 2 3 4 3" xfId="21627"/>
    <cellStyle name="Comma 5 3 2 2 3 5" xfId="6282"/>
    <cellStyle name="Comma 5 3 2 2 3 5 2" xfId="15109"/>
    <cellStyle name="Comma 5 3 2 2 3 5 3" xfId="25360"/>
    <cellStyle name="Comma 5 3 2 2 3 6" xfId="7728"/>
    <cellStyle name="Comma 5 3 2 2 3 6 2" xfId="20109"/>
    <cellStyle name="Comma 5 3 2 2 3 7" xfId="16620"/>
    <cellStyle name="Comma 5 3 2 2 4" xfId="1369"/>
    <cellStyle name="Comma 5 3 2 2 4 2" xfId="3798"/>
    <cellStyle name="Comma 5 3 2 2 4 2 2" xfId="12934"/>
    <cellStyle name="Comma 5 3 2 2 4 2 2 2" xfId="23153"/>
    <cellStyle name="Comma 5 3 2 2 4 2 3" xfId="9355"/>
    <cellStyle name="Comma 5 3 2 2 4 2 4" xfId="18146"/>
    <cellStyle name="Comma 5 3 2 2 4 3" xfId="5461"/>
    <cellStyle name="Comma 5 3 2 2 4 3 2" xfId="14298"/>
    <cellStyle name="Comma 5 3 2 2 4 3 2 2" xfId="24549"/>
    <cellStyle name="Comma 5 3 2 2 4 3 3" xfId="10719"/>
    <cellStyle name="Comma 5 3 2 2 4 3 4" xfId="19542"/>
    <cellStyle name="Comma 5 3 2 2 4 4" xfId="1872"/>
    <cellStyle name="Comma 5 3 2 2 4 4 2" xfId="11240"/>
    <cellStyle name="Comma 5 3 2 2 4 4 3" xfId="21244"/>
    <cellStyle name="Comma 5 3 2 2 4 5" xfId="6916"/>
    <cellStyle name="Comma 5 3 2 2 4 5 2" xfId="15743"/>
    <cellStyle name="Comma 5 3 2 2 4 5 3" xfId="25994"/>
    <cellStyle name="Comma 5 3 2 2 4 6" xfId="8362"/>
    <cellStyle name="Comma 5 3 2 2 4 6 2" xfId="20752"/>
    <cellStyle name="Comma 5 3 2 2 4 7" xfId="16237"/>
    <cellStyle name="Comma 5 3 2 2 5" xfId="2766"/>
    <cellStyle name="Comma 5 3 2 2 5 2" xfId="12083"/>
    <cellStyle name="Comma 5 3 2 2 5 2 2" xfId="22127"/>
    <cellStyle name="Comma 5 3 2 2 5 3" xfId="8486"/>
    <cellStyle name="Comma 5 3 2 2 5 4" xfId="17120"/>
    <cellStyle name="Comma 5 3 2 2 6" xfId="4417"/>
    <cellStyle name="Comma 5 3 2 2 6 2" xfId="13255"/>
    <cellStyle name="Comma 5 3 2 2 6 2 2" xfId="23506"/>
    <cellStyle name="Comma 5 3 2 2 6 3" xfId="9676"/>
    <cellStyle name="Comma 5 3 2 2 6 4" xfId="18499"/>
    <cellStyle name="Comma 5 3 2 2 7" xfId="1689"/>
    <cellStyle name="Comma 5 3 2 2 7 2" xfId="11066"/>
    <cellStyle name="Comma 5 3 2 2 7 3" xfId="21070"/>
    <cellStyle name="Comma 5 3 2 2 8" xfId="5873"/>
    <cellStyle name="Comma 5 3 2 2 8 2" xfId="14700"/>
    <cellStyle name="Comma 5 3 2 2 8 3" xfId="24951"/>
    <cellStyle name="Comma 5 3 2 2 9" xfId="7317"/>
    <cellStyle name="Comma 5 3 2 2 9 2" xfId="19726"/>
    <cellStyle name="Comma 5 3 2 3" xfId="493"/>
    <cellStyle name="Comma 5 3 2 3 2" xfId="664"/>
    <cellStyle name="Comma 5 3 2 3 2 2" xfId="3150"/>
    <cellStyle name="Comma 5 3 2 3 2 2 2" xfId="12293"/>
    <cellStyle name="Comma 5 3 2 3 2 2 2 2" xfId="22511"/>
    <cellStyle name="Comma 5 3 2 3 2 2 3" xfId="8715"/>
    <cellStyle name="Comma 5 3 2 3 2 2 4" xfId="17504"/>
    <cellStyle name="Comma 5 3 2 3 2 3" xfId="4479"/>
    <cellStyle name="Comma 5 3 2 3 2 3 2" xfId="13317"/>
    <cellStyle name="Comma 5 3 2 3 2 3 2 2" xfId="23568"/>
    <cellStyle name="Comma 5 3 2 3 2 3 3" xfId="9738"/>
    <cellStyle name="Comma 5 3 2 3 2 3 4" xfId="18561"/>
    <cellStyle name="Comma 5 3 2 3 2 4" xfId="2259"/>
    <cellStyle name="Comma 5 3 2 3 2 4 2" xfId="11624"/>
    <cellStyle name="Comma 5 3 2 3 2 4 3" xfId="21628"/>
    <cellStyle name="Comma 5 3 2 3 2 5" xfId="5935"/>
    <cellStyle name="Comma 5 3 2 3 2 5 2" xfId="14762"/>
    <cellStyle name="Comma 5 3 2 3 2 5 3" xfId="25013"/>
    <cellStyle name="Comma 5 3 2 3 2 6" xfId="7379"/>
    <cellStyle name="Comma 5 3 2 3 2 6 2" xfId="20110"/>
    <cellStyle name="Comma 5 3 2 3 2 7" xfId="16621"/>
    <cellStyle name="Comma 5 3 2 3 3" xfId="1265"/>
    <cellStyle name="Comma 5 3 2 3 3 2" xfId="3694"/>
    <cellStyle name="Comma 5 3 2 3 3 2 2" xfId="12830"/>
    <cellStyle name="Comma 5 3 2 3 3 2 2 2" xfId="23049"/>
    <cellStyle name="Comma 5 3 2 3 3 2 3" xfId="9251"/>
    <cellStyle name="Comma 5 3 2 3 3 2 4" xfId="18042"/>
    <cellStyle name="Comma 5 3 2 3 3 3" xfId="4828"/>
    <cellStyle name="Comma 5 3 2 3 3 3 2" xfId="13665"/>
    <cellStyle name="Comma 5 3 2 3 3 3 2 2" xfId="23916"/>
    <cellStyle name="Comma 5 3 2 3 3 3 3" xfId="10086"/>
    <cellStyle name="Comma 5 3 2 3 3 3 4" xfId="18909"/>
    <cellStyle name="Comma 5 3 2 3 3 4" xfId="2088"/>
    <cellStyle name="Comma 5 3 2 3 3 4 2" xfId="11453"/>
    <cellStyle name="Comma 5 3 2 3 3 4 3" xfId="21457"/>
    <cellStyle name="Comma 5 3 2 3 3 5" xfId="6283"/>
    <cellStyle name="Comma 5 3 2 3 3 5 2" xfId="15110"/>
    <cellStyle name="Comma 5 3 2 3 3 5 3" xfId="25361"/>
    <cellStyle name="Comma 5 3 2 3 3 6" xfId="7729"/>
    <cellStyle name="Comma 5 3 2 3 3 6 2" xfId="20648"/>
    <cellStyle name="Comma 5 3 2 3 3 7" xfId="16450"/>
    <cellStyle name="Comma 5 3 2 3 4" xfId="2979"/>
    <cellStyle name="Comma 5 3 2 3 4 2" xfId="5357"/>
    <cellStyle name="Comma 5 3 2 3 4 2 2" xfId="14194"/>
    <cellStyle name="Comma 5 3 2 3 4 2 2 2" xfId="24445"/>
    <cellStyle name="Comma 5 3 2 3 4 2 3" xfId="10615"/>
    <cellStyle name="Comma 5 3 2 3 4 2 4" xfId="19438"/>
    <cellStyle name="Comma 5 3 2 3 4 3" xfId="6812"/>
    <cellStyle name="Comma 5 3 2 3 4 3 2" xfId="15639"/>
    <cellStyle name="Comma 5 3 2 3 4 3 3" xfId="25890"/>
    <cellStyle name="Comma 5 3 2 3 4 4" xfId="8258"/>
    <cellStyle name="Comma 5 3 2 3 4 4 2" xfId="22340"/>
    <cellStyle name="Comma 5 3 2 3 4 5" xfId="17333"/>
    <cellStyle name="Comma 5 3 2 3 5" xfId="4313"/>
    <cellStyle name="Comma 5 3 2 3 5 2" xfId="13151"/>
    <cellStyle name="Comma 5 3 2 3 5 2 2" xfId="23402"/>
    <cellStyle name="Comma 5 3 2 3 5 3" xfId="9572"/>
    <cellStyle name="Comma 5 3 2 3 5 4" xfId="18395"/>
    <cellStyle name="Comma 5 3 2 3 6" xfId="1585"/>
    <cellStyle name="Comma 5 3 2 3 6 2" xfId="10962"/>
    <cellStyle name="Comma 5 3 2 3 6 3" xfId="20966"/>
    <cellStyle name="Comma 5 3 2 3 7" xfId="5769"/>
    <cellStyle name="Comma 5 3 2 3 7 2" xfId="14596"/>
    <cellStyle name="Comma 5 3 2 3 7 3" xfId="24847"/>
    <cellStyle name="Comma 5 3 2 3 8" xfId="7213"/>
    <cellStyle name="Comma 5 3 2 3 8 2" xfId="19939"/>
    <cellStyle name="Comma 5 3 2 3 9" xfId="15959"/>
    <cellStyle name="Comma 5 3 2 4" xfId="393"/>
    <cellStyle name="Comma 5 3 2 4 2" xfId="2879"/>
    <cellStyle name="Comma 5 3 2 4 2 2" xfId="12167"/>
    <cellStyle name="Comma 5 3 2 4 2 2 2" xfId="22240"/>
    <cellStyle name="Comma 5 3 2 4 2 3" xfId="8433"/>
    <cellStyle name="Comma 5 3 2 4 2 4" xfId="17233"/>
    <cellStyle name="Comma 5 3 2 4 3" xfId="4477"/>
    <cellStyle name="Comma 5 3 2 4 3 2" xfId="13315"/>
    <cellStyle name="Comma 5 3 2 4 3 2 2" xfId="23566"/>
    <cellStyle name="Comma 5 3 2 4 3 3" xfId="9736"/>
    <cellStyle name="Comma 5 3 2 4 3 4" xfId="18559"/>
    <cellStyle name="Comma 5 3 2 4 4" xfId="1988"/>
    <cellStyle name="Comma 5 3 2 4 4 2" xfId="11353"/>
    <cellStyle name="Comma 5 3 2 4 4 3" xfId="21357"/>
    <cellStyle name="Comma 5 3 2 4 5" xfId="5933"/>
    <cellStyle name="Comma 5 3 2 4 5 2" xfId="14760"/>
    <cellStyle name="Comma 5 3 2 4 5 3" xfId="25011"/>
    <cellStyle name="Comma 5 3 2 4 6" xfId="7377"/>
    <cellStyle name="Comma 5 3 2 4 6 2" xfId="19839"/>
    <cellStyle name="Comma 5 3 2 4 7" xfId="16350"/>
    <cellStyle name="Comma 5 3 2 5" xfId="662"/>
    <cellStyle name="Comma 5 3 2 5 2" xfId="3148"/>
    <cellStyle name="Comma 5 3 2 5 2 2" xfId="12291"/>
    <cellStyle name="Comma 5 3 2 5 2 2 2" xfId="22509"/>
    <cellStyle name="Comma 5 3 2 5 2 3" xfId="8713"/>
    <cellStyle name="Comma 5 3 2 5 2 4" xfId="17502"/>
    <cellStyle name="Comma 5 3 2 5 3" xfId="4826"/>
    <cellStyle name="Comma 5 3 2 5 3 2" xfId="13663"/>
    <cellStyle name="Comma 5 3 2 5 3 2 2" xfId="23914"/>
    <cellStyle name="Comma 5 3 2 5 3 3" xfId="10084"/>
    <cellStyle name="Comma 5 3 2 5 3 4" xfId="18907"/>
    <cellStyle name="Comma 5 3 2 5 4" xfId="2257"/>
    <cellStyle name="Comma 5 3 2 5 4 2" xfId="11622"/>
    <cellStyle name="Comma 5 3 2 5 4 3" xfId="21626"/>
    <cellStyle name="Comma 5 3 2 5 5" xfId="6281"/>
    <cellStyle name="Comma 5 3 2 5 5 2" xfId="15108"/>
    <cellStyle name="Comma 5 3 2 5 5 3" xfId="25359"/>
    <cellStyle name="Comma 5 3 2 5 6" xfId="7727"/>
    <cellStyle name="Comma 5 3 2 5 6 2" xfId="20108"/>
    <cellStyle name="Comma 5 3 2 5 7" xfId="16619"/>
    <cellStyle name="Comma 5 3 2 6" xfId="1165"/>
    <cellStyle name="Comma 5 3 2 6 2" xfId="3594"/>
    <cellStyle name="Comma 5 3 2 6 2 2" xfId="12730"/>
    <cellStyle name="Comma 5 3 2 6 2 2 2" xfId="22949"/>
    <cellStyle name="Comma 5 3 2 6 2 3" xfId="9151"/>
    <cellStyle name="Comma 5 3 2 6 2 4" xfId="17942"/>
    <cellStyle name="Comma 5 3 2 6 3" xfId="5257"/>
    <cellStyle name="Comma 5 3 2 6 3 2" xfId="14094"/>
    <cellStyle name="Comma 5 3 2 6 3 2 2" xfId="24345"/>
    <cellStyle name="Comma 5 3 2 6 3 3" xfId="10515"/>
    <cellStyle name="Comma 5 3 2 6 3 4" xfId="19338"/>
    <cellStyle name="Comma 5 3 2 6 4" xfId="1765"/>
    <cellStyle name="Comma 5 3 2 6 4 2" xfId="11136"/>
    <cellStyle name="Comma 5 3 2 6 4 3" xfId="21140"/>
    <cellStyle name="Comma 5 3 2 6 5" xfId="6712"/>
    <cellStyle name="Comma 5 3 2 6 5 2" xfId="15539"/>
    <cellStyle name="Comma 5 3 2 6 5 3" xfId="25790"/>
    <cellStyle name="Comma 5 3 2 6 6" xfId="8158"/>
    <cellStyle name="Comma 5 3 2 6 6 2" xfId="20548"/>
    <cellStyle name="Comma 5 3 2 6 7" xfId="16133"/>
    <cellStyle name="Comma 5 3 2 7" xfId="2662"/>
    <cellStyle name="Comma 5 3 2 7 2" xfId="11982"/>
    <cellStyle name="Comma 5 3 2 7 2 2" xfId="22023"/>
    <cellStyle name="Comma 5 3 2 7 3" xfId="8568"/>
    <cellStyle name="Comma 5 3 2 7 4" xfId="17016"/>
    <cellStyle name="Comma 5 3 2 8" xfId="4213"/>
    <cellStyle name="Comma 5 3 2 8 2" xfId="13051"/>
    <cellStyle name="Comma 5 3 2 8 2 2" xfId="23302"/>
    <cellStyle name="Comma 5 3 2 8 3" xfId="9472"/>
    <cellStyle name="Comma 5 3 2 8 4" xfId="18295"/>
    <cellStyle name="Comma 5 3 2 9" xfId="1485"/>
    <cellStyle name="Comma 5 3 2 9 2" xfId="10862"/>
    <cellStyle name="Comma 5 3 2 9 3" xfId="20866"/>
    <cellStyle name="Comma 5 3 3" xfId="210"/>
    <cellStyle name="Comma 5 3 3 10" xfId="7156"/>
    <cellStyle name="Comma 5 3 3 10 2" xfId="19665"/>
    <cellStyle name="Comma 5 3 3 11" xfId="15902"/>
    <cellStyle name="Comma 5 3 3 2" xfId="536"/>
    <cellStyle name="Comma 5 3 3 2 2" xfId="666"/>
    <cellStyle name="Comma 5 3 3 2 2 2" xfId="3152"/>
    <cellStyle name="Comma 5 3 3 2 2 2 2" xfId="12295"/>
    <cellStyle name="Comma 5 3 3 2 2 2 2 2" xfId="22513"/>
    <cellStyle name="Comma 5 3 3 2 2 2 3" xfId="8717"/>
    <cellStyle name="Comma 5 3 3 2 2 2 4" xfId="17506"/>
    <cellStyle name="Comma 5 3 3 2 2 3" xfId="4481"/>
    <cellStyle name="Comma 5 3 3 2 2 3 2" xfId="13319"/>
    <cellStyle name="Comma 5 3 3 2 2 3 2 2" xfId="23570"/>
    <cellStyle name="Comma 5 3 3 2 2 3 3" xfId="9740"/>
    <cellStyle name="Comma 5 3 3 2 2 3 4" xfId="18563"/>
    <cellStyle name="Comma 5 3 3 2 2 4" xfId="2261"/>
    <cellStyle name="Comma 5 3 3 2 2 4 2" xfId="11626"/>
    <cellStyle name="Comma 5 3 3 2 2 4 3" xfId="21630"/>
    <cellStyle name="Comma 5 3 3 2 2 5" xfId="5937"/>
    <cellStyle name="Comma 5 3 3 2 2 5 2" xfId="14764"/>
    <cellStyle name="Comma 5 3 3 2 2 5 3" xfId="25015"/>
    <cellStyle name="Comma 5 3 3 2 2 6" xfId="7381"/>
    <cellStyle name="Comma 5 3 3 2 2 6 2" xfId="20112"/>
    <cellStyle name="Comma 5 3 3 2 2 7" xfId="16623"/>
    <cellStyle name="Comma 5 3 3 2 3" xfId="1308"/>
    <cellStyle name="Comma 5 3 3 2 3 2" xfId="3737"/>
    <cellStyle name="Comma 5 3 3 2 3 2 2" xfId="12873"/>
    <cellStyle name="Comma 5 3 3 2 3 2 2 2" xfId="23092"/>
    <cellStyle name="Comma 5 3 3 2 3 2 3" xfId="9294"/>
    <cellStyle name="Comma 5 3 3 2 3 2 4" xfId="18085"/>
    <cellStyle name="Comma 5 3 3 2 3 3" xfId="4830"/>
    <cellStyle name="Comma 5 3 3 2 3 3 2" xfId="13667"/>
    <cellStyle name="Comma 5 3 3 2 3 3 2 2" xfId="23918"/>
    <cellStyle name="Comma 5 3 3 2 3 3 3" xfId="10088"/>
    <cellStyle name="Comma 5 3 3 2 3 3 4" xfId="18911"/>
    <cellStyle name="Comma 5 3 3 2 3 4" xfId="2131"/>
    <cellStyle name="Comma 5 3 3 2 3 4 2" xfId="11496"/>
    <cellStyle name="Comma 5 3 3 2 3 4 3" xfId="21500"/>
    <cellStyle name="Comma 5 3 3 2 3 5" xfId="6285"/>
    <cellStyle name="Comma 5 3 3 2 3 5 2" xfId="15112"/>
    <cellStyle name="Comma 5 3 3 2 3 5 3" xfId="25363"/>
    <cellStyle name="Comma 5 3 3 2 3 6" xfId="7731"/>
    <cellStyle name="Comma 5 3 3 2 3 6 2" xfId="20691"/>
    <cellStyle name="Comma 5 3 3 2 3 7" xfId="16493"/>
    <cellStyle name="Comma 5 3 3 2 4" xfId="3022"/>
    <cellStyle name="Comma 5 3 3 2 4 2" xfId="5400"/>
    <cellStyle name="Comma 5 3 3 2 4 2 2" xfId="14237"/>
    <cellStyle name="Comma 5 3 3 2 4 2 2 2" xfId="24488"/>
    <cellStyle name="Comma 5 3 3 2 4 2 3" xfId="10658"/>
    <cellStyle name="Comma 5 3 3 2 4 2 4" xfId="19481"/>
    <cellStyle name="Comma 5 3 3 2 4 3" xfId="6855"/>
    <cellStyle name="Comma 5 3 3 2 4 3 2" xfId="15682"/>
    <cellStyle name="Comma 5 3 3 2 4 3 3" xfId="25933"/>
    <cellStyle name="Comma 5 3 3 2 4 4" xfId="8301"/>
    <cellStyle name="Comma 5 3 3 2 4 4 2" xfId="22383"/>
    <cellStyle name="Comma 5 3 3 2 4 5" xfId="17376"/>
    <cellStyle name="Comma 5 3 3 2 5" xfId="4356"/>
    <cellStyle name="Comma 5 3 3 2 5 2" xfId="13194"/>
    <cellStyle name="Comma 5 3 3 2 5 2 2" xfId="23445"/>
    <cellStyle name="Comma 5 3 3 2 5 3" xfId="9615"/>
    <cellStyle name="Comma 5 3 3 2 5 4" xfId="18438"/>
    <cellStyle name="Comma 5 3 3 2 6" xfId="1628"/>
    <cellStyle name="Comma 5 3 3 2 6 2" xfId="11005"/>
    <cellStyle name="Comma 5 3 3 2 6 3" xfId="21009"/>
    <cellStyle name="Comma 5 3 3 2 7" xfId="5812"/>
    <cellStyle name="Comma 5 3 3 2 7 2" xfId="14639"/>
    <cellStyle name="Comma 5 3 3 2 7 3" xfId="24890"/>
    <cellStyle name="Comma 5 3 3 2 8" xfId="7256"/>
    <cellStyle name="Comma 5 3 3 2 8 2" xfId="19982"/>
    <cellStyle name="Comma 5 3 3 2 9" xfId="16002"/>
    <cellStyle name="Comma 5 3 3 3" xfId="436"/>
    <cellStyle name="Comma 5 3 3 3 2" xfId="2922"/>
    <cellStyle name="Comma 5 3 3 3 2 2" xfId="12210"/>
    <cellStyle name="Comma 5 3 3 3 2 2 2" xfId="22283"/>
    <cellStyle name="Comma 5 3 3 3 2 3" xfId="8411"/>
    <cellStyle name="Comma 5 3 3 3 2 4" xfId="17276"/>
    <cellStyle name="Comma 5 3 3 3 3" xfId="4480"/>
    <cellStyle name="Comma 5 3 3 3 3 2" xfId="13318"/>
    <cellStyle name="Comma 5 3 3 3 3 2 2" xfId="23569"/>
    <cellStyle name="Comma 5 3 3 3 3 3" xfId="9739"/>
    <cellStyle name="Comma 5 3 3 3 3 4" xfId="18562"/>
    <cellStyle name="Comma 5 3 3 3 4" xfId="2031"/>
    <cellStyle name="Comma 5 3 3 3 4 2" xfId="11396"/>
    <cellStyle name="Comma 5 3 3 3 4 3" xfId="21400"/>
    <cellStyle name="Comma 5 3 3 3 5" xfId="5936"/>
    <cellStyle name="Comma 5 3 3 3 5 2" xfId="14763"/>
    <cellStyle name="Comma 5 3 3 3 5 3" xfId="25014"/>
    <cellStyle name="Comma 5 3 3 3 6" xfId="7380"/>
    <cellStyle name="Comma 5 3 3 3 6 2" xfId="19882"/>
    <cellStyle name="Comma 5 3 3 3 7" xfId="16393"/>
    <cellStyle name="Comma 5 3 3 4" xfId="665"/>
    <cellStyle name="Comma 5 3 3 4 2" xfId="3151"/>
    <cellStyle name="Comma 5 3 3 4 2 2" xfId="12294"/>
    <cellStyle name="Comma 5 3 3 4 2 2 2" xfId="22512"/>
    <cellStyle name="Comma 5 3 3 4 2 3" xfId="8716"/>
    <cellStyle name="Comma 5 3 3 4 2 4" xfId="17505"/>
    <cellStyle name="Comma 5 3 3 4 3" xfId="4829"/>
    <cellStyle name="Comma 5 3 3 4 3 2" xfId="13666"/>
    <cellStyle name="Comma 5 3 3 4 3 2 2" xfId="23917"/>
    <cellStyle name="Comma 5 3 3 4 3 3" xfId="10087"/>
    <cellStyle name="Comma 5 3 3 4 3 4" xfId="18910"/>
    <cellStyle name="Comma 5 3 3 4 4" xfId="2260"/>
    <cellStyle name="Comma 5 3 3 4 4 2" xfId="11625"/>
    <cellStyle name="Comma 5 3 3 4 4 3" xfId="21629"/>
    <cellStyle name="Comma 5 3 3 4 5" xfId="6284"/>
    <cellStyle name="Comma 5 3 3 4 5 2" xfId="15111"/>
    <cellStyle name="Comma 5 3 3 4 5 3" xfId="25362"/>
    <cellStyle name="Comma 5 3 3 4 6" xfId="7730"/>
    <cellStyle name="Comma 5 3 3 4 6 2" xfId="20111"/>
    <cellStyle name="Comma 5 3 3 4 7" xfId="16622"/>
    <cellStyle name="Comma 5 3 3 5" xfId="1208"/>
    <cellStyle name="Comma 5 3 3 5 2" xfId="3637"/>
    <cellStyle name="Comma 5 3 3 5 2 2" xfId="12773"/>
    <cellStyle name="Comma 5 3 3 5 2 2 2" xfId="22992"/>
    <cellStyle name="Comma 5 3 3 5 2 3" xfId="9194"/>
    <cellStyle name="Comma 5 3 3 5 2 4" xfId="17985"/>
    <cellStyle name="Comma 5 3 3 5 3" xfId="5300"/>
    <cellStyle name="Comma 5 3 3 5 3 2" xfId="14137"/>
    <cellStyle name="Comma 5 3 3 5 3 2 2" xfId="24388"/>
    <cellStyle name="Comma 5 3 3 5 3 3" xfId="10558"/>
    <cellStyle name="Comma 5 3 3 5 3 4" xfId="19381"/>
    <cellStyle name="Comma 5 3 3 5 4" xfId="1811"/>
    <cellStyle name="Comma 5 3 3 5 4 2" xfId="11179"/>
    <cellStyle name="Comma 5 3 3 5 4 3" xfId="21183"/>
    <cellStyle name="Comma 5 3 3 5 5" xfId="6755"/>
    <cellStyle name="Comma 5 3 3 5 5 2" xfId="15582"/>
    <cellStyle name="Comma 5 3 3 5 5 3" xfId="25833"/>
    <cellStyle name="Comma 5 3 3 5 6" xfId="8201"/>
    <cellStyle name="Comma 5 3 3 5 6 2" xfId="20591"/>
    <cellStyle name="Comma 5 3 3 5 7" xfId="16176"/>
    <cellStyle name="Comma 5 3 3 6" xfId="2705"/>
    <cellStyle name="Comma 5 3 3 6 2" xfId="12022"/>
    <cellStyle name="Comma 5 3 3 6 2 2" xfId="22066"/>
    <cellStyle name="Comma 5 3 3 6 3" xfId="8634"/>
    <cellStyle name="Comma 5 3 3 6 4" xfId="17059"/>
    <cellStyle name="Comma 5 3 3 7" xfId="4256"/>
    <cellStyle name="Comma 5 3 3 7 2" xfId="13094"/>
    <cellStyle name="Comma 5 3 3 7 2 2" xfId="23345"/>
    <cellStyle name="Comma 5 3 3 7 3" xfId="9515"/>
    <cellStyle name="Comma 5 3 3 7 4" xfId="18338"/>
    <cellStyle name="Comma 5 3 3 8" xfId="1528"/>
    <cellStyle name="Comma 5 3 3 8 2" xfId="10905"/>
    <cellStyle name="Comma 5 3 3 8 3" xfId="20909"/>
    <cellStyle name="Comma 5 3 3 9" xfId="5712"/>
    <cellStyle name="Comma 5 3 3 9 2" xfId="14539"/>
    <cellStyle name="Comma 5 3 3 9 3" xfId="24790"/>
    <cellStyle name="Comma 5 3 4" xfId="245"/>
    <cellStyle name="Comma 5 3 4 10" xfId="7083"/>
    <cellStyle name="Comma 5 3 4 10 2" xfId="19697"/>
    <cellStyle name="Comma 5 3 4 11" xfId="15829"/>
    <cellStyle name="Comma 5 3 4 2" xfId="568"/>
    <cellStyle name="Comma 5 3 4 2 2" xfId="668"/>
    <cellStyle name="Comma 5 3 4 2 2 2" xfId="3154"/>
    <cellStyle name="Comma 5 3 4 2 2 2 2" xfId="12297"/>
    <cellStyle name="Comma 5 3 4 2 2 2 2 2" xfId="22515"/>
    <cellStyle name="Comma 5 3 4 2 2 2 3" xfId="8719"/>
    <cellStyle name="Comma 5 3 4 2 2 2 4" xfId="17508"/>
    <cellStyle name="Comma 5 3 4 2 2 3" xfId="4483"/>
    <cellStyle name="Comma 5 3 4 2 2 3 2" xfId="13321"/>
    <cellStyle name="Comma 5 3 4 2 2 3 2 2" xfId="23572"/>
    <cellStyle name="Comma 5 3 4 2 2 3 3" xfId="9742"/>
    <cellStyle name="Comma 5 3 4 2 2 3 4" xfId="18565"/>
    <cellStyle name="Comma 5 3 4 2 2 4" xfId="2263"/>
    <cellStyle name="Comma 5 3 4 2 2 4 2" xfId="11628"/>
    <cellStyle name="Comma 5 3 4 2 2 4 3" xfId="21632"/>
    <cellStyle name="Comma 5 3 4 2 2 5" xfId="5939"/>
    <cellStyle name="Comma 5 3 4 2 2 5 2" xfId="14766"/>
    <cellStyle name="Comma 5 3 4 2 2 5 3" xfId="25017"/>
    <cellStyle name="Comma 5 3 4 2 2 6" xfId="7383"/>
    <cellStyle name="Comma 5 3 4 2 2 6 2" xfId="20114"/>
    <cellStyle name="Comma 5 3 4 2 2 7" xfId="16625"/>
    <cellStyle name="Comma 5 3 4 2 3" xfId="1340"/>
    <cellStyle name="Comma 5 3 4 2 3 2" xfId="3769"/>
    <cellStyle name="Comma 5 3 4 2 3 2 2" xfId="12905"/>
    <cellStyle name="Comma 5 3 4 2 3 2 2 2" xfId="23124"/>
    <cellStyle name="Comma 5 3 4 2 3 2 3" xfId="9326"/>
    <cellStyle name="Comma 5 3 4 2 3 2 4" xfId="18117"/>
    <cellStyle name="Comma 5 3 4 2 3 3" xfId="4832"/>
    <cellStyle name="Comma 5 3 4 2 3 3 2" xfId="13669"/>
    <cellStyle name="Comma 5 3 4 2 3 3 2 2" xfId="23920"/>
    <cellStyle name="Comma 5 3 4 2 3 3 3" xfId="10090"/>
    <cellStyle name="Comma 5 3 4 2 3 3 4" xfId="18913"/>
    <cellStyle name="Comma 5 3 4 2 3 4" xfId="2163"/>
    <cellStyle name="Comma 5 3 4 2 3 4 2" xfId="11528"/>
    <cellStyle name="Comma 5 3 4 2 3 4 3" xfId="21532"/>
    <cellStyle name="Comma 5 3 4 2 3 5" xfId="6287"/>
    <cellStyle name="Comma 5 3 4 2 3 5 2" xfId="15114"/>
    <cellStyle name="Comma 5 3 4 2 3 5 3" xfId="25365"/>
    <cellStyle name="Comma 5 3 4 2 3 6" xfId="7733"/>
    <cellStyle name="Comma 5 3 4 2 3 6 2" xfId="20723"/>
    <cellStyle name="Comma 5 3 4 2 3 7" xfId="16525"/>
    <cellStyle name="Comma 5 3 4 2 4" xfId="3054"/>
    <cellStyle name="Comma 5 3 4 2 4 2" xfId="5432"/>
    <cellStyle name="Comma 5 3 4 2 4 2 2" xfId="14269"/>
    <cellStyle name="Comma 5 3 4 2 4 2 2 2" xfId="24520"/>
    <cellStyle name="Comma 5 3 4 2 4 2 3" xfId="10690"/>
    <cellStyle name="Comma 5 3 4 2 4 2 4" xfId="19513"/>
    <cellStyle name="Comma 5 3 4 2 4 3" xfId="6887"/>
    <cellStyle name="Comma 5 3 4 2 4 3 2" xfId="15714"/>
    <cellStyle name="Comma 5 3 4 2 4 3 3" xfId="25965"/>
    <cellStyle name="Comma 5 3 4 2 4 4" xfId="8333"/>
    <cellStyle name="Comma 5 3 4 2 4 4 2" xfId="22415"/>
    <cellStyle name="Comma 5 3 4 2 4 5" xfId="17408"/>
    <cellStyle name="Comma 5 3 4 2 5" xfId="4388"/>
    <cellStyle name="Comma 5 3 4 2 5 2" xfId="13226"/>
    <cellStyle name="Comma 5 3 4 2 5 2 2" xfId="23477"/>
    <cellStyle name="Comma 5 3 4 2 5 3" xfId="9647"/>
    <cellStyle name="Comma 5 3 4 2 5 4" xfId="18470"/>
    <cellStyle name="Comma 5 3 4 2 6" xfId="1660"/>
    <cellStyle name="Comma 5 3 4 2 6 2" xfId="11037"/>
    <cellStyle name="Comma 5 3 4 2 6 3" xfId="21041"/>
    <cellStyle name="Comma 5 3 4 2 7" xfId="5844"/>
    <cellStyle name="Comma 5 3 4 2 7 2" xfId="14671"/>
    <cellStyle name="Comma 5 3 4 2 7 3" xfId="24922"/>
    <cellStyle name="Comma 5 3 4 2 8" xfId="7288"/>
    <cellStyle name="Comma 5 3 4 2 8 2" xfId="20014"/>
    <cellStyle name="Comma 5 3 4 2 9" xfId="16034"/>
    <cellStyle name="Comma 5 3 4 3" xfId="363"/>
    <cellStyle name="Comma 5 3 4 3 2" xfId="2849"/>
    <cellStyle name="Comma 5 3 4 3 2 2" xfId="12137"/>
    <cellStyle name="Comma 5 3 4 3 2 2 2" xfId="22210"/>
    <cellStyle name="Comma 5 3 4 3 2 3" xfId="8473"/>
    <cellStyle name="Comma 5 3 4 3 2 4" xfId="17203"/>
    <cellStyle name="Comma 5 3 4 3 3" xfId="4482"/>
    <cellStyle name="Comma 5 3 4 3 3 2" xfId="13320"/>
    <cellStyle name="Comma 5 3 4 3 3 2 2" xfId="23571"/>
    <cellStyle name="Comma 5 3 4 3 3 3" xfId="9741"/>
    <cellStyle name="Comma 5 3 4 3 3 4" xfId="18564"/>
    <cellStyle name="Comma 5 3 4 3 4" xfId="1958"/>
    <cellStyle name="Comma 5 3 4 3 4 2" xfId="11323"/>
    <cellStyle name="Comma 5 3 4 3 4 3" xfId="21327"/>
    <cellStyle name="Comma 5 3 4 3 5" xfId="5938"/>
    <cellStyle name="Comma 5 3 4 3 5 2" xfId="14765"/>
    <cellStyle name="Comma 5 3 4 3 5 3" xfId="25016"/>
    <cellStyle name="Comma 5 3 4 3 6" xfId="7382"/>
    <cellStyle name="Comma 5 3 4 3 6 2" xfId="19809"/>
    <cellStyle name="Comma 5 3 4 3 7" xfId="16320"/>
    <cellStyle name="Comma 5 3 4 4" xfId="667"/>
    <cellStyle name="Comma 5 3 4 4 2" xfId="3153"/>
    <cellStyle name="Comma 5 3 4 4 2 2" xfId="12296"/>
    <cellStyle name="Comma 5 3 4 4 2 2 2" xfId="22514"/>
    <cellStyle name="Comma 5 3 4 4 2 3" xfId="8718"/>
    <cellStyle name="Comma 5 3 4 4 2 4" xfId="17507"/>
    <cellStyle name="Comma 5 3 4 4 3" xfId="4831"/>
    <cellStyle name="Comma 5 3 4 4 3 2" xfId="13668"/>
    <cellStyle name="Comma 5 3 4 4 3 2 2" xfId="23919"/>
    <cellStyle name="Comma 5 3 4 4 3 3" xfId="10089"/>
    <cellStyle name="Comma 5 3 4 4 3 4" xfId="18912"/>
    <cellStyle name="Comma 5 3 4 4 4" xfId="2262"/>
    <cellStyle name="Comma 5 3 4 4 4 2" xfId="11627"/>
    <cellStyle name="Comma 5 3 4 4 4 3" xfId="21631"/>
    <cellStyle name="Comma 5 3 4 4 5" xfId="6286"/>
    <cellStyle name="Comma 5 3 4 4 5 2" xfId="15113"/>
    <cellStyle name="Comma 5 3 4 4 5 3" xfId="25364"/>
    <cellStyle name="Comma 5 3 4 4 6" xfId="7732"/>
    <cellStyle name="Comma 5 3 4 4 6 2" xfId="20113"/>
    <cellStyle name="Comma 5 3 4 4 7" xfId="16624"/>
    <cellStyle name="Comma 5 3 4 5" xfId="1135"/>
    <cellStyle name="Comma 5 3 4 5 2" xfId="3564"/>
    <cellStyle name="Comma 5 3 4 5 2 2" xfId="12700"/>
    <cellStyle name="Comma 5 3 4 5 2 2 2" xfId="22919"/>
    <cellStyle name="Comma 5 3 4 5 2 3" xfId="9121"/>
    <cellStyle name="Comma 5 3 4 5 2 4" xfId="17912"/>
    <cellStyle name="Comma 5 3 4 5 3" xfId="5227"/>
    <cellStyle name="Comma 5 3 4 5 3 2" xfId="14064"/>
    <cellStyle name="Comma 5 3 4 5 3 2 2" xfId="24315"/>
    <cellStyle name="Comma 5 3 4 5 3 3" xfId="10485"/>
    <cellStyle name="Comma 5 3 4 5 3 4" xfId="19308"/>
    <cellStyle name="Comma 5 3 4 5 4" xfId="1843"/>
    <cellStyle name="Comma 5 3 4 5 4 2" xfId="11211"/>
    <cellStyle name="Comma 5 3 4 5 4 3" xfId="21215"/>
    <cellStyle name="Comma 5 3 4 5 5" xfId="6682"/>
    <cellStyle name="Comma 5 3 4 5 5 2" xfId="15509"/>
    <cellStyle name="Comma 5 3 4 5 5 3" xfId="25760"/>
    <cellStyle name="Comma 5 3 4 5 6" xfId="8128"/>
    <cellStyle name="Comma 5 3 4 5 6 2" xfId="20518"/>
    <cellStyle name="Comma 5 3 4 5 7" xfId="16208"/>
    <cellStyle name="Comma 5 3 4 6" xfId="2737"/>
    <cellStyle name="Comma 5 3 4 6 2" xfId="12054"/>
    <cellStyle name="Comma 5 3 4 6 2 2" xfId="22098"/>
    <cellStyle name="Comma 5 3 4 6 3" xfId="8631"/>
    <cellStyle name="Comma 5 3 4 6 4" xfId="17091"/>
    <cellStyle name="Comma 5 3 4 7" xfId="4183"/>
    <cellStyle name="Comma 5 3 4 7 2" xfId="13021"/>
    <cellStyle name="Comma 5 3 4 7 2 2" xfId="23272"/>
    <cellStyle name="Comma 5 3 4 7 3" xfId="9442"/>
    <cellStyle name="Comma 5 3 4 7 4" xfId="18265"/>
    <cellStyle name="Comma 5 3 4 8" xfId="1455"/>
    <cellStyle name="Comma 5 3 4 8 2" xfId="10832"/>
    <cellStyle name="Comma 5 3 4 8 3" xfId="20836"/>
    <cellStyle name="Comma 5 3 4 9" xfId="5639"/>
    <cellStyle name="Comma 5 3 4 9 2" xfId="14466"/>
    <cellStyle name="Comma 5 3 4 9 3" xfId="24717"/>
    <cellStyle name="Comma 5 3 5" xfId="463"/>
    <cellStyle name="Comma 5 3 5 2" xfId="669"/>
    <cellStyle name="Comma 5 3 5 2 2" xfId="3155"/>
    <cellStyle name="Comma 5 3 5 2 2 2" xfId="12298"/>
    <cellStyle name="Comma 5 3 5 2 2 2 2" xfId="22516"/>
    <cellStyle name="Comma 5 3 5 2 2 3" xfId="8720"/>
    <cellStyle name="Comma 5 3 5 2 2 4" xfId="17509"/>
    <cellStyle name="Comma 5 3 5 2 3" xfId="4484"/>
    <cellStyle name="Comma 5 3 5 2 3 2" xfId="13322"/>
    <cellStyle name="Comma 5 3 5 2 3 2 2" xfId="23573"/>
    <cellStyle name="Comma 5 3 5 2 3 3" xfId="9743"/>
    <cellStyle name="Comma 5 3 5 2 3 4" xfId="18566"/>
    <cellStyle name="Comma 5 3 5 2 4" xfId="2264"/>
    <cellStyle name="Comma 5 3 5 2 4 2" xfId="11629"/>
    <cellStyle name="Comma 5 3 5 2 4 3" xfId="21633"/>
    <cellStyle name="Comma 5 3 5 2 5" xfId="5940"/>
    <cellStyle name="Comma 5 3 5 2 5 2" xfId="14767"/>
    <cellStyle name="Comma 5 3 5 2 5 3" xfId="25018"/>
    <cellStyle name="Comma 5 3 5 2 6" xfId="7384"/>
    <cellStyle name="Comma 5 3 5 2 6 2" xfId="20115"/>
    <cellStyle name="Comma 5 3 5 2 7" xfId="16626"/>
    <cellStyle name="Comma 5 3 5 3" xfId="1235"/>
    <cellStyle name="Comma 5 3 5 3 2" xfId="3664"/>
    <cellStyle name="Comma 5 3 5 3 2 2" xfId="12800"/>
    <cellStyle name="Comma 5 3 5 3 2 2 2" xfId="23019"/>
    <cellStyle name="Comma 5 3 5 3 2 3" xfId="9221"/>
    <cellStyle name="Comma 5 3 5 3 2 4" xfId="18012"/>
    <cellStyle name="Comma 5 3 5 3 3" xfId="4833"/>
    <cellStyle name="Comma 5 3 5 3 3 2" xfId="13670"/>
    <cellStyle name="Comma 5 3 5 3 3 2 2" xfId="23921"/>
    <cellStyle name="Comma 5 3 5 3 3 3" xfId="10091"/>
    <cellStyle name="Comma 5 3 5 3 3 4" xfId="18914"/>
    <cellStyle name="Comma 5 3 5 3 4" xfId="2058"/>
    <cellStyle name="Comma 5 3 5 3 4 2" xfId="11423"/>
    <cellStyle name="Comma 5 3 5 3 4 3" xfId="21427"/>
    <cellStyle name="Comma 5 3 5 3 5" xfId="6288"/>
    <cellStyle name="Comma 5 3 5 3 5 2" xfId="15115"/>
    <cellStyle name="Comma 5 3 5 3 5 3" xfId="25366"/>
    <cellStyle name="Comma 5 3 5 3 6" xfId="7734"/>
    <cellStyle name="Comma 5 3 5 3 6 2" xfId="20618"/>
    <cellStyle name="Comma 5 3 5 3 7" xfId="16420"/>
    <cellStyle name="Comma 5 3 5 4" xfId="2949"/>
    <cellStyle name="Comma 5 3 5 4 2" xfId="5327"/>
    <cellStyle name="Comma 5 3 5 4 2 2" xfId="14164"/>
    <cellStyle name="Comma 5 3 5 4 2 2 2" xfId="24415"/>
    <cellStyle name="Comma 5 3 5 4 2 3" xfId="10585"/>
    <cellStyle name="Comma 5 3 5 4 2 4" xfId="19408"/>
    <cellStyle name="Comma 5 3 5 4 3" xfId="6782"/>
    <cellStyle name="Comma 5 3 5 4 3 2" xfId="15609"/>
    <cellStyle name="Comma 5 3 5 4 3 3" xfId="25860"/>
    <cellStyle name="Comma 5 3 5 4 4" xfId="8228"/>
    <cellStyle name="Comma 5 3 5 4 4 2" xfId="22310"/>
    <cellStyle name="Comma 5 3 5 4 5" xfId="17303"/>
    <cellStyle name="Comma 5 3 5 5" xfId="4283"/>
    <cellStyle name="Comma 5 3 5 5 2" xfId="13121"/>
    <cellStyle name="Comma 5 3 5 5 2 2" xfId="23372"/>
    <cellStyle name="Comma 5 3 5 5 3" xfId="9542"/>
    <cellStyle name="Comma 5 3 5 5 4" xfId="18365"/>
    <cellStyle name="Comma 5 3 5 6" xfId="1555"/>
    <cellStyle name="Comma 5 3 5 6 2" xfId="10932"/>
    <cellStyle name="Comma 5 3 5 6 3" xfId="20936"/>
    <cellStyle name="Comma 5 3 5 7" xfId="5739"/>
    <cellStyle name="Comma 5 3 5 7 2" xfId="14566"/>
    <cellStyle name="Comma 5 3 5 7 3" xfId="24817"/>
    <cellStyle name="Comma 5 3 5 8" xfId="7183"/>
    <cellStyle name="Comma 5 3 5 8 2" xfId="19909"/>
    <cellStyle name="Comma 5 3 5 9" xfId="15929"/>
    <cellStyle name="Comma 5 3 6" xfId="336"/>
    <cellStyle name="Comma 5 3 6 2" xfId="670"/>
    <cellStyle name="Comma 5 3 6 2 2" xfId="3156"/>
    <cellStyle name="Comma 5 3 6 2 2 2" xfId="12299"/>
    <cellStyle name="Comma 5 3 6 2 2 2 2" xfId="22517"/>
    <cellStyle name="Comma 5 3 6 2 2 3" xfId="8721"/>
    <cellStyle name="Comma 5 3 6 2 2 4" xfId="17510"/>
    <cellStyle name="Comma 5 3 6 2 3" xfId="4485"/>
    <cellStyle name="Comma 5 3 6 2 3 2" xfId="13323"/>
    <cellStyle name="Comma 5 3 6 2 3 2 2" xfId="23574"/>
    <cellStyle name="Comma 5 3 6 2 3 3" xfId="9744"/>
    <cellStyle name="Comma 5 3 6 2 3 4" xfId="18567"/>
    <cellStyle name="Comma 5 3 6 2 4" xfId="2265"/>
    <cellStyle name="Comma 5 3 6 2 4 2" xfId="11630"/>
    <cellStyle name="Comma 5 3 6 2 4 3" xfId="21634"/>
    <cellStyle name="Comma 5 3 6 2 5" xfId="5941"/>
    <cellStyle name="Comma 5 3 6 2 5 2" xfId="14768"/>
    <cellStyle name="Comma 5 3 6 2 5 3" xfId="25019"/>
    <cellStyle name="Comma 5 3 6 2 6" xfId="7385"/>
    <cellStyle name="Comma 5 3 6 2 6 2" xfId="20116"/>
    <cellStyle name="Comma 5 3 6 2 7" xfId="16627"/>
    <cellStyle name="Comma 5 3 6 3" xfId="1108"/>
    <cellStyle name="Comma 5 3 6 3 2" xfId="3537"/>
    <cellStyle name="Comma 5 3 6 3 2 2" xfId="12673"/>
    <cellStyle name="Comma 5 3 6 3 2 2 2" xfId="22892"/>
    <cellStyle name="Comma 5 3 6 3 2 3" xfId="9094"/>
    <cellStyle name="Comma 5 3 6 3 2 4" xfId="17885"/>
    <cellStyle name="Comma 5 3 6 3 3" xfId="4834"/>
    <cellStyle name="Comma 5 3 6 3 3 2" xfId="13671"/>
    <cellStyle name="Comma 5 3 6 3 3 2 2" xfId="23922"/>
    <cellStyle name="Comma 5 3 6 3 3 3" xfId="10092"/>
    <cellStyle name="Comma 5 3 6 3 3 4" xfId="18915"/>
    <cellStyle name="Comma 5 3 6 3 4" xfId="2595"/>
    <cellStyle name="Comma 5 3 6 3 4 2" xfId="11959"/>
    <cellStyle name="Comma 5 3 6 3 4 3" xfId="21963"/>
    <cellStyle name="Comma 5 3 6 3 5" xfId="6289"/>
    <cellStyle name="Comma 5 3 6 3 5 2" xfId="15116"/>
    <cellStyle name="Comma 5 3 6 3 5 3" xfId="25367"/>
    <cellStyle name="Comma 5 3 6 3 6" xfId="7735"/>
    <cellStyle name="Comma 5 3 6 3 6 2" xfId="20491"/>
    <cellStyle name="Comma 5 3 6 3 7" xfId="16956"/>
    <cellStyle name="Comma 5 3 6 4" xfId="2822"/>
    <cellStyle name="Comma 5 3 6 4 2" xfId="5200"/>
    <cellStyle name="Comma 5 3 6 4 2 2" xfId="14037"/>
    <cellStyle name="Comma 5 3 6 4 2 2 2" xfId="24288"/>
    <cellStyle name="Comma 5 3 6 4 2 3" xfId="10458"/>
    <cellStyle name="Comma 5 3 6 4 2 4" xfId="19281"/>
    <cellStyle name="Comma 5 3 6 4 3" xfId="6655"/>
    <cellStyle name="Comma 5 3 6 4 3 2" xfId="15482"/>
    <cellStyle name="Comma 5 3 6 4 3 3" xfId="25733"/>
    <cellStyle name="Comma 5 3 6 4 4" xfId="8101"/>
    <cellStyle name="Comma 5 3 6 4 4 2" xfId="22183"/>
    <cellStyle name="Comma 5 3 6 4 5" xfId="17176"/>
    <cellStyle name="Comma 5 3 6 5" xfId="4154"/>
    <cellStyle name="Comma 5 3 6 5 2" xfId="12992"/>
    <cellStyle name="Comma 5 3 6 5 2 2" xfId="23243"/>
    <cellStyle name="Comma 5 3 6 5 3" xfId="9413"/>
    <cellStyle name="Comma 5 3 6 5 4" xfId="18236"/>
    <cellStyle name="Comma 5 3 6 6" xfId="1931"/>
    <cellStyle name="Comma 5 3 6 6 2" xfId="11296"/>
    <cellStyle name="Comma 5 3 6 6 3" xfId="21300"/>
    <cellStyle name="Comma 5 3 6 7" xfId="5612"/>
    <cellStyle name="Comma 5 3 6 7 2" xfId="14439"/>
    <cellStyle name="Comma 5 3 6 7 3" xfId="24690"/>
    <cellStyle name="Comma 5 3 6 8" xfId="7056"/>
    <cellStyle name="Comma 5 3 6 8 2" xfId="19782"/>
    <cellStyle name="Comma 5 3 6 9" xfId="16293"/>
    <cellStyle name="Comma 5 3 7" xfId="661"/>
    <cellStyle name="Comma 5 3 7 2" xfId="3147"/>
    <cellStyle name="Comma 5 3 7 2 2" xfId="12290"/>
    <cellStyle name="Comma 5 3 7 2 2 2" xfId="22508"/>
    <cellStyle name="Comma 5 3 7 2 3" xfId="8712"/>
    <cellStyle name="Comma 5 3 7 2 4" xfId="17501"/>
    <cellStyle name="Comma 5 3 7 3" xfId="4476"/>
    <cellStyle name="Comma 5 3 7 3 2" xfId="13314"/>
    <cellStyle name="Comma 5 3 7 3 2 2" xfId="23565"/>
    <cellStyle name="Comma 5 3 7 3 3" xfId="9735"/>
    <cellStyle name="Comma 5 3 7 3 4" xfId="18558"/>
    <cellStyle name="Comma 5 3 7 4" xfId="2256"/>
    <cellStyle name="Comma 5 3 7 4 2" xfId="11621"/>
    <cellStyle name="Comma 5 3 7 4 3" xfId="21625"/>
    <cellStyle name="Comma 5 3 7 5" xfId="5932"/>
    <cellStyle name="Comma 5 3 7 5 2" xfId="14759"/>
    <cellStyle name="Comma 5 3 7 5 3" xfId="25010"/>
    <cellStyle name="Comma 5 3 7 6" xfId="7376"/>
    <cellStyle name="Comma 5 3 7 6 2" xfId="20107"/>
    <cellStyle name="Comma 5 3 7 7" xfId="16618"/>
    <cellStyle name="Comma 5 3 8" xfId="1063"/>
    <cellStyle name="Comma 5 3 8 2" xfId="3492"/>
    <cellStyle name="Comma 5 3 8 2 2" xfId="12628"/>
    <cellStyle name="Comma 5 3 8 2 2 2" xfId="22847"/>
    <cellStyle name="Comma 5 3 8 2 3" xfId="9050"/>
    <cellStyle name="Comma 5 3 8 2 4" xfId="17840"/>
    <cellStyle name="Comma 5 3 8 3" xfId="4825"/>
    <cellStyle name="Comma 5 3 8 3 2" xfId="13662"/>
    <cellStyle name="Comma 5 3 8 3 2 2" xfId="23913"/>
    <cellStyle name="Comma 5 3 8 3 3" xfId="10083"/>
    <cellStyle name="Comma 5 3 8 3 4" xfId="18906"/>
    <cellStyle name="Comma 5 3 8 4" xfId="1731"/>
    <cellStyle name="Comma 5 3 8 4 2" xfId="11105"/>
    <cellStyle name="Comma 5 3 8 4 3" xfId="21109"/>
    <cellStyle name="Comma 5 3 8 5" xfId="6280"/>
    <cellStyle name="Comma 5 3 8 5 2" xfId="15107"/>
    <cellStyle name="Comma 5 3 8 5 3" xfId="25358"/>
    <cellStyle name="Comma 5 3 8 6" xfId="7726"/>
    <cellStyle name="Comma 5 3 8 6 2" xfId="20446"/>
    <cellStyle name="Comma 5 3 8 7" xfId="16102"/>
    <cellStyle name="Comma 5 3 9" xfId="2629"/>
    <cellStyle name="Comma 5 3 9 2" xfId="5155"/>
    <cellStyle name="Comma 5 3 9 2 2" xfId="13992"/>
    <cellStyle name="Comma 5 3 9 2 2 2" xfId="24243"/>
    <cellStyle name="Comma 5 3 9 2 3" xfId="10413"/>
    <cellStyle name="Comma 5 3 9 2 4" xfId="19236"/>
    <cellStyle name="Comma 5 3 9 3" xfId="6610"/>
    <cellStyle name="Comma 5 3 9 3 2" xfId="15437"/>
    <cellStyle name="Comma 5 3 9 3 3" xfId="25688"/>
    <cellStyle name="Comma 5 3 9 4" xfId="8056"/>
    <cellStyle name="Comma 5 3 9 4 2" xfId="21992"/>
    <cellStyle name="Comma 5 3 9 5" xfId="16985"/>
    <cellStyle name="Comma 5 4" xfId="131"/>
    <cellStyle name="Comma 5 4 10" xfId="4117"/>
    <cellStyle name="Comma 5 4 10 2" xfId="5575"/>
    <cellStyle name="Comma 5 4 10 2 2" xfId="14402"/>
    <cellStyle name="Comma 5 4 10 2 3" xfId="24653"/>
    <cellStyle name="Comma 5 4 10 3" xfId="7019"/>
    <cellStyle name="Comma 5 4 10 3 2" xfId="23206"/>
    <cellStyle name="Comma 5 4 10 4" xfId="18199"/>
    <cellStyle name="Comma 5 4 11" xfId="1436"/>
    <cellStyle name="Comma 5 4 11 2" xfId="10813"/>
    <cellStyle name="Comma 5 4 11 3" xfId="20817"/>
    <cellStyle name="Comma 5 4 12" xfId="5545"/>
    <cellStyle name="Comma 5 4 12 2" xfId="14372"/>
    <cellStyle name="Comma 5 4 12 3" xfId="24623"/>
    <cellStyle name="Comma 5 4 13" xfId="6989"/>
    <cellStyle name="Comma 5 4 13 2" xfId="19598"/>
    <cellStyle name="Comma 5 4 14" xfId="15810"/>
    <cellStyle name="Comma 5 4 2" xfId="171"/>
    <cellStyle name="Comma 5 4 2 10" xfId="5677"/>
    <cellStyle name="Comma 5 4 2 10 2" xfId="14504"/>
    <cellStyle name="Comma 5 4 2 10 3" xfId="24755"/>
    <cellStyle name="Comma 5 4 2 11" xfId="7121"/>
    <cellStyle name="Comma 5 4 2 11 2" xfId="19630"/>
    <cellStyle name="Comma 5 4 2 12" xfId="15867"/>
    <cellStyle name="Comma 5 4 2 2" xfId="283"/>
    <cellStyle name="Comma 5 4 2 2 10" xfId="16071"/>
    <cellStyle name="Comma 5 4 2 2 2" xfId="605"/>
    <cellStyle name="Comma 5 4 2 2 2 2" xfId="3091"/>
    <cellStyle name="Comma 5 4 2 2 2 2 2" xfId="12234"/>
    <cellStyle name="Comma 5 4 2 2 2 2 2 2" xfId="22452"/>
    <cellStyle name="Comma 5 4 2 2 2 2 3" xfId="8656"/>
    <cellStyle name="Comma 5 4 2 2 2 2 4" xfId="17445"/>
    <cellStyle name="Comma 5 4 2 2 2 3" xfId="4488"/>
    <cellStyle name="Comma 5 4 2 2 2 3 2" xfId="13326"/>
    <cellStyle name="Comma 5 4 2 2 2 3 2 2" xfId="23577"/>
    <cellStyle name="Comma 5 4 2 2 2 3 3" xfId="9747"/>
    <cellStyle name="Comma 5 4 2 2 2 3 4" xfId="18570"/>
    <cellStyle name="Comma 5 4 2 2 2 4" xfId="2200"/>
    <cellStyle name="Comma 5 4 2 2 2 4 2" xfId="11565"/>
    <cellStyle name="Comma 5 4 2 2 2 4 3" xfId="21569"/>
    <cellStyle name="Comma 5 4 2 2 2 5" xfId="5944"/>
    <cellStyle name="Comma 5 4 2 2 2 5 2" xfId="14771"/>
    <cellStyle name="Comma 5 4 2 2 2 5 3" xfId="25022"/>
    <cellStyle name="Comma 5 4 2 2 2 6" xfId="7388"/>
    <cellStyle name="Comma 5 4 2 2 2 6 2" xfId="20051"/>
    <cellStyle name="Comma 5 4 2 2 2 7" xfId="16562"/>
    <cellStyle name="Comma 5 4 2 2 3" xfId="673"/>
    <cellStyle name="Comma 5 4 2 2 3 2" xfId="3159"/>
    <cellStyle name="Comma 5 4 2 2 3 2 2" xfId="12302"/>
    <cellStyle name="Comma 5 4 2 2 3 2 2 2" xfId="22520"/>
    <cellStyle name="Comma 5 4 2 2 3 2 3" xfId="8724"/>
    <cellStyle name="Comma 5 4 2 2 3 2 4" xfId="17513"/>
    <cellStyle name="Comma 5 4 2 2 3 3" xfId="4837"/>
    <cellStyle name="Comma 5 4 2 2 3 3 2" xfId="13674"/>
    <cellStyle name="Comma 5 4 2 2 3 3 2 2" xfId="23925"/>
    <cellStyle name="Comma 5 4 2 2 3 3 3" xfId="10095"/>
    <cellStyle name="Comma 5 4 2 2 3 3 4" xfId="18918"/>
    <cellStyle name="Comma 5 4 2 2 3 4" xfId="2268"/>
    <cellStyle name="Comma 5 4 2 2 3 4 2" xfId="11633"/>
    <cellStyle name="Comma 5 4 2 2 3 4 3" xfId="21637"/>
    <cellStyle name="Comma 5 4 2 2 3 5" xfId="6292"/>
    <cellStyle name="Comma 5 4 2 2 3 5 2" xfId="15119"/>
    <cellStyle name="Comma 5 4 2 2 3 5 3" xfId="25370"/>
    <cellStyle name="Comma 5 4 2 2 3 6" xfId="7738"/>
    <cellStyle name="Comma 5 4 2 2 3 6 2" xfId="20119"/>
    <cellStyle name="Comma 5 4 2 2 3 7" xfId="16630"/>
    <cellStyle name="Comma 5 4 2 2 4" xfId="1377"/>
    <cellStyle name="Comma 5 4 2 2 4 2" xfId="3806"/>
    <cellStyle name="Comma 5 4 2 2 4 2 2" xfId="12942"/>
    <cellStyle name="Comma 5 4 2 2 4 2 2 2" xfId="23161"/>
    <cellStyle name="Comma 5 4 2 2 4 2 3" xfId="9363"/>
    <cellStyle name="Comma 5 4 2 2 4 2 4" xfId="18154"/>
    <cellStyle name="Comma 5 4 2 2 4 3" xfId="5469"/>
    <cellStyle name="Comma 5 4 2 2 4 3 2" xfId="14306"/>
    <cellStyle name="Comma 5 4 2 2 4 3 2 2" xfId="24557"/>
    <cellStyle name="Comma 5 4 2 2 4 3 3" xfId="10727"/>
    <cellStyle name="Comma 5 4 2 2 4 3 4" xfId="19550"/>
    <cellStyle name="Comma 5 4 2 2 4 4" xfId="1880"/>
    <cellStyle name="Comma 5 4 2 2 4 4 2" xfId="11248"/>
    <cellStyle name="Comma 5 4 2 2 4 4 3" xfId="21252"/>
    <cellStyle name="Comma 5 4 2 2 4 5" xfId="6924"/>
    <cellStyle name="Comma 5 4 2 2 4 5 2" xfId="15751"/>
    <cellStyle name="Comma 5 4 2 2 4 5 3" xfId="26002"/>
    <cellStyle name="Comma 5 4 2 2 4 6" xfId="8370"/>
    <cellStyle name="Comma 5 4 2 2 4 6 2" xfId="20760"/>
    <cellStyle name="Comma 5 4 2 2 4 7" xfId="16245"/>
    <cellStyle name="Comma 5 4 2 2 5" xfId="2774"/>
    <cellStyle name="Comma 5 4 2 2 5 2" xfId="12091"/>
    <cellStyle name="Comma 5 4 2 2 5 2 2" xfId="22135"/>
    <cellStyle name="Comma 5 4 2 2 5 3" xfId="8483"/>
    <cellStyle name="Comma 5 4 2 2 5 4" xfId="17128"/>
    <cellStyle name="Comma 5 4 2 2 6" xfId="4425"/>
    <cellStyle name="Comma 5 4 2 2 6 2" xfId="13263"/>
    <cellStyle name="Comma 5 4 2 2 6 2 2" xfId="23514"/>
    <cellStyle name="Comma 5 4 2 2 6 3" xfId="9684"/>
    <cellStyle name="Comma 5 4 2 2 6 4" xfId="18507"/>
    <cellStyle name="Comma 5 4 2 2 7" xfId="1697"/>
    <cellStyle name="Comma 5 4 2 2 7 2" xfId="11074"/>
    <cellStyle name="Comma 5 4 2 2 7 3" xfId="21078"/>
    <cellStyle name="Comma 5 4 2 2 8" xfId="5881"/>
    <cellStyle name="Comma 5 4 2 2 8 2" xfId="14708"/>
    <cellStyle name="Comma 5 4 2 2 8 3" xfId="24959"/>
    <cellStyle name="Comma 5 4 2 2 9" xfId="7325"/>
    <cellStyle name="Comma 5 4 2 2 9 2" xfId="19734"/>
    <cellStyle name="Comma 5 4 2 3" xfId="501"/>
    <cellStyle name="Comma 5 4 2 3 2" xfId="674"/>
    <cellStyle name="Comma 5 4 2 3 2 2" xfId="3160"/>
    <cellStyle name="Comma 5 4 2 3 2 2 2" xfId="12303"/>
    <cellStyle name="Comma 5 4 2 3 2 2 2 2" xfId="22521"/>
    <cellStyle name="Comma 5 4 2 3 2 2 3" xfId="8725"/>
    <cellStyle name="Comma 5 4 2 3 2 2 4" xfId="17514"/>
    <cellStyle name="Comma 5 4 2 3 2 3" xfId="4489"/>
    <cellStyle name="Comma 5 4 2 3 2 3 2" xfId="13327"/>
    <cellStyle name="Comma 5 4 2 3 2 3 2 2" xfId="23578"/>
    <cellStyle name="Comma 5 4 2 3 2 3 3" xfId="9748"/>
    <cellStyle name="Comma 5 4 2 3 2 3 4" xfId="18571"/>
    <cellStyle name="Comma 5 4 2 3 2 4" xfId="2269"/>
    <cellStyle name="Comma 5 4 2 3 2 4 2" xfId="11634"/>
    <cellStyle name="Comma 5 4 2 3 2 4 3" xfId="21638"/>
    <cellStyle name="Comma 5 4 2 3 2 5" xfId="5945"/>
    <cellStyle name="Comma 5 4 2 3 2 5 2" xfId="14772"/>
    <cellStyle name="Comma 5 4 2 3 2 5 3" xfId="25023"/>
    <cellStyle name="Comma 5 4 2 3 2 6" xfId="7389"/>
    <cellStyle name="Comma 5 4 2 3 2 6 2" xfId="20120"/>
    <cellStyle name="Comma 5 4 2 3 2 7" xfId="16631"/>
    <cellStyle name="Comma 5 4 2 3 3" xfId="1273"/>
    <cellStyle name="Comma 5 4 2 3 3 2" xfId="3702"/>
    <cellStyle name="Comma 5 4 2 3 3 2 2" xfId="12838"/>
    <cellStyle name="Comma 5 4 2 3 3 2 2 2" xfId="23057"/>
    <cellStyle name="Comma 5 4 2 3 3 2 3" xfId="9259"/>
    <cellStyle name="Comma 5 4 2 3 3 2 4" xfId="18050"/>
    <cellStyle name="Comma 5 4 2 3 3 3" xfId="4838"/>
    <cellStyle name="Comma 5 4 2 3 3 3 2" xfId="13675"/>
    <cellStyle name="Comma 5 4 2 3 3 3 2 2" xfId="23926"/>
    <cellStyle name="Comma 5 4 2 3 3 3 3" xfId="10096"/>
    <cellStyle name="Comma 5 4 2 3 3 3 4" xfId="18919"/>
    <cellStyle name="Comma 5 4 2 3 3 4" xfId="2096"/>
    <cellStyle name="Comma 5 4 2 3 3 4 2" xfId="11461"/>
    <cellStyle name="Comma 5 4 2 3 3 4 3" xfId="21465"/>
    <cellStyle name="Comma 5 4 2 3 3 5" xfId="6293"/>
    <cellStyle name="Comma 5 4 2 3 3 5 2" xfId="15120"/>
    <cellStyle name="Comma 5 4 2 3 3 5 3" xfId="25371"/>
    <cellStyle name="Comma 5 4 2 3 3 6" xfId="7739"/>
    <cellStyle name="Comma 5 4 2 3 3 6 2" xfId="20656"/>
    <cellStyle name="Comma 5 4 2 3 3 7" xfId="16458"/>
    <cellStyle name="Comma 5 4 2 3 4" xfId="2987"/>
    <cellStyle name="Comma 5 4 2 3 4 2" xfId="5365"/>
    <cellStyle name="Comma 5 4 2 3 4 2 2" xfId="14202"/>
    <cellStyle name="Comma 5 4 2 3 4 2 2 2" xfId="24453"/>
    <cellStyle name="Comma 5 4 2 3 4 2 3" xfId="10623"/>
    <cellStyle name="Comma 5 4 2 3 4 2 4" xfId="19446"/>
    <cellStyle name="Comma 5 4 2 3 4 3" xfId="6820"/>
    <cellStyle name="Comma 5 4 2 3 4 3 2" xfId="15647"/>
    <cellStyle name="Comma 5 4 2 3 4 3 3" xfId="25898"/>
    <cellStyle name="Comma 5 4 2 3 4 4" xfId="8266"/>
    <cellStyle name="Comma 5 4 2 3 4 4 2" xfId="22348"/>
    <cellStyle name="Comma 5 4 2 3 4 5" xfId="17341"/>
    <cellStyle name="Comma 5 4 2 3 5" xfId="4321"/>
    <cellStyle name="Comma 5 4 2 3 5 2" xfId="13159"/>
    <cellStyle name="Comma 5 4 2 3 5 2 2" xfId="23410"/>
    <cellStyle name="Comma 5 4 2 3 5 3" xfId="9580"/>
    <cellStyle name="Comma 5 4 2 3 5 4" xfId="18403"/>
    <cellStyle name="Comma 5 4 2 3 6" xfId="1593"/>
    <cellStyle name="Comma 5 4 2 3 6 2" xfId="10970"/>
    <cellStyle name="Comma 5 4 2 3 6 3" xfId="20974"/>
    <cellStyle name="Comma 5 4 2 3 7" xfId="5777"/>
    <cellStyle name="Comma 5 4 2 3 7 2" xfId="14604"/>
    <cellStyle name="Comma 5 4 2 3 7 3" xfId="24855"/>
    <cellStyle name="Comma 5 4 2 3 8" xfId="7221"/>
    <cellStyle name="Comma 5 4 2 3 8 2" xfId="19947"/>
    <cellStyle name="Comma 5 4 2 3 9" xfId="15967"/>
    <cellStyle name="Comma 5 4 2 4" xfId="401"/>
    <cellStyle name="Comma 5 4 2 4 2" xfId="2887"/>
    <cellStyle name="Comma 5 4 2 4 2 2" xfId="12175"/>
    <cellStyle name="Comma 5 4 2 4 2 2 2" xfId="22248"/>
    <cellStyle name="Comma 5 4 2 4 2 3" xfId="8425"/>
    <cellStyle name="Comma 5 4 2 4 2 4" xfId="17241"/>
    <cellStyle name="Comma 5 4 2 4 3" xfId="4487"/>
    <cellStyle name="Comma 5 4 2 4 3 2" xfId="13325"/>
    <cellStyle name="Comma 5 4 2 4 3 2 2" xfId="23576"/>
    <cellStyle name="Comma 5 4 2 4 3 3" xfId="9746"/>
    <cellStyle name="Comma 5 4 2 4 3 4" xfId="18569"/>
    <cellStyle name="Comma 5 4 2 4 4" xfId="1996"/>
    <cellStyle name="Comma 5 4 2 4 4 2" xfId="11361"/>
    <cellStyle name="Comma 5 4 2 4 4 3" xfId="21365"/>
    <cellStyle name="Comma 5 4 2 4 5" xfId="5943"/>
    <cellStyle name="Comma 5 4 2 4 5 2" xfId="14770"/>
    <cellStyle name="Comma 5 4 2 4 5 3" xfId="25021"/>
    <cellStyle name="Comma 5 4 2 4 6" xfId="7387"/>
    <cellStyle name="Comma 5 4 2 4 6 2" xfId="19847"/>
    <cellStyle name="Comma 5 4 2 4 7" xfId="16358"/>
    <cellStyle name="Comma 5 4 2 5" xfId="672"/>
    <cellStyle name="Comma 5 4 2 5 2" xfId="3158"/>
    <cellStyle name="Comma 5 4 2 5 2 2" xfId="12301"/>
    <cellStyle name="Comma 5 4 2 5 2 2 2" xfId="22519"/>
    <cellStyle name="Comma 5 4 2 5 2 3" xfId="8723"/>
    <cellStyle name="Comma 5 4 2 5 2 4" xfId="17512"/>
    <cellStyle name="Comma 5 4 2 5 3" xfId="4836"/>
    <cellStyle name="Comma 5 4 2 5 3 2" xfId="13673"/>
    <cellStyle name="Comma 5 4 2 5 3 2 2" xfId="23924"/>
    <cellStyle name="Comma 5 4 2 5 3 3" xfId="10094"/>
    <cellStyle name="Comma 5 4 2 5 3 4" xfId="18917"/>
    <cellStyle name="Comma 5 4 2 5 4" xfId="2267"/>
    <cellStyle name="Comma 5 4 2 5 4 2" xfId="11632"/>
    <cellStyle name="Comma 5 4 2 5 4 3" xfId="21636"/>
    <cellStyle name="Comma 5 4 2 5 5" xfId="6291"/>
    <cellStyle name="Comma 5 4 2 5 5 2" xfId="15118"/>
    <cellStyle name="Comma 5 4 2 5 5 3" xfId="25369"/>
    <cellStyle name="Comma 5 4 2 5 6" xfId="7737"/>
    <cellStyle name="Comma 5 4 2 5 6 2" xfId="20118"/>
    <cellStyle name="Comma 5 4 2 5 7" xfId="16629"/>
    <cellStyle name="Comma 5 4 2 6" xfId="1173"/>
    <cellStyle name="Comma 5 4 2 6 2" xfId="3602"/>
    <cellStyle name="Comma 5 4 2 6 2 2" xfId="12738"/>
    <cellStyle name="Comma 5 4 2 6 2 2 2" xfId="22957"/>
    <cellStyle name="Comma 5 4 2 6 2 3" xfId="9159"/>
    <cellStyle name="Comma 5 4 2 6 2 4" xfId="17950"/>
    <cellStyle name="Comma 5 4 2 6 3" xfId="5265"/>
    <cellStyle name="Comma 5 4 2 6 3 2" xfId="14102"/>
    <cellStyle name="Comma 5 4 2 6 3 2 2" xfId="24353"/>
    <cellStyle name="Comma 5 4 2 6 3 3" xfId="10523"/>
    <cellStyle name="Comma 5 4 2 6 3 4" xfId="19346"/>
    <cellStyle name="Comma 5 4 2 6 4" xfId="1773"/>
    <cellStyle name="Comma 5 4 2 6 4 2" xfId="11144"/>
    <cellStyle name="Comma 5 4 2 6 4 3" xfId="21148"/>
    <cellStyle name="Comma 5 4 2 6 5" xfId="6720"/>
    <cellStyle name="Comma 5 4 2 6 5 2" xfId="15547"/>
    <cellStyle name="Comma 5 4 2 6 5 3" xfId="25798"/>
    <cellStyle name="Comma 5 4 2 6 6" xfId="8166"/>
    <cellStyle name="Comma 5 4 2 6 6 2" xfId="20556"/>
    <cellStyle name="Comma 5 4 2 6 7" xfId="16141"/>
    <cellStyle name="Comma 5 4 2 7" xfId="2670"/>
    <cellStyle name="Comma 5 4 2 7 2" xfId="11987"/>
    <cellStyle name="Comma 5 4 2 7 2 2" xfId="22031"/>
    <cellStyle name="Comma 5 4 2 7 3" xfId="8584"/>
    <cellStyle name="Comma 5 4 2 7 4" xfId="17024"/>
    <cellStyle name="Comma 5 4 2 8" xfId="4221"/>
    <cellStyle name="Comma 5 4 2 8 2" xfId="13059"/>
    <cellStyle name="Comma 5 4 2 8 2 2" xfId="23310"/>
    <cellStyle name="Comma 5 4 2 8 3" xfId="9480"/>
    <cellStyle name="Comma 5 4 2 8 4" xfId="18303"/>
    <cellStyle name="Comma 5 4 2 9" xfId="1493"/>
    <cellStyle name="Comma 5 4 2 9 2" xfId="10870"/>
    <cellStyle name="Comma 5 4 2 9 3" xfId="20874"/>
    <cellStyle name="Comma 5 4 3" xfId="218"/>
    <cellStyle name="Comma 5 4 3 10" xfId="7164"/>
    <cellStyle name="Comma 5 4 3 10 2" xfId="19673"/>
    <cellStyle name="Comma 5 4 3 11" xfId="15910"/>
    <cellStyle name="Comma 5 4 3 2" xfId="544"/>
    <cellStyle name="Comma 5 4 3 2 2" xfId="676"/>
    <cellStyle name="Comma 5 4 3 2 2 2" xfId="3162"/>
    <cellStyle name="Comma 5 4 3 2 2 2 2" xfId="12305"/>
    <cellStyle name="Comma 5 4 3 2 2 2 2 2" xfId="22523"/>
    <cellStyle name="Comma 5 4 3 2 2 2 3" xfId="8727"/>
    <cellStyle name="Comma 5 4 3 2 2 2 4" xfId="17516"/>
    <cellStyle name="Comma 5 4 3 2 2 3" xfId="4491"/>
    <cellStyle name="Comma 5 4 3 2 2 3 2" xfId="13329"/>
    <cellStyle name="Comma 5 4 3 2 2 3 2 2" xfId="23580"/>
    <cellStyle name="Comma 5 4 3 2 2 3 3" xfId="9750"/>
    <cellStyle name="Comma 5 4 3 2 2 3 4" xfId="18573"/>
    <cellStyle name="Comma 5 4 3 2 2 4" xfId="2271"/>
    <cellStyle name="Comma 5 4 3 2 2 4 2" xfId="11636"/>
    <cellStyle name="Comma 5 4 3 2 2 4 3" xfId="21640"/>
    <cellStyle name="Comma 5 4 3 2 2 5" xfId="5947"/>
    <cellStyle name="Comma 5 4 3 2 2 5 2" xfId="14774"/>
    <cellStyle name="Comma 5 4 3 2 2 5 3" xfId="25025"/>
    <cellStyle name="Comma 5 4 3 2 2 6" xfId="7391"/>
    <cellStyle name="Comma 5 4 3 2 2 6 2" xfId="20122"/>
    <cellStyle name="Comma 5 4 3 2 2 7" xfId="16633"/>
    <cellStyle name="Comma 5 4 3 2 3" xfId="1316"/>
    <cellStyle name="Comma 5 4 3 2 3 2" xfId="3745"/>
    <cellStyle name="Comma 5 4 3 2 3 2 2" xfId="12881"/>
    <cellStyle name="Comma 5 4 3 2 3 2 2 2" xfId="23100"/>
    <cellStyle name="Comma 5 4 3 2 3 2 3" xfId="9302"/>
    <cellStyle name="Comma 5 4 3 2 3 2 4" xfId="18093"/>
    <cellStyle name="Comma 5 4 3 2 3 3" xfId="4840"/>
    <cellStyle name="Comma 5 4 3 2 3 3 2" xfId="13677"/>
    <cellStyle name="Comma 5 4 3 2 3 3 2 2" xfId="23928"/>
    <cellStyle name="Comma 5 4 3 2 3 3 3" xfId="10098"/>
    <cellStyle name="Comma 5 4 3 2 3 3 4" xfId="18921"/>
    <cellStyle name="Comma 5 4 3 2 3 4" xfId="2139"/>
    <cellStyle name="Comma 5 4 3 2 3 4 2" xfId="11504"/>
    <cellStyle name="Comma 5 4 3 2 3 4 3" xfId="21508"/>
    <cellStyle name="Comma 5 4 3 2 3 5" xfId="6295"/>
    <cellStyle name="Comma 5 4 3 2 3 5 2" xfId="15122"/>
    <cellStyle name="Comma 5 4 3 2 3 5 3" xfId="25373"/>
    <cellStyle name="Comma 5 4 3 2 3 6" xfId="7741"/>
    <cellStyle name="Comma 5 4 3 2 3 6 2" xfId="20699"/>
    <cellStyle name="Comma 5 4 3 2 3 7" xfId="16501"/>
    <cellStyle name="Comma 5 4 3 2 4" xfId="3030"/>
    <cellStyle name="Comma 5 4 3 2 4 2" xfId="5408"/>
    <cellStyle name="Comma 5 4 3 2 4 2 2" xfId="14245"/>
    <cellStyle name="Comma 5 4 3 2 4 2 2 2" xfId="24496"/>
    <cellStyle name="Comma 5 4 3 2 4 2 3" xfId="10666"/>
    <cellStyle name="Comma 5 4 3 2 4 2 4" xfId="19489"/>
    <cellStyle name="Comma 5 4 3 2 4 3" xfId="6863"/>
    <cellStyle name="Comma 5 4 3 2 4 3 2" xfId="15690"/>
    <cellStyle name="Comma 5 4 3 2 4 3 3" xfId="25941"/>
    <cellStyle name="Comma 5 4 3 2 4 4" xfId="8309"/>
    <cellStyle name="Comma 5 4 3 2 4 4 2" xfId="22391"/>
    <cellStyle name="Comma 5 4 3 2 4 5" xfId="17384"/>
    <cellStyle name="Comma 5 4 3 2 5" xfId="4364"/>
    <cellStyle name="Comma 5 4 3 2 5 2" xfId="13202"/>
    <cellStyle name="Comma 5 4 3 2 5 2 2" xfId="23453"/>
    <cellStyle name="Comma 5 4 3 2 5 3" xfId="9623"/>
    <cellStyle name="Comma 5 4 3 2 5 4" xfId="18446"/>
    <cellStyle name="Comma 5 4 3 2 6" xfId="1636"/>
    <cellStyle name="Comma 5 4 3 2 6 2" xfId="11013"/>
    <cellStyle name="Comma 5 4 3 2 6 3" xfId="21017"/>
    <cellStyle name="Comma 5 4 3 2 7" xfId="5820"/>
    <cellStyle name="Comma 5 4 3 2 7 2" xfId="14647"/>
    <cellStyle name="Comma 5 4 3 2 7 3" xfId="24898"/>
    <cellStyle name="Comma 5 4 3 2 8" xfId="7264"/>
    <cellStyle name="Comma 5 4 3 2 8 2" xfId="19990"/>
    <cellStyle name="Comma 5 4 3 2 9" xfId="16010"/>
    <cellStyle name="Comma 5 4 3 3" xfId="444"/>
    <cellStyle name="Comma 5 4 3 3 2" xfId="2930"/>
    <cellStyle name="Comma 5 4 3 3 2 2" xfId="12218"/>
    <cellStyle name="Comma 5 4 3 3 2 2 2" xfId="22291"/>
    <cellStyle name="Comma 5 4 3 3 2 3" xfId="8423"/>
    <cellStyle name="Comma 5 4 3 3 2 4" xfId="17284"/>
    <cellStyle name="Comma 5 4 3 3 3" xfId="4490"/>
    <cellStyle name="Comma 5 4 3 3 3 2" xfId="13328"/>
    <cellStyle name="Comma 5 4 3 3 3 2 2" xfId="23579"/>
    <cellStyle name="Comma 5 4 3 3 3 3" xfId="9749"/>
    <cellStyle name="Comma 5 4 3 3 3 4" xfId="18572"/>
    <cellStyle name="Comma 5 4 3 3 4" xfId="2039"/>
    <cellStyle name="Comma 5 4 3 3 4 2" xfId="11404"/>
    <cellStyle name="Comma 5 4 3 3 4 3" xfId="21408"/>
    <cellStyle name="Comma 5 4 3 3 5" xfId="5946"/>
    <cellStyle name="Comma 5 4 3 3 5 2" xfId="14773"/>
    <cellStyle name="Comma 5 4 3 3 5 3" xfId="25024"/>
    <cellStyle name="Comma 5 4 3 3 6" xfId="7390"/>
    <cellStyle name="Comma 5 4 3 3 6 2" xfId="19890"/>
    <cellStyle name="Comma 5 4 3 3 7" xfId="16401"/>
    <cellStyle name="Comma 5 4 3 4" xfId="675"/>
    <cellStyle name="Comma 5 4 3 4 2" xfId="3161"/>
    <cellStyle name="Comma 5 4 3 4 2 2" xfId="12304"/>
    <cellStyle name="Comma 5 4 3 4 2 2 2" xfId="22522"/>
    <cellStyle name="Comma 5 4 3 4 2 3" xfId="8726"/>
    <cellStyle name="Comma 5 4 3 4 2 4" xfId="17515"/>
    <cellStyle name="Comma 5 4 3 4 3" xfId="4839"/>
    <cellStyle name="Comma 5 4 3 4 3 2" xfId="13676"/>
    <cellStyle name="Comma 5 4 3 4 3 2 2" xfId="23927"/>
    <cellStyle name="Comma 5 4 3 4 3 3" xfId="10097"/>
    <cellStyle name="Comma 5 4 3 4 3 4" xfId="18920"/>
    <cellStyle name="Comma 5 4 3 4 4" xfId="2270"/>
    <cellStyle name="Comma 5 4 3 4 4 2" xfId="11635"/>
    <cellStyle name="Comma 5 4 3 4 4 3" xfId="21639"/>
    <cellStyle name="Comma 5 4 3 4 5" xfId="6294"/>
    <cellStyle name="Comma 5 4 3 4 5 2" xfId="15121"/>
    <cellStyle name="Comma 5 4 3 4 5 3" xfId="25372"/>
    <cellStyle name="Comma 5 4 3 4 6" xfId="7740"/>
    <cellStyle name="Comma 5 4 3 4 6 2" xfId="20121"/>
    <cellStyle name="Comma 5 4 3 4 7" xfId="16632"/>
    <cellStyle name="Comma 5 4 3 5" xfId="1216"/>
    <cellStyle name="Comma 5 4 3 5 2" xfId="3645"/>
    <cellStyle name="Comma 5 4 3 5 2 2" xfId="12781"/>
    <cellStyle name="Comma 5 4 3 5 2 2 2" xfId="23000"/>
    <cellStyle name="Comma 5 4 3 5 2 3" xfId="9202"/>
    <cellStyle name="Comma 5 4 3 5 2 4" xfId="17993"/>
    <cellStyle name="Comma 5 4 3 5 3" xfId="5308"/>
    <cellStyle name="Comma 5 4 3 5 3 2" xfId="14145"/>
    <cellStyle name="Comma 5 4 3 5 3 2 2" xfId="24396"/>
    <cellStyle name="Comma 5 4 3 5 3 3" xfId="10566"/>
    <cellStyle name="Comma 5 4 3 5 3 4" xfId="19389"/>
    <cellStyle name="Comma 5 4 3 5 4" xfId="1819"/>
    <cellStyle name="Comma 5 4 3 5 4 2" xfId="11187"/>
    <cellStyle name="Comma 5 4 3 5 4 3" xfId="21191"/>
    <cellStyle name="Comma 5 4 3 5 5" xfId="6763"/>
    <cellStyle name="Comma 5 4 3 5 5 2" xfId="15590"/>
    <cellStyle name="Comma 5 4 3 5 5 3" xfId="25841"/>
    <cellStyle name="Comma 5 4 3 5 6" xfId="8209"/>
    <cellStyle name="Comma 5 4 3 5 6 2" xfId="20599"/>
    <cellStyle name="Comma 5 4 3 5 7" xfId="16184"/>
    <cellStyle name="Comma 5 4 3 6" xfId="2713"/>
    <cellStyle name="Comma 5 4 3 6 2" xfId="12030"/>
    <cellStyle name="Comma 5 4 3 6 2 2" xfId="22074"/>
    <cellStyle name="Comma 5 4 3 6 3" xfId="7649"/>
    <cellStyle name="Comma 5 4 3 6 4" xfId="17067"/>
    <cellStyle name="Comma 5 4 3 7" xfId="4264"/>
    <cellStyle name="Comma 5 4 3 7 2" xfId="13102"/>
    <cellStyle name="Comma 5 4 3 7 2 2" xfId="23353"/>
    <cellStyle name="Comma 5 4 3 7 3" xfId="9523"/>
    <cellStyle name="Comma 5 4 3 7 4" xfId="18346"/>
    <cellStyle name="Comma 5 4 3 8" xfId="1536"/>
    <cellStyle name="Comma 5 4 3 8 2" xfId="10913"/>
    <cellStyle name="Comma 5 4 3 8 3" xfId="20917"/>
    <cellStyle name="Comma 5 4 3 9" xfId="5720"/>
    <cellStyle name="Comma 5 4 3 9 2" xfId="14547"/>
    <cellStyle name="Comma 5 4 3 9 3" xfId="24798"/>
    <cellStyle name="Comma 5 4 4" xfId="251"/>
    <cellStyle name="Comma 5 4 4 10" xfId="7089"/>
    <cellStyle name="Comma 5 4 4 10 2" xfId="19703"/>
    <cellStyle name="Comma 5 4 4 11" xfId="15835"/>
    <cellStyle name="Comma 5 4 4 2" xfId="574"/>
    <cellStyle name="Comma 5 4 4 2 2" xfId="678"/>
    <cellStyle name="Comma 5 4 4 2 2 2" xfId="3164"/>
    <cellStyle name="Comma 5 4 4 2 2 2 2" xfId="12307"/>
    <cellStyle name="Comma 5 4 4 2 2 2 2 2" xfId="22525"/>
    <cellStyle name="Comma 5 4 4 2 2 2 3" xfId="8729"/>
    <cellStyle name="Comma 5 4 4 2 2 2 4" xfId="17518"/>
    <cellStyle name="Comma 5 4 4 2 2 3" xfId="4493"/>
    <cellStyle name="Comma 5 4 4 2 2 3 2" xfId="13331"/>
    <cellStyle name="Comma 5 4 4 2 2 3 2 2" xfId="23582"/>
    <cellStyle name="Comma 5 4 4 2 2 3 3" xfId="9752"/>
    <cellStyle name="Comma 5 4 4 2 2 3 4" xfId="18575"/>
    <cellStyle name="Comma 5 4 4 2 2 4" xfId="2273"/>
    <cellStyle name="Comma 5 4 4 2 2 4 2" xfId="11638"/>
    <cellStyle name="Comma 5 4 4 2 2 4 3" xfId="21642"/>
    <cellStyle name="Comma 5 4 4 2 2 5" xfId="5949"/>
    <cellStyle name="Comma 5 4 4 2 2 5 2" xfId="14776"/>
    <cellStyle name="Comma 5 4 4 2 2 5 3" xfId="25027"/>
    <cellStyle name="Comma 5 4 4 2 2 6" xfId="7393"/>
    <cellStyle name="Comma 5 4 4 2 2 6 2" xfId="20124"/>
    <cellStyle name="Comma 5 4 4 2 2 7" xfId="16635"/>
    <cellStyle name="Comma 5 4 4 2 3" xfId="1346"/>
    <cellStyle name="Comma 5 4 4 2 3 2" xfId="3775"/>
    <cellStyle name="Comma 5 4 4 2 3 2 2" xfId="12911"/>
    <cellStyle name="Comma 5 4 4 2 3 2 2 2" xfId="23130"/>
    <cellStyle name="Comma 5 4 4 2 3 2 3" xfId="9332"/>
    <cellStyle name="Comma 5 4 4 2 3 2 4" xfId="18123"/>
    <cellStyle name="Comma 5 4 4 2 3 3" xfId="4842"/>
    <cellStyle name="Comma 5 4 4 2 3 3 2" xfId="13679"/>
    <cellStyle name="Comma 5 4 4 2 3 3 2 2" xfId="23930"/>
    <cellStyle name="Comma 5 4 4 2 3 3 3" xfId="10100"/>
    <cellStyle name="Comma 5 4 4 2 3 3 4" xfId="18923"/>
    <cellStyle name="Comma 5 4 4 2 3 4" xfId="2169"/>
    <cellStyle name="Comma 5 4 4 2 3 4 2" xfId="11534"/>
    <cellStyle name="Comma 5 4 4 2 3 4 3" xfId="21538"/>
    <cellStyle name="Comma 5 4 4 2 3 5" xfId="6297"/>
    <cellStyle name="Comma 5 4 4 2 3 5 2" xfId="15124"/>
    <cellStyle name="Comma 5 4 4 2 3 5 3" xfId="25375"/>
    <cellStyle name="Comma 5 4 4 2 3 6" xfId="7743"/>
    <cellStyle name="Comma 5 4 4 2 3 6 2" xfId="20729"/>
    <cellStyle name="Comma 5 4 4 2 3 7" xfId="16531"/>
    <cellStyle name="Comma 5 4 4 2 4" xfId="3060"/>
    <cellStyle name="Comma 5 4 4 2 4 2" xfId="5438"/>
    <cellStyle name="Comma 5 4 4 2 4 2 2" xfId="14275"/>
    <cellStyle name="Comma 5 4 4 2 4 2 2 2" xfId="24526"/>
    <cellStyle name="Comma 5 4 4 2 4 2 3" xfId="10696"/>
    <cellStyle name="Comma 5 4 4 2 4 2 4" xfId="19519"/>
    <cellStyle name="Comma 5 4 4 2 4 3" xfId="6893"/>
    <cellStyle name="Comma 5 4 4 2 4 3 2" xfId="15720"/>
    <cellStyle name="Comma 5 4 4 2 4 3 3" xfId="25971"/>
    <cellStyle name="Comma 5 4 4 2 4 4" xfId="8339"/>
    <cellStyle name="Comma 5 4 4 2 4 4 2" xfId="22421"/>
    <cellStyle name="Comma 5 4 4 2 4 5" xfId="17414"/>
    <cellStyle name="Comma 5 4 4 2 5" xfId="4394"/>
    <cellStyle name="Comma 5 4 4 2 5 2" xfId="13232"/>
    <cellStyle name="Comma 5 4 4 2 5 2 2" xfId="23483"/>
    <cellStyle name="Comma 5 4 4 2 5 3" xfId="9653"/>
    <cellStyle name="Comma 5 4 4 2 5 4" xfId="18476"/>
    <cellStyle name="Comma 5 4 4 2 6" xfId="1666"/>
    <cellStyle name="Comma 5 4 4 2 6 2" xfId="11043"/>
    <cellStyle name="Comma 5 4 4 2 6 3" xfId="21047"/>
    <cellStyle name="Comma 5 4 4 2 7" xfId="5850"/>
    <cellStyle name="Comma 5 4 4 2 7 2" xfId="14677"/>
    <cellStyle name="Comma 5 4 4 2 7 3" xfId="24928"/>
    <cellStyle name="Comma 5 4 4 2 8" xfId="7294"/>
    <cellStyle name="Comma 5 4 4 2 8 2" xfId="20020"/>
    <cellStyle name="Comma 5 4 4 2 9" xfId="16040"/>
    <cellStyle name="Comma 5 4 4 3" xfId="369"/>
    <cellStyle name="Comma 5 4 4 3 2" xfId="2855"/>
    <cellStyle name="Comma 5 4 4 3 2 2" xfId="12143"/>
    <cellStyle name="Comma 5 4 4 3 2 2 2" xfId="22216"/>
    <cellStyle name="Comma 5 4 4 3 2 3" xfId="8524"/>
    <cellStyle name="Comma 5 4 4 3 2 4" xfId="17209"/>
    <cellStyle name="Comma 5 4 4 3 3" xfId="4492"/>
    <cellStyle name="Comma 5 4 4 3 3 2" xfId="13330"/>
    <cellStyle name="Comma 5 4 4 3 3 2 2" xfId="23581"/>
    <cellStyle name="Comma 5 4 4 3 3 3" xfId="9751"/>
    <cellStyle name="Comma 5 4 4 3 3 4" xfId="18574"/>
    <cellStyle name="Comma 5 4 4 3 4" xfId="1964"/>
    <cellStyle name="Comma 5 4 4 3 4 2" xfId="11329"/>
    <cellStyle name="Comma 5 4 4 3 4 3" xfId="21333"/>
    <cellStyle name="Comma 5 4 4 3 5" xfId="5948"/>
    <cellStyle name="Comma 5 4 4 3 5 2" xfId="14775"/>
    <cellStyle name="Comma 5 4 4 3 5 3" xfId="25026"/>
    <cellStyle name="Comma 5 4 4 3 6" xfId="7392"/>
    <cellStyle name="Comma 5 4 4 3 6 2" xfId="19815"/>
    <cellStyle name="Comma 5 4 4 3 7" xfId="16326"/>
    <cellStyle name="Comma 5 4 4 4" xfId="677"/>
    <cellStyle name="Comma 5 4 4 4 2" xfId="3163"/>
    <cellStyle name="Comma 5 4 4 4 2 2" xfId="12306"/>
    <cellStyle name="Comma 5 4 4 4 2 2 2" xfId="22524"/>
    <cellStyle name="Comma 5 4 4 4 2 3" xfId="8728"/>
    <cellStyle name="Comma 5 4 4 4 2 4" xfId="17517"/>
    <cellStyle name="Comma 5 4 4 4 3" xfId="4841"/>
    <cellStyle name="Comma 5 4 4 4 3 2" xfId="13678"/>
    <cellStyle name="Comma 5 4 4 4 3 2 2" xfId="23929"/>
    <cellStyle name="Comma 5 4 4 4 3 3" xfId="10099"/>
    <cellStyle name="Comma 5 4 4 4 3 4" xfId="18922"/>
    <cellStyle name="Comma 5 4 4 4 4" xfId="2272"/>
    <cellStyle name="Comma 5 4 4 4 4 2" xfId="11637"/>
    <cellStyle name="Comma 5 4 4 4 4 3" xfId="21641"/>
    <cellStyle name="Comma 5 4 4 4 5" xfId="6296"/>
    <cellStyle name="Comma 5 4 4 4 5 2" xfId="15123"/>
    <cellStyle name="Comma 5 4 4 4 5 3" xfId="25374"/>
    <cellStyle name="Comma 5 4 4 4 6" xfId="7742"/>
    <cellStyle name="Comma 5 4 4 4 6 2" xfId="20123"/>
    <cellStyle name="Comma 5 4 4 4 7" xfId="16634"/>
    <cellStyle name="Comma 5 4 4 5" xfId="1141"/>
    <cellStyle name="Comma 5 4 4 5 2" xfId="3570"/>
    <cellStyle name="Comma 5 4 4 5 2 2" xfId="12706"/>
    <cellStyle name="Comma 5 4 4 5 2 2 2" xfId="22925"/>
    <cellStyle name="Comma 5 4 4 5 2 3" xfId="9127"/>
    <cellStyle name="Comma 5 4 4 5 2 4" xfId="17918"/>
    <cellStyle name="Comma 5 4 4 5 3" xfId="5233"/>
    <cellStyle name="Comma 5 4 4 5 3 2" xfId="14070"/>
    <cellStyle name="Comma 5 4 4 5 3 2 2" xfId="24321"/>
    <cellStyle name="Comma 5 4 4 5 3 3" xfId="10491"/>
    <cellStyle name="Comma 5 4 4 5 3 4" xfId="19314"/>
    <cellStyle name="Comma 5 4 4 5 4" xfId="1849"/>
    <cellStyle name="Comma 5 4 4 5 4 2" xfId="11217"/>
    <cellStyle name="Comma 5 4 4 5 4 3" xfId="21221"/>
    <cellStyle name="Comma 5 4 4 5 5" xfId="6688"/>
    <cellStyle name="Comma 5 4 4 5 5 2" xfId="15515"/>
    <cellStyle name="Comma 5 4 4 5 5 3" xfId="25766"/>
    <cellStyle name="Comma 5 4 4 5 6" xfId="8134"/>
    <cellStyle name="Comma 5 4 4 5 6 2" xfId="20524"/>
    <cellStyle name="Comma 5 4 4 5 7" xfId="16214"/>
    <cellStyle name="Comma 5 4 4 6" xfId="2743"/>
    <cellStyle name="Comma 5 4 4 6 2" xfId="12060"/>
    <cellStyle name="Comma 5 4 4 6 2 2" xfId="22104"/>
    <cellStyle name="Comma 5 4 4 6 3" xfId="8549"/>
    <cellStyle name="Comma 5 4 4 6 4" xfId="17097"/>
    <cellStyle name="Comma 5 4 4 7" xfId="4189"/>
    <cellStyle name="Comma 5 4 4 7 2" xfId="13027"/>
    <cellStyle name="Comma 5 4 4 7 2 2" xfId="23278"/>
    <cellStyle name="Comma 5 4 4 7 3" xfId="9448"/>
    <cellStyle name="Comma 5 4 4 7 4" xfId="18271"/>
    <cellStyle name="Comma 5 4 4 8" xfId="1461"/>
    <cellStyle name="Comma 5 4 4 8 2" xfId="10838"/>
    <cellStyle name="Comma 5 4 4 8 3" xfId="20842"/>
    <cellStyle name="Comma 5 4 4 9" xfId="5645"/>
    <cellStyle name="Comma 5 4 4 9 2" xfId="14472"/>
    <cellStyle name="Comma 5 4 4 9 3" xfId="24723"/>
    <cellStyle name="Comma 5 4 5" xfId="469"/>
    <cellStyle name="Comma 5 4 5 2" xfId="679"/>
    <cellStyle name="Comma 5 4 5 2 2" xfId="3165"/>
    <cellStyle name="Comma 5 4 5 2 2 2" xfId="12308"/>
    <cellStyle name="Comma 5 4 5 2 2 2 2" xfId="22526"/>
    <cellStyle name="Comma 5 4 5 2 2 3" xfId="8730"/>
    <cellStyle name="Comma 5 4 5 2 2 4" xfId="17519"/>
    <cellStyle name="Comma 5 4 5 2 3" xfId="4494"/>
    <cellStyle name="Comma 5 4 5 2 3 2" xfId="13332"/>
    <cellStyle name="Comma 5 4 5 2 3 2 2" xfId="23583"/>
    <cellStyle name="Comma 5 4 5 2 3 3" xfId="9753"/>
    <cellStyle name="Comma 5 4 5 2 3 4" xfId="18576"/>
    <cellStyle name="Comma 5 4 5 2 4" xfId="2274"/>
    <cellStyle name="Comma 5 4 5 2 4 2" xfId="11639"/>
    <cellStyle name="Comma 5 4 5 2 4 3" xfId="21643"/>
    <cellStyle name="Comma 5 4 5 2 5" xfId="5950"/>
    <cellStyle name="Comma 5 4 5 2 5 2" xfId="14777"/>
    <cellStyle name="Comma 5 4 5 2 5 3" xfId="25028"/>
    <cellStyle name="Comma 5 4 5 2 6" xfId="7394"/>
    <cellStyle name="Comma 5 4 5 2 6 2" xfId="20125"/>
    <cellStyle name="Comma 5 4 5 2 7" xfId="16636"/>
    <cellStyle name="Comma 5 4 5 3" xfId="1241"/>
    <cellStyle name="Comma 5 4 5 3 2" xfId="3670"/>
    <cellStyle name="Comma 5 4 5 3 2 2" xfId="12806"/>
    <cellStyle name="Comma 5 4 5 3 2 2 2" xfId="23025"/>
    <cellStyle name="Comma 5 4 5 3 2 3" xfId="9227"/>
    <cellStyle name="Comma 5 4 5 3 2 4" xfId="18018"/>
    <cellStyle name="Comma 5 4 5 3 3" xfId="4843"/>
    <cellStyle name="Comma 5 4 5 3 3 2" xfId="13680"/>
    <cellStyle name="Comma 5 4 5 3 3 2 2" xfId="23931"/>
    <cellStyle name="Comma 5 4 5 3 3 3" xfId="10101"/>
    <cellStyle name="Comma 5 4 5 3 3 4" xfId="18924"/>
    <cellStyle name="Comma 5 4 5 3 4" xfId="2064"/>
    <cellStyle name="Comma 5 4 5 3 4 2" xfId="11429"/>
    <cellStyle name="Comma 5 4 5 3 4 3" xfId="21433"/>
    <cellStyle name="Comma 5 4 5 3 5" xfId="6298"/>
    <cellStyle name="Comma 5 4 5 3 5 2" xfId="15125"/>
    <cellStyle name="Comma 5 4 5 3 5 3" xfId="25376"/>
    <cellStyle name="Comma 5 4 5 3 6" xfId="7744"/>
    <cellStyle name="Comma 5 4 5 3 6 2" xfId="20624"/>
    <cellStyle name="Comma 5 4 5 3 7" xfId="16426"/>
    <cellStyle name="Comma 5 4 5 4" xfId="2955"/>
    <cellStyle name="Comma 5 4 5 4 2" xfId="5333"/>
    <cellStyle name="Comma 5 4 5 4 2 2" xfId="14170"/>
    <cellStyle name="Comma 5 4 5 4 2 2 2" xfId="24421"/>
    <cellStyle name="Comma 5 4 5 4 2 3" xfId="10591"/>
    <cellStyle name="Comma 5 4 5 4 2 4" xfId="19414"/>
    <cellStyle name="Comma 5 4 5 4 3" xfId="6788"/>
    <cellStyle name="Comma 5 4 5 4 3 2" xfId="15615"/>
    <cellStyle name="Comma 5 4 5 4 3 3" xfId="25866"/>
    <cellStyle name="Comma 5 4 5 4 4" xfId="8234"/>
    <cellStyle name="Comma 5 4 5 4 4 2" xfId="22316"/>
    <cellStyle name="Comma 5 4 5 4 5" xfId="17309"/>
    <cellStyle name="Comma 5 4 5 5" xfId="4289"/>
    <cellStyle name="Comma 5 4 5 5 2" xfId="13127"/>
    <cellStyle name="Comma 5 4 5 5 2 2" xfId="23378"/>
    <cellStyle name="Comma 5 4 5 5 3" xfId="9548"/>
    <cellStyle name="Comma 5 4 5 5 4" xfId="18371"/>
    <cellStyle name="Comma 5 4 5 6" xfId="1561"/>
    <cellStyle name="Comma 5 4 5 6 2" xfId="10938"/>
    <cellStyle name="Comma 5 4 5 6 3" xfId="20942"/>
    <cellStyle name="Comma 5 4 5 7" xfId="5745"/>
    <cellStyle name="Comma 5 4 5 7 2" xfId="14572"/>
    <cellStyle name="Comma 5 4 5 7 3" xfId="24823"/>
    <cellStyle name="Comma 5 4 5 8" xfId="7189"/>
    <cellStyle name="Comma 5 4 5 8 2" xfId="19915"/>
    <cellStyle name="Comma 5 4 5 9" xfId="15935"/>
    <cellStyle name="Comma 5 4 6" xfId="344"/>
    <cellStyle name="Comma 5 4 6 2" xfId="680"/>
    <cellStyle name="Comma 5 4 6 2 2" xfId="3166"/>
    <cellStyle name="Comma 5 4 6 2 2 2" xfId="12309"/>
    <cellStyle name="Comma 5 4 6 2 2 2 2" xfId="22527"/>
    <cellStyle name="Comma 5 4 6 2 2 3" xfId="8731"/>
    <cellStyle name="Comma 5 4 6 2 2 4" xfId="17520"/>
    <cellStyle name="Comma 5 4 6 2 3" xfId="4495"/>
    <cellStyle name="Comma 5 4 6 2 3 2" xfId="13333"/>
    <cellStyle name="Comma 5 4 6 2 3 2 2" xfId="23584"/>
    <cellStyle name="Comma 5 4 6 2 3 3" xfId="9754"/>
    <cellStyle name="Comma 5 4 6 2 3 4" xfId="18577"/>
    <cellStyle name="Comma 5 4 6 2 4" xfId="2275"/>
    <cellStyle name="Comma 5 4 6 2 4 2" xfId="11640"/>
    <cellStyle name="Comma 5 4 6 2 4 3" xfId="21644"/>
    <cellStyle name="Comma 5 4 6 2 5" xfId="5951"/>
    <cellStyle name="Comma 5 4 6 2 5 2" xfId="14778"/>
    <cellStyle name="Comma 5 4 6 2 5 3" xfId="25029"/>
    <cellStyle name="Comma 5 4 6 2 6" xfId="7395"/>
    <cellStyle name="Comma 5 4 6 2 6 2" xfId="20126"/>
    <cellStyle name="Comma 5 4 6 2 7" xfId="16637"/>
    <cellStyle name="Comma 5 4 6 3" xfId="1116"/>
    <cellStyle name="Comma 5 4 6 3 2" xfId="3545"/>
    <cellStyle name="Comma 5 4 6 3 2 2" xfId="12681"/>
    <cellStyle name="Comma 5 4 6 3 2 2 2" xfId="22900"/>
    <cellStyle name="Comma 5 4 6 3 2 3" xfId="9102"/>
    <cellStyle name="Comma 5 4 6 3 2 4" xfId="17893"/>
    <cellStyle name="Comma 5 4 6 3 3" xfId="4844"/>
    <cellStyle name="Comma 5 4 6 3 3 2" xfId="13681"/>
    <cellStyle name="Comma 5 4 6 3 3 2 2" xfId="23932"/>
    <cellStyle name="Comma 5 4 6 3 3 3" xfId="10102"/>
    <cellStyle name="Comma 5 4 6 3 3 4" xfId="18925"/>
    <cellStyle name="Comma 5 4 6 3 4" xfId="2579"/>
    <cellStyle name="Comma 5 4 6 3 4 2" xfId="11943"/>
    <cellStyle name="Comma 5 4 6 3 4 3" xfId="21947"/>
    <cellStyle name="Comma 5 4 6 3 5" xfId="6299"/>
    <cellStyle name="Comma 5 4 6 3 5 2" xfId="15126"/>
    <cellStyle name="Comma 5 4 6 3 5 3" xfId="25377"/>
    <cellStyle name="Comma 5 4 6 3 6" xfId="7745"/>
    <cellStyle name="Comma 5 4 6 3 6 2" xfId="20499"/>
    <cellStyle name="Comma 5 4 6 3 7" xfId="16940"/>
    <cellStyle name="Comma 5 4 6 4" xfId="2830"/>
    <cellStyle name="Comma 5 4 6 4 2" xfId="5208"/>
    <cellStyle name="Comma 5 4 6 4 2 2" xfId="14045"/>
    <cellStyle name="Comma 5 4 6 4 2 2 2" xfId="24296"/>
    <cellStyle name="Comma 5 4 6 4 2 3" xfId="10466"/>
    <cellStyle name="Comma 5 4 6 4 2 4" xfId="19289"/>
    <cellStyle name="Comma 5 4 6 4 3" xfId="6663"/>
    <cellStyle name="Comma 5 4 6 4 3 2" xfId="15490"/>
    <cellStyle name="Comma 5 4 6 4 3 3" xfId="25741"/>
    <cellStyle name="Comma 5 4 6 4 4" xfId="8109"/>
    <cellStyle name="Comma 5 4 6 4 4 2" xfId="22191"/>
    <cellStyle name="Comma 5 4 6 4 5" xfId="17184"/>
    <cellStyle name="Comma 5 4 6 5" xfId="4162"/>
    <cellStyle name="Comma 5 4 6 5 2" xfId="13000"/>
    <cellStyle name="Comma 5 4 6 5 2 2" xfId="23251"/>
    <cellStyle name="Comma 5 4 6 5 3" xfId="9421"/>
    <cellStyle name="Comma 5 4 6 5 4" xfId="18244"/>
    <cellStyle name="Comma 5 4 6 6" xfId="1939"/>
    <cellStyle name="Comma 5 4 6 6 2" xfId="11304"/>
    <cellStyle name="Comma 5 4 6 6 3" xfId="21308"/>
    <cellStyle name="Comma 5 4 6 7" xfId="5620"/>
    <cellStyle name="Comma 5 4 6 7 2" xfId="14447"/>
    <cellStyle name="Comma 5 4 6 7 3" xfId="24698"/>
    <cellStyle name="Comma 5 4 6 8" xfId="7064"/>
    <cellStyle name="Comma 5 4 6 8 2" xfId="19790"/>
    <cellStyle name="Comma 5 4 6 9" xfId="16301"/>
    <cellStyle name="Comma 5 4 7" xfId="671"/>
    <cellStyle name="Comma 5 4 7 2" xfId="3157"/>
    <cellStyle name="Comma 5 4 7 2 2" xfId="12300"/>
    <cellStyle name="Comma 5 4 7 2 2 2" xfId="22518"/>
    <cellStyle name="Comma 5 4 7 2 3" xfId="8722"/>
    <cellStyle name="Comma 5 4 7 2 4" xfId="17511"/>
    <cellStyle name="Comma 5 4 7 3" xfId="4486"/>
    <cellStyle name="Comma 5 4 7 3 2" xfId="13324"/>
    <cellStyle name="Comma 5 4 7 3 2 2" xfId="23575"/>
    <cellStyle name="Comma 5 4 7 3 3" xfId="9745"/>
    <cellStyle name="Comma 5 4 7 3 4" xfId="18568"/>
    <cellStyle name="Comma 5 4 7 4" xfId="2266"/>
    <cellStyle name="Comma 5 4 7 4 2" xfId="11631"/>
    <cellStyle name="Comma 5 4 7 4 3" xfId="21635"/>
    <cellStyle name="Comma 5 4 7 5" xfId="5942"/>
    <cellStyle name="Comma 5 4 7 5 2" xfId="14769"/>
    <cellStyle name="Comma 5 4 7 5 3" xfId="25020"/>
    <cellStyle name="Comma 5 4 7 6" xfId="7386"/>
    <cellStyle name="Comma 5 4 7 6 2" xfId="20117"/>
    <cellStyle name="Comma 5 4 7 7" xfId="16628"/>
    <cellStyle name="Comma 5 4 8" xfId="1071"/>
    <cellStyle name="Comma 5 4 8 2" xfId="3500"/>
    <cellStyle name="Comma 5 4 8 2 2" xfId="12636"/>
    <cellStyle name="Comma 5 4 8 2 2 2" xfId="22855"/>
    <cellStyle name="Comma 5 4 8 2 3" xfId="9058"/>
    <cellStyle name="Comma 5 4 8 2 4" xfId="17848"/>
    <cellStyle name="Comma 5 4 8 3" xfId="4835"/>
    <cellStyle name="Comma 5 4 8 3 2" xfId="13672"/>
    <cellStyle name="Comma 5 4 8 3 2 2" xfId="23923"/>
    <cellStyle name="Comma 5 4 8 3 3" xfId="10093"/>
    <cellStyle name="Comma 5 4 8 3 4" xfId="18916"/>
    <cellStyle name="Comma 5 4 8 4" xfId="1737"/>
    <cellStyle name="Comma 5 4 8 4 2" xfId="11111"/>
    <cellStyle name="Comma 5 4 8 4 3" xfId="21115"/>
    <cellStyle name="Comma 5 4 8 5" xfId="6290"/>
    <cellStyle name="Comma 5 4 8 5 2" xfId="15117"/>
    <cellStyle name="Comma 5 4 8 5 3" xfId="25368"/>
    <cellStyle name="Comma 5 4 8 6" xfId="7736"/>
    <cellStyle name="Comma 5 4 8 6 2" xfId="20454"/>
    <cellStyle name="Comma 5 4 8 7" xfId="16108"/>
    <cellStyle name="Comma 5 4 9" xfId="2637"/>
    <cellStyle name="Comma 5 4 9 2" xfId="5163"/>
    <cellStyle name="Comma 5 4 9 2 2" xfId="14000"/>
    <cellStyle name="Comma 5 4 9 2 2 2" xfId="24251"/>
    <cellStyle name="Comma 5 4 9 2 3" xfId="10421"/>
    <cellStyle name="Comma 5 4 9 2 4" xfId="19244"/>
    <cellStyle name="Comma 5 4 9 3" xfId="6618"/>
    <cellStyle name="Comma 5 4 9 3 2" xfId="15445"/>
    <cellStyle name="Comma 5 4 9 3 3" xfId="25696"/>
    <cellStyle name="Comma 5 4 9 4" xfId="8064"/>
    <cellStyle name="Comma 5 4 9 4 2" xfId="21999"/>
    <cellStyle name="Comma 5 4 9 5" xfId="16992"/>
    <cellStyle name="Comma 5 5" xfId="146"/>
    <cellStyle name="Comma 5 5 10" xfId="1414"/>
    <cellStyle name="Comma 5 5 10 2" xfId="10791"/>
    <cellStyle name="Comma 5 5 10 3" xfId="20795"/>
    <cellStyle name="Comma 5 5 11" xfId="5525"/>
    <cellStyle name="Comma 5 5 11 2" xfId="14352"/>
    <cellStyle name="Comma 5 5 11 3" xfId="24603"/>
    <cellStyle name="Comma 5 5 12" xfId="6965"/>
    <cellStyle name="Comma 5 5 12 2" xfId="19610"/>
    <cellStyle name="Comma 5 5 13" xfId="15788"/>
    <cellStyle name="Comma 5 5 2" xfId="196"/>
    <cellStyle name="Comma 5 5 2 10" xfId="7144"/>
    <cellStyle name="Comma 5 5 2 10 2" xfId="19653"/>
    <cellStyle name="Comma 5 5 2 11" xfId="15890"/>
    <cellStyle name="Comma 5 5 2 2" xfId="524"/>
    <cellStyle name="Comma 5 5 2 2 2" xfId="683"/>
    <cellStyle name="Comma 5 5 2 2 2 2" xfId="3169"/>
    <cellStyle name="Comma 5 5 2 2 2 2 2" xfId="12312"/>
    <cellStyle name="Comma 5 5 2 2 2 2 2 2" xfId="22530"/>
    <cellStyle name="Comma 5 5 2 2 2 2 3" xfId="8734"/>
    <cellStyle name="Comma 5 5 2 2 2 2 4" xfId="17523"/>
    <cellStyle name="Comma 5 5 2 2 2 3" xfId="4498"/>
    <cellStyle name="Comma 5 5 2 2 2 3 2" xfId="13336"/>
    <cellStyle name="Comma 5 5 2 2 2 3 2 2" xfId="23587"/>
    <cellStyle name="Comma 5 5 2 2 2 3 3" xfId="9757"/>
    <cellStyle name="Comma 5 5 2 2 2 3 4" xfId="18580"/>
    <cellStyle name="Comma 5 5 2 2 2 4" xfId="2278"/>
    <cellStyle name="Comma 5 5 2 2 2 4 2" xfId="11643"/>
    <cellStyle name="Comma 5 5 2 2 2 4 3" xfId="21647"/>
    <cellStyle name="Comma 5 5 2 2 2 5" xfId="5954"/>
    <cellStyle name="Comma 5 5 2 2 2 5 2" xfId="14781"/>
    <cellStyle name="Comma 5 5 2 2 2 5 3" xfId="25032"/>
    <cellStyle name="Comma 5 5 2 2 2 6" xfId="7398"/>
    <cellStyle name="Comma 5 5 2 2 2 6 2" xfId="20129"/>
    <cellStyle name="Comma 5 5 2 2 2 7" xfId="16640"/>
    <cellStyle name="Comma 5 5 2 2 3" xfId="1296"/>
    <cellStyle name="Comma 5 5 2 2 3 2" xfId="3725"/>
    <cellStyle name="Comma 5 5 2 2 3 2 2" xfId="12861"/>
    <cellStyle name="Comma 5 5 2 2 3 2 2 2" xfId="23080"/>
    <cellStyle name="Comma 5 5 2 2 3 2 3" xfId="9282"/>
    <cellStyle name="Comma 5 5 2 2 3 2 4" xfId="18073"/>
    <cellStyle name="Comma 5 5 2 2 3 3" xfId="4847"/>
    <cellStyle name="Comma 5 5 2 2 3 3 2" xfId="13684"/>
    <cellStyle name="Comma 5 5 2 2 3 3 2 2" xfId="23935"/>
    <cellStyle name="Comma 5 5 2 2 3 3 3" xfId="10105"/>
    <cellStyle name="Comma 5 5 2 2 3 3 4" xfId="18928"/>
    <cellStyle name="Comma 5 5 2 2 3 4" xfId="2119"/>
    <cellStyle name="Comma 5 5 2 2 3 4 2" xfId="11484"/>
    <cellStyle name="Comma 5 5 2 2 3 4 3" xfId="21488"/>
    <cellStyle name="Comma 5 5 2 2 3 5" xfId="6302"/>
    <cellStyle name="Comma 5 5 2 2 3 5 2" xfId="15129"/>
    <cellStyle name="Comma 5 5 2 2 3 5 3" xfId="25380"/>
    <cellStyle name="Comma 5 5 2 2 3 6" xfId="7748"/>
    <cellStyle name="Comma 5 5 2 2 3 6 2" xfId="20679"/>
    <cellStyle name="Comma 5 5 2 2 3 7" xfId="16481"/>
    <cellStyle name="Comma 5 5 2 2 4" xfId="3010"/>
    <cellStyle name="Comma 5 5 2 2 4 2" xfId="5388"/>
    <cellStyle name="Comma 5 5 2 2 4 2 2" xfId="14225"/>
    <cellStyle name="Comma 5 5 2 2 4 2 2 2" xfId="24476"/>
    <cellStyle name="Comma 5 5 2 2 4 2 3" xfId="10646"/>
    <cellStyle name="Comma 5 5 2 2 4 2 4" xfId="19469"/>
    <cellStyle name="Comma 5 5 2 2 4 3" xfId="6843"/>
    <cellStyle name="Comma 5 5 2 2 4 3 2" xfId="15670"/>
    <cellStyle name="Comma 5 5 2 2 4 3 3" xfId="25921"/>
    <cellStyle name="Comma 5 5 2 2 4 4" xfId="8289"/>
    <cellStyle name="Comma 5 5 2 2 4 4 2" xfId="22371"/>
    <cellStyle name="Comma 5 5 2 2 4 5" xfId="17364"/>
    <cellStyle name="Comma 5 5 2 2 5" xfId="4344"/>
    <cellStyle name="Comma 5 5 2 2 5 2" xfId="13182"/>
    <cellStyle name="Comma 5 5 2 2 5 2 2" xfId="23433"/>
    <cellStyle name="Comma 5 5 2 2 5 3" xfId="9603"/>
    <cellStyle name="Comma 5 5 2 2 5 4" xfId="18426"/>
    <cellStyle name="Comma 5 5 2 2 6" xfId="1616"/>
    <cellStyle name="Comma 5 5 2 2 6 2" xfId="10993"/>
    <cellStyle name="Comma 5 5 2 2 6 3" xfId="20997"/>
    <cellStyle name="Comma 5 5 2 2 7" xfId="5800"/>
    <cellStyle name="Comma 5 5 2 2 7 2" xfId="14627"/>
    <cellStyle name="Comma 5 5 2 2 7 3" xfId="24878"/>
    <cellStyle name="Comma 5 5 2 2 8" xfId="7244"/>
    <cellStyle name="Comma 5 5 2 2 8 2" xfId="19970"/>
    <cellStyle name="Comma 5 5 2 2 9" xfId="15990"/>
    <cellStyle name="Comma 5 5 2 3" xfId="424"/>
    <cellStyle name="Comma 5 5 2 3 2" xfId="2910"/>
    <cellStyle name="Comma 5 5 2 3 2 2" xfId="12198"/>
    <cellStyle name="Comma 5 5 2 3 2 2 2" xfId="22271"/>
    <cellStyle name="Comma 5 5 2 3 2 3" xfId="8638"/>
    <cellStyle name="Comma 5 5 2 3 2 4" xfId="17264"/>
    <cellStyle name="Comma 5 5 2 3 3" xfId="4497"/>
    <cellStyle name="Comma 5 5 2 3 3 2" xfId="13335"/>
    <cellStyle name="Comma 5 5 2 3 3 2 2" xfId="23586"/>
    <cellStyle name="Comma 5 5 2 3 3 3" xfId="9756"/>
    <cellStyle name="Comma 5 5 2 3 3 4" xfId="18579"/>
    <cellStyle name="Comma 5 5 2 3 4" xfId="2019"/>
    <cellStyle name="Comma 5 5 2 3 4 2" xfId="11384"/>
    <cellStyle name="Comma 5 5 2 3 4 3" xfId="21388"/>
    <cellStyle name="Comma 5 5 2 3 5" xfId="5953"/>
    <cellStyle name="Comma 5 5 2 3 5 2" xfId="14780"/>
    <cellStyle name="Comma 5 5 2 3 5 3" xfId="25031"/>
    <cellStyle name="Comma 5 5 2 3 6" xfId="7397"/>
    <cellStyle name="Comma 5 5 2 3 6 2" xfId="19870"/>
    <cellStyle name="Comma 5 5 2 3 7" xfId="16381"/>
    <cellStyle name="Comma 5 5 2 4" xfId="682"/>
    <cellStyle name="Comma 5 5 2 4 2" xfId="3168"/>
    <cellStyle name="Comma 5 5 2 4 2 2" xfId="12311"/>
    <cellStyle name="Comma 5 5 2 4 2 2 2" xfId="22529"/>
    <cellStyle name="Comma 5 5 2 4 2 3" xfId="8733"/>
    <cellStyle name="Comma 5 5 2 4 2 4" xfId="17522"/>
    <cellStyle name="Comma 5 5 2 4 3" xfId="4846"/>
    <cellStyle name="Comma 5 5 2 4 3 2" xfId="13683"/>
    <cellStyle name="Comma 5 5 2 4 3 2 2" xfId="23934"/>
    <cellStyle name="Comma 5 5 2 4 3 3" xfId="10104"/>
    <cellStyle name="Comma 5 5 2 4 3 4" xfId="18927"/>
    <cellStyle name="Comma 5 5 2 4 4" xfId="2277"/>
    <cellStyle name="Comma 5 5 2 4 4 2" xfId="11642"/>
    <cellStyle name="Comma 5 5 2 4 4 3" xfId="21646"/>
    <cellStyle name="Comma 5 5 2 4 5" xfId="6301"/>
    <cellStyle name="Comma 5 5 2 4 5 2" xfId="15128"/>
    <cellStyle name="Comma 5 5 2 4 5 3" xfId="25379"/>
    <cellStyle name="Comma 5 5 2 4 6" xfId="7747"/>
    <cellStyle name="Comma 5 5 2 4 6 2" xfId="20128"/>
    <cellStyle name="Comma 5 5 2 4 7" xfId="16639"/>
    <cellStyle name="Comma 5 5 2 5" xfId="1196"/>
    <cellStyle name="Comma 5 5 2 5 2" xfId="3625"/>
    <cellStyle name="Comma 5 5 2 5 2 2" xfId="12761"/>
    <cellStyle name="Comma 5 5 2 5 2 2 2" xfId="22980"/>
    <cellStyle name="Comma 5 5 2 5 2 3" xfId="9182"/>
    <cellStyle name="Comma 5 5 2 5 2 4" xfId="17973"/>
    <cellStyle name="Comma 5 5 2 5 3" xfId="5288"/>
    <cellStyle name="Comma 5 5 2 5 3 2" xfId="14125"/>
    <cellStyle name="Comma 5 5 2 5 3 2 2" xfId="24376"/>
    <cellStyle name="Comma 5 5 2 5 3 3" xfId="10546"/>
    <cellStyle name="Comma 5 5 2 5 3 4" xfId="19369"/>
    <cellStyle name="Comma 5 5 2 5 4" xfId="1798"/>
    <cellStyle name="Comma 5 5 2 5 4 2" xfId="11167"/>
    <cellStyle name="Comma 5 5 2 5 4 3" xfId="21171"/>
    <cellStyle name="Comma 5 5 2 5 5" xfId="6743"/>
    <cellStyle name="Comma 5 5 2 5 5 2" xfId="15570"/>
    <cellStyle name="Comma 5 5 2 5 5 3" xfId="25821"/>
    <cellStyle name="Comma 5 5 2 5 6" xfId="8189"/>
    <cellStyle name="Comma 5 5 2 5 6 2" xfId="20579"/>
    <cellStyle name="Comma 5 5 2 5 7" xfId="16164"/>
    <cellStyle name="Comma 5 5 2 6" xfId="2693"/>
    <cellStyle name="Comma 5 5 2 6 2" xfId="12010"/>
    <cellStyle name="Comma 5 5 2 6 2 2" xfId="22054"/>
    <cellStyle name="Comma 5 5 2 6 3" xfId="8502"/>
    <cellStyle name="Comma 5 5 2 6 4" xfId="17047"/>
    <cellStyle name="Comma 5 5 2 7" xfId="4244"/>
    <cellStyle name="Comma 5 5 2 7 2" xfId="13082"/>
    <cellStyle name="Comma 5 5 2 7 2 2" xfId="23333"/>
    <cellStyle name="Comma 5 5 2 7 3" xfId="9503"/>
    <cellStyle name="Comma 5 5 2 7 4" xfId="18326"/>
    <cellStyle name="Comma 5 5 2 8" xfId="1516"/>
    <cellStyle name="Comma 5 5 2 8 2" xfId="10893"/>
    <cellStyle name="Comma 5 5 2 8 3" xfId="20897"/>
    <cellStyle name="Comma 5 5 2 9" xfId="5700"/>
    <cellStyle name="Comma 5 5 2 9 2" xfId="14527"/>
    <cellStyle name="Comma 5 5 2 9 3" xfId="24778"/>
    <cellStyle name="Comma 5 5 3" xfId="263"/>
    <cellStyle name="Comma 5 5 3 10" xfId="7101"/>
    <cellStyle name="Comma 5 5 3 10 2" xfId="19715"/>
    <cellStyle name="Comma 5 5 3 11" xfId="15847"/>
    <cellStyle name="Comma 5 5 3 2" xfId="586"/>
    <cellStyle name="Comma 5 5 3 2 2" xfId="685"/>
    <cellStyle name="Comma 5 5 3 2 2 2" xfId="3171"/>
    <cellStyle name="Comma 5 5 3 2 2 2 2" xfId="12314"/>
    <cellStyle name="Comma 5 5 3 2 2 2 2 2" xfId="22532"/>
    <cellStyle name="Comma 5 5 3 2 2 2 3" xfId="8736"/>
    <cellStyle name="Comma 5 5 3 2 2 2 4" xfId="17525"/>
    <cellStyle name="Comma 5 5 3 2 2 3" xfId="4500"/>
    <cellStyle name="Comma 5 5 3 2 2 3 2" xfId="13338"/>
    <cellStyle name="Comma 5 5 3 2 2 3 2 2" xfId="23589"/>
    <cellStyle name="Comma 5 5 3 2 2 3 3" xfId="9759"/>
    <cellStyle name="Comma 5 5 3 2 2 3 4" xfId="18582"/>
    <cellStyle name="Comma 5 5 3 2 2 4" xfId="2280"/>
    <cellStyle name="Comma 5 5 3 2 2 4 2" xfId="11645"/>
    <cellStyle name="Comma 5 5 3 2 2 4 3" xfId="21649"/>
    <cellStyle name="Comma 5 5 3 2 2 5" xfId="5956"/>
    <cellStyle name="Comma 5 5 3 2 2 5 2" xfId="14783"/>
    <cellStyle name="Comma 5 5 3 2 2 5 3" xfId="25034"/>
    <cellStyle name="Comma 5 5 3 2 2 6" xfId="7400"/>
    <cellStyle name="Comma 5 5 3 2 2 6 2" xfId="20131"/>
    <cellStyle name="Comma 5 5 3 2 2 7" xfId="16642"/>
    <cellStyle name="Comma 5 5 3 2 3" xfId="1358"/>
    <cellStyle name="Comma 5 5 3 2 3 2" xfId="3787"/>
    <cellStyle name="Comma 5 5 3 2 3 2 2" xfId="12923"/>
    <cellStyle name="Comma 5 5 3 2 3 2 2 2" xfId="23142"/>
    <cellStyle name="Comma 5 5 3 2 3 2 3" xfId="9344"/>
    <cellStyle name="Comma 5 5 3 2 3 2 4" xfId="18135"/>
    <cellStyle name="Comma 5 5 3 2 3 3" xfId="4849"/>
    <cellStyle name="Comma 5 5 3 2 3 3 2" xfId="13686"/>
    <cellStyle name="Comma 5 5 3 2 3 3 2 2" xfId="23937"/>
    <cellStyle name="Comma 5 5 3 2 3 3 3" xfId="10107"/>
    <cellStyle name="Comma 5 5 3 2 3 3 4" xfId="18930"/>
    <cellStyle name="Comma 5 5 3 2 3 4" xfId="2181"/>
    <cellStyle name="Comma 5 5 3 2 3 4 2" xfId="11546"/>
    <cellStyle name="Comma 5 5 3 2 3 4 3" xfId="21550"/>
    <cellStyle name="Comma 5 5 3 2 3 5" xfId="6304"/>
    <cellStyle name="Comma 5 5 3 2 3 5 2" xfId="15131"/>
    <cellStyle name="Comma 5 5 3 2 3 5 3" xfId="25382"/>
    <cellStyle name="Comma 5 5 3 2 3 6" xfId="7750"/>
    <cellStyle name="Comma 5 5 3 2 3 6 2" xfId="20741"/>
    <cellStyle name="Comma 5 5 3 2 3 7" xfId="16543"/>
    <cellStyle name="Comma 5 5 3 2 4" xfId="3072"/>
    <cellStyle name="Comma 5 5 3 2 4 2" xfId="5450"/>
    <cellStyle name="Comma 5 5 3 2 4 2 2" xfId="14287"/>
    <cellStyle name="Comma 5 5 3 2 4 2 2 2" xfId="24538"/>
    <cellStyle name="Comma 5 5 3 2 4 2 3" xfId="10708"/>
    <cellStyle name="Comma 5 5 3 2 4 2 4" xfId="19531"/>
    <cellStyle name="Comma 5 5 3 2 4 3" xfId="6905"/>
    <cellStyle name="Comma 5 5 3 2 4 3 2" xfId="15732"/>
    <cellStyle name="Comma 5 5 3 2 4 3 3" xfId="25983"/>
    <cellStyle name="Comma 5 5 3 2 4 4" xfId="8351"/>
    <cellStyle name="Comma 5 5 3 2 4 4 2" xfId="22433"/>
    <cellStyle name="Comma 5 5 3 2 4 5" xfId="17426"/>
    <cellStyle name="Comma 5 5 3 2 5" xfId="4406"/>
    <cellStyle name="Comma 5 5 3 2 5 2" xfId="13244"/>
    <cellStyle name="Comma 5 5 3 2 5 2 2" xfId="23495"/>
    <cellStyle name="Comma 5 5 3 2 5 3" xfId="9665"/>
    <cellStyle name="Comma 5 5 3 2 5 4" xfId="18488"/>
    <cellStyle name="Comma 5 5 3 2 6" xfId="1678"/>
    <cellStyle name="Comma 5 5 3 2 6 2" xfId="11055"/>
    <cellStyle name="Comma 5 5 3 2 6 3" xfId="21059"/>
    <cellStyle name="Comma 5 5 3 2 7" xfId="5862"/>
    <cellStyle name="Comma 5 5 3 2 7 2" xfId="14689"/>
    <cellStyle name="Comma 5 5 3 2 7 3" xfId="24940"/>
    <cellStyle name="Comma 5 5 3 2 8" xfId="7306"/>
    <cellStyle name="Comma 5 5 3 2 8 2" xfId="20032"/>
    <cellStyle name="Comma 5 5 3 2 9" xfId="16052"/>
    <cellStyle name="Comma 5 5 3 3" xfId="381"/>
    <cellStyle name="Comma 5 5 3 3 2" xfId="2867"/>
    <cellStyle name="Comma 5 5 3 3 2 2" xfId="12155"/>
    <cellStyle name="Comma 5 5 3 3 2 2 2" xfId="22228"/>
    <cellStyle name="Comma 5 5 3 3 2 3" xfId="8468"/>
    <cellStyle name="Comma 5 5 3 3 2 4" xfId="17221"/>
    <cellStyle name="Comma 5 5 3 3 3" xfId="4499"/>
    <cellStyle name="Comma 5 5 3 3 3 2" xfId="13337"/>
    <cellStyle name="Comma 5 5 3 3 3 2 2" xfId="23588"/>
    <cellStyle name="Comma 5 5 3 3 3 3" xfId="9758"/>
    <cellStyle name="Comma 5 5 3 3 3 4" xfId="18581"/>
    <cellStyle name="Comma 5 5 3 3 4" xfId="1976"/>
    <cellStyle name="Comma 5 5 3 3 4 2" xfId="11341"/>
    <cellStyle name="Comma 5 5 3 3 4 3" xfId="21345"/>
    <cellStyle name="Comma 5 5 3 3 5" xfId="5955"/>
    <cellStyle name="Comma 5 5 3 3 5 2" xfId="14782"/>
    <cellStyle name="Comma 5 5 3 3 5 3" xfId="25033"/>
    <cellStyle name="Comma 5 5 3 3 6" xfId="7399"/>
    <cellStyle name="Comma 5 5 3 3 6 2" xfId="19827"/>
    <cellStyle name="Comma 5 5 3 3 7" xfId="16338"/>
    <cellStyle name="Comma 5 5 3 4" xfId="684"/>
    <cellStyle name="Comma 5 5 3 4 2" xfId="3170"/>
    <cellStyle name="Comma 5 5 3 4 2 2" xfId="12313"/>
    <cellStyle name="Comma 5 5 3 4 2 2 2" xfId="22531"/>
    <cellStyle name="Comma 5 5 3 4 2 3" xfId="8735"/>
    <cellStyle name="Comma 5 5 3 4 2 4" xfId="17524"/>
    <cellStyle name="Comma 5 5 3 4 3" xfId="4848"/>
    <cellStyle name="Comma 5 5 3 4 3 2" xfId="13685"/>
    <cellStyle name="Comma 5 5 3 4 3 2 2" xfId="23936"/>
    <cellStyle name="Comma 5 5 3 4 3 3" xfId="10106"/>
    <cellStyle name="Comma 5 5 3 4 3 4" xfId="18929"/>
    <cellStyle name="Comma 5 5 3 4 4" xfId="2279"/>
    <cellStyle name="Comma 5 5 3 4 4 2" xfId="11644"/>
    <cellStyle name="Comma 5 5 3 4 4 3" xfId="21648"/>
    <cellStyle name="Comma 5 5 3 4 5" xfId="6303"/>
    <cellStyle name="Comma 5 5 3 4 5 2" xfId="15130"/>
    <cellStyle name="Comma 5 5 3 4 5 3" xfId="25381"/>
    <cellStyle name="Comma 5 5 3 4 6" xfId="7749"/>
    <cellStyle name="Comma 5 5 3 4 6 2" xfId="20130"/>
    <cellStyle name="Comma 5 5 3 4 7" xfId="16641"/>
    <cellStyle name="Comma 5 5 3 5" xfId="1153"/>
    <cellStyle name="Comma 5 5 3 5 2" xfId="3582"/>
    <cellStyle name="Comma 5 5 3 5 2 2" xfId="12718"/>
    <cellStyle name="Comma 5 5 3 5 2 2 2" xfId="22937"/>
    <cellStyle name="Comma 5 5 3 5 2 3" xfId="9139"/>
    <cellStyle name="Comma 5 5 3 5 2 4" xfId="17930"/>
    <cellStyle name="Comma 5 5 3 5 3" xfId="5245"/>
    <cellStyle name="Comma 5 5 3 5 3 2" xfId="14082"/>
    <cellStyle name="Comma 5 5 3 5 3 2 2" xfId="24333"/>
    <cellStyle name="Comma 5 5 3 5 3 3" xfId="10503"/>
    <cellStyle name="Comma 5 5 3 5 3 4" xfId="19326"/>
    <cellStyle name="Comma 5 5 3 5 4" xfId="1861"/>
    <cellStyle name="Comma 5 5 3 5 4 2" xfId="11229"/>
    <cellStyle name="Comma 5 5 3 5 4 3" xfId="21233"/>
    <cellStyle name="Comma 5 5 3 5 5" xfId="6700"/>
    <cellStyle name="Comma 5 5 3 5 5 2" xfId="15527"/>
    <cellStyle name="Comma 5 5 3 5 5 3" xfId="25778"/>
    <cellStyle name="Comma 5 5 3 5 6" xfId="8146"/>
    <cellStyle name="Comma 5 5 3 5 6 2" xfId="20536"/>
    <cellStyle name="Comma 5 5 3 5 7" xfId="16226"/>
    <cellStyle name="Comma 5 5 3 6" xfId="2755"/>
    <cellStyle name="Comma 5 5 3 6 2" xfId="12072"/>
    <cellStyle name="Comma 5 5 3 6 2 2" xfId="22116"/>
    <cellStyle name="Comma 5 5 3 6 3" xfId="8489"/>
    <cellStyle name="Comma 5 5 3 6 4" xfId="17109"/>
    <cellStyle name="Comma 5 5 3 7" xfId="4201"/>
    <cellStyle name="Comma 5 5 3 7 2" xfId="13039"/>
    <cellStyle name="Comma 5 5 3 7 2 2" xfId="23290"/>
    <cellStyle name="Comma 5 5 3 7 3" xfId="9460"/>
    <cellStyle name="Comma 5 5 3 7 4" xfId="18283"/>
    <cellStyle name="Comma 5 5 3 8" xfId="1473"/>
    <cellStyle name="Comma 5 5 3 8 2" xfId="10850"/>
    <cellStyle name="Comma 5 5 3 8 3" xfId="20854"/>
    <cellStyle name="Comma 5 5 3 9" xfId="5657"/>
    <cellStyle name="Comma 5 5 3 9 2" xfId="14484"/>
    <cellStyle name="Comma 5 5 3 9 3" xfId="24735"/>
    <cellStyle name="Comma 5 5 4" xfId="481"/>
    <cellStyle name="Comma 5 5 4 2" xfId="686"/>
    <cellStyle name="Comma 5 5 4 2 2" xfId="3172"/>
    <cellStyle name="Comma 5 5 4 2 2 2" xfId="12315"/>
    <cellStyle name="Comma 5 5 4 2 2 2 2" xfId="22533"/>
    <cellStyle name="Comma 5 5 4 2 2 3" xfId="8737"/>
    <cellStyle name="Comma 5 5 4 2 2 4" xfId="17526"/>
    <cellStyle name="Comma 5 5 4 2 3" xfId="4501"/>
    <cellStyle name="Comma 5 5 4 2 3 2" xfId="13339"/>
    <cellStyle name="Comma 5 5 4 2 3 2 2" xfId="23590"/>
    <cellStyle name="Comma 5 5 4 2 3 3" xfId="9760"/>
    <cellStyle name="Comma 5 5 4 2 3 4" xfId="18583"/>
    <cellStyle name="Comma 5 5 4 2 4" xfId="2281"/>
    <cellStyle name="Comma 5 5 4 2 4 2" xfId="11646"/>
    <cellStyle name="Comma 5 5 4 2 4 3" xfId="21650"/>
    <cellStyle name="Comma 5 5 4 2 5" xfId="5957"/>
    <cellStyle name="Comma 5 5 4 2 5 2" xfId="14784"/>
    <cellStyle name="Comma 5 5 4 2 5 3" xfId="25035"/>
    <cellStyle name="Comma 5 5 4 2 6" xfId="7401"/>
    <cellStyle name="Comma 5 5 4 2 6 2" xfId="20132"/>
    <cellStyle name="Comma 5 5 4 2 7" xfId="16643"/>
    <cellStyle name="Comma 5 5 4 3" xfId="1253"/>
    <cellStyle name="Comma 5 5 4 3 2" xfId="3682"/>
    <cellStyle name="Comma 5 5 4 3 2 2" xfId="12818"/>
    <cellStyle name="Comma 5 5 4 3 2 2 2" xfId="23037"/>
    <cellStyle name="Comma 5 5 4 3 2 3" xfId="9239"/>
    <cellStyle name="Comma 5 5 4 3 2 4" xfId="18030"/>
    <cellStyle name="Comma 5 5 4 3 3" xfId="4850"/>
    <cellStyle name="Comma 5 5 4 3 3 2" xfId="13687"/>
    <cellStyle name="Comma 5 5 4 3 3 2 2" xfId="23938"/>
    <cellStyle name="Comma 5 5 4 3 3 3" xfId="10108"/>
    <cellStyle name="Comma 5 5 4 3 3 4" xfId="18931"/>
    <cellStyle name="Comma 5 5 4 3 4" xfId="2076"/>
    <cellStyle name="Comma 5 5 4 3 4 2" xfId="11441"/>
    <cellStyle name="Comma 5 5 4 3 4 3" xfId="21445"/>
    <cellStyle name="Comma 5 5 4 3 5" xfId="6305"/>
    <cellStyle name="Comma 5 5 4 3 5 2" xfId="15132"/>
    <cellStyle name="Comma 5 5 4 3 5 3" xfId="25383"/>
    <cellStyle name="Comma 5 5 4 3 6" xfId="7751"/>
    <cellStyle name="Comma 5 5 4 3 6 2" xfId="20636"/>
    <cellStyle name="Comma 5 5 4 3 7" xfId="16438"/>
    <cellStyle name="Comma 5 5 4 4" xfId="2967"/>
    <cellStyle name="Comma 5 5 4 4 2" xfId="5345"/>
    <cellStyle name="Comma 5 5 4 4 2 2" xfId="14182"/>
    <cellStyle name="Comma 5 5 4 4 2 2 2" xfId="24433"/>
    <cellStyle name="Comma 5 5 4 4 2 3" xfId="10603"/>
    <cellStyle name="Comma 5 5 4 4 2 4" xfId="19426"/>
    <cellStyle name="Comma 5 5 4 4 3" xfId="6800"/>
    <cellStyle name="Comma 5 5 4 4 3 2" xfId="15627"/>
    <cellStyle name="Comma 5 5 4 4 3 3" xfId="25878"/>
    <cellStyle name="Comma 5 5 4 4 4" xfId="8246"/>
    <cellStyle name="Comma 5 5 4 4 4 2" xfId="22328"/>
    <cellStyle name="Comma 5 5 4 4 5" xfId="17321"/>
    <cellStyle name="Comma 5 5 4 5" xfId="4301"/>
    <cellStyle name="Comma 5 5 4 5 2" xfId="13139"/>
    <cellStyle name="Comma 5 5 4 5 2 2" xfId="23390"/>
    <cellStyle name="Comma 5 5 4 5 3" xfId="9560"/>
    <cellStyle name="Comma 5 5 4 5 4" xfId="18383"/>
    <cellStyle name="Comma 5 5 4 6" xfId="1573"/>
    <cellStyle name="Comma 5 5 4 6 2" xfId="10950"/>
    <cellStyle name="Comma 5 5 4 6 3" xfId="20954"/>
    <cellStyle name="Comma 5 5 4 7" xfId="5757"/>
    <cellStyle name="Comma 5 5 4 7 2" xfId="14584"/>
    <cellStyle name="Comma 5 5 4 7 3" xfId="24835"/>
    <cellStyle name="Comma 5 5 4 8" xfId="7201"/>
    <cellStyle name="Comma 5 5 4 8 2" xfId="19927"/>
    <cellStyle name="Comma 5 5 4 9" xfId="15947"/>
    <cellStyle name="Comma 5 5 5" xfId="322"/>
    <cellStyle name="Comma 5 5 5 2" xfId="2808"/>
    <cellStyle name="Comma 5 5 5 2 2" xfId="12112"/>
    <cellStyle name="Comma 5 5 5 2 2 2" xfId="22169"/>
    <cellStyle name="Comma 5 5 5 2 3" xfId="8541"/>
    <cellStyle name="Comma 5 5 5 2 4" xfId="17162"/>
    <cellStyle name="Comma 5 5 5 3" xfId="4496"/>
    <cellStyle name="Comma 5 5 5 3 2" xfId="13334"/>
    <cellStyle name="Comma 5 5 5 3 2 2" xfId="23585"/>
    <cellStyle name="Comma 5 5 5 3 3" xfId="9755"/>
    <cellStyle name="Comma 5 5 5 3 4" xfId="18578"/>
    <cellStyle name="Comma 5 5 5 4" xfId="1917"/>
    <cellStyle name="Comma 5 5 5 4 2" xfId="11282"/>
    <cellStyle name="Comma 5 5 5 4 3" xfId="21286"/>
    <cellStyle name="Comma 5 5 5 5" xfId="5952"/>
    <cellStyle name="Comma 5 5 5 5 2" xfId="14779"/>
    <cellStyle name="Comma 5 5 5 5 3" xfId="25030"/>
    <cellStyle name="Comma 5 5 5 6" xfId="7396"/>
    <cellStyle name="Comma 5 5 5 6 2" xfId="19768"/>
    <cellStyle name="Comma 5 5 5 7" xfId="16279"/>
    <cellStyle name="Comma 5 5 6" xfId="681"/>
    <cellStyle name="Comma 5 5 6 2" xfId="3167"/>
    <cellStyle name="Comma 5 5 6 2 2" xfId="12310"/>
    <cellStyle name="Comma 5 5 6 2 2 2" xfId="22528"/>
    <cellStyle name="Comma 5 5 6 2 3" xfId="8732"/>
    <cellStyle name="Comma 5 5 6 2 4" xfId="17521"/>
    <cellStyle name="Comma 5 5 6 3" xfId="4845"/>
    <cellStyle name="Comma 5 5 6 3 2" xfId="13682"/>
    <cellStyle name="Comma 5 5 6 3 2 2" xfId="23933"/>
    <cellStyle name="Comma 5 5 6 3 3" xfId="10103"/>
    <cellStyle name="Comma 5 5 6 3 4" xfId="18926"/>
    <cellStyle name="Comma 5 5 6 4" xfId="2276"/>
    <cellStyle name="Comma 5 5 6 4 2" xfId="11641"/>
    <cellStyle name="Comma 5 5 6 4 3" xfId="21645"/>
    <cellStyle name="Comma 5 5 6 5" xfId="6300"/>
    <cellStyle name="Comma 5 5 6 5 2" xfId="15127"/>
    <cellStyle name="Comma 5 5 6 5 3" xfId="25378"/>
    <cellStyle name="Comma 5 5 6 6" xfId="7746"/>
    <cellStyle name="Comma 5 5 6 6 2" xfId="20127"/>
    <cellStyle name="Comma 5 5 6 7" xfId="16638"/>
    <cellStyle name="Comma 5 5 7" xfId="1094"/>
    <cellStyle name="Comma 5 5 7 2" xfId="3523"/>
    <cellStyle name="Comma 5 5 7 2 2" xfId="12659"/>
    <cellStyle name="Comma 5 5 7 2 2 2" xfId="22878"/>
    <cellStyle name="Comma 5 5 7 2 3" xfId="9081"/>
    <cellStyle name="Comma 5 5 7 2 4" xfId="17871"/>
    <cellStyle name="Comma 5 5 7 3" xfId="5186"/>
    <cellStyle name="Comma 5 5 7 3 2" xfId="14023"/>
    <cellStyle name="Comma 5 5 7 3 2 2" xfId="24274"/>
    <cellStyle name="Comma 5 5 7 3 3" xfId="10444"/>
    <cellStyle name="Comma 5 5 7 3 4" xfId="19267"/>
    <cellStyle name="Comma 5 5 7 4" xfId="1752"/>
    <cellStyle name="Comma 5 5 7 4 2" xfId="11123"/>
    <cellStyle name="Comma 5 5 7 4 3" xfId="21127"/>
    <cellStyle name="Comma 5 5 7 5" xfId="6641"/>
    <cellStyle name="Comma 5 5 7 5 2" xfId="15468"/>
    <cellStyle name="Comma 5 5 7 5 3" xfId="25719"/>
    <cellStyle name="Comma 5 5 7 6" xfId="8087"/>
    <cellStyle name="Comma 5 5 7 6 2" xfId="20477"/>
    <cellStyle name="Comma 5 5 7 7" xfId="16120"/>
    <cellStyle name="Comma 5 5 8" xfId="2650"/>
    <cellStyle name="Comma 5 5 8 2" xfId="5598"/>
    <cellStyle name="Comma 5 5 8 2 2" xfId="14425"/>
    <cellStyle name="Comma 5 5 8 2 3" xfId="24676"/>
    <cellStyle name="Comma 5 5 8 3" xfId="7042"/>
    <cellStyle name="Comma 5 5 8 3 2" xfId="22011"/>
    <cellStyle name="Comma 5 5 8 4" xfId="17004"/>
    <cellStyle name="Comma 5 5 9" xfId="4140"/>
    <cellStyle name="Comma 5 5 9 2" xfId="12978"/>
    <cellStyle name="Comma 5 5 9 2 2" xfId="23229"/>
    <cellStyle name="Comma 5 5 9 3" xfId="9399"/>
    <cellStyle name="Comma 5 5 9 4" xfId="18222"/>
    <cellStyle name="Comma 5 6" xfId="179"/>
    <cellStyle name="Comma 5 6 10" xfId="7127"/>
    <cellStyle name="Comma 5 6 10 2" xfId="19636"/>
    <cellStyle name="Comma 5 6 11" xfId="15873"/>
    <cellStyle name="Comma 5 6 2" xfId="507"/>
    <cellStyle name="Comma 5 6 2 2" xfId="688"/>
    <cellStyle name="Comma 5 6 2 2 2" xfId="3174"/>
    <cellStyle name="Comma 5 6 2 2 2 2" xfId="12317"/>
    <cellStyle name="Comma 5 6 2 2 2 2 2" xfId="22535"/>
    <cellStyle name="Comma 5 6 2 2 2 3" xfId="8739"/>
    <cellStyle name="Comma 5 6 2 2 2 4" xfId="17528"/>
    <cellStyle name="Comma 5 6 2 2 3" xfId="4503"/>
    <cellStyle name="Comma 5 6 2 2 3 2" xfId="13341"/>
    <cellStyle name="Comma 5 6 2 2 3 2 2" xfId="23592"/>
    <cellStyle name="Comma 5 6 2 2 3 3" xfId="9762"/>
    <cellStyle name="Comma 5 6 2 2 3 4" xfId="18585"/>
    <cellStyle name="Comma 5 6 2 2 4" xfId="2283"/>
    <cellStyle name="Comma 5 6 2 2 4 2" xfId="11648"/>
    <cellStyle name="Comma 5 6 2 2 4 3" xfId="21652"/>
    <cellStyle name="Comma 5 6 2 2 5" xfId="5959"/>
    <cellStyle name="Comma 5 6 2 2 5 2" xfId="14786"/>
    <cellStyle name="Comma 5 6 2 2 5 3" xfId="25037"/>
    <cellStyle name="Comma 5 6 2 2 6" xfId="7403"/>
    <cellStyle name="Comma 5 6 2 2 6 2" xfId="20134"/>
    <cellStyle name="Comma 5 6 2 2 7" xfId="16645"/>
    <cellStyle name="Comma 5 6 2 3" xfId="1279"/>
    <cellStyle name="Comma 5 6 2 3 2" xfId="3708"/>
    <cellStyle name="Comma 5 6 2 3 2 2" xfId="12844"/>
    <cellStyle name="Comma 5 6 2 3 2 2 2" xfId="23063"/>
    <cellStyle name="Comma 5 6 2 3 2 3" xfId="9265"/>
    <cellStyle name="Comma 5 6 2 3 2 4" xfId="18056"/>
    <cellStyle name="Comma 5 6 2 3 3" xfId="4852"/>
    <cellStyle name="Comma 5 6 2 3 3 2" xfId="13689"/>
    <cellStyle name="Comma 5 6 2 3 3 2 2" xfId="23940"/>
    <cellStyle name="Comma 5 6 2 3 3 3" xfId="10110"/>
    <cellStyle name="Comma 5 6 2 3 3 4" xfId="18933"/>
    <cellStyle name="Comma 5 6 2 3 4" xfId="2102"/>
    <cellStyle name="Comma 5 6 2 3 4 2" xfId="11467"/>
    <cellStyle name="Comma 5 6 2 3 4 3" xfId="21471"/>
    <cellStyle name="Comma 5 6 2 3 5" xfId="6307"/>
    <cellStyle name="Comma 5 6 2 3 5 2" xfId="15134"/>
    <cellStyle name="Comma 5 6 2 3 5 3" xfId="25385"/>
    <cellStyle name="Comma 5 6 2 3 6" xfId="7753"/>
    <cellStyle name="Comma 5 6 2 3 6 2" xfId="20662"/>
    <cellStyle name="Comma 5 6 2 3 7" xfId="16464"/>
    <cellStyle name="Comma 5 6 2 4" xfId="2993"/>
    <cellStyle name="Comma 5 6 2 4 2" xfId="5371"/>
    <cellStyle name="Comma 5 6 2 4 2 2" xfId="14208"/>
    <cellStyle name="Comma 5 6 2 4 2 2 2" xfId="24459"/>
    <cellStyle name="Comma 5 6 2 4 2 3" xfId="10629"/>
    <cellStyle name="Comma 5 6 2 4 2 4" xfId="19452"/>
    <cellStyle name="Comma 5 6 2 4 3" xfId="6826"/>
    <cellStyle name="Comma 5 6 2 4 3 2" xfId="15653"/>
    <cellStyle name="Comma 5 6 2 4 3 3" xfId="25904"/>
    <cellStyle name="Comma 5 6 2 4 4" xfId="8272"/>
    <cellStyle name="Comma 5 6 2 4 4 2" xfId="22354"/>
    <cellStyle name="Comma 5 6 2 4 5" xfId="17347"/>
    <cellStyle name="Comma 5 6 2 5" xfId="4327"/>
    <cellStyle name="Comma 5 6 2 5 2" xfId="13165"/>
    <cellStyle name="Comma 5 6 2 5 2 2" xfId="23416"/>
    <cellStyle name="Comma 5 6 2 5 3" xfId="9586"/>
    <cellStyle name="Comma 5 6 2 5 4" xfId="18409"/>
    <cellStyle name="Comma 5 6 2 6" xfId="1599"/>
    <cellStyle name="Comma 5 6 2 6 2" xfId="10976"/>
    <cellStyle name="Comma 5 6 2 6 3" xfId="20980"/>
    <cellStyle name="Comma 5 6 2 7" xfId="5783"/>
    <cellStyle name="Comma 5 6 2 7 2" xfId="14610"/>
    <cellStyle name="Comma 5 6 2 7 3" xfId="24861"/>
    <cellStyle name="Comma 5 6 2 8" xfId="7227"/>
    <cellStyle name="Comma 5 6 2 8 2" xfId="19953"/>
    <cellStyle name="Comma 5 6 2 9" xfId="15973"/>
    <cellStyle name="Comma 5 6 3" xfId="407"/>
    <cellStyle name="Comma 5 6 3 2" xfId="2893"/>
    <cellStyle name="Comma 5 6 3 2 2" xfId="12181"/>
    <cellStyle name="Comma 5 6 3 2 2 2" xfId="22254"/>
    <cellStyle name="Comma 5 6 3 2 3" xfId="8388"/>
    <cellStyle name="Comma 5 6 3 2 4" xfId="17247"/>
    <cellStyle name="Comma 5 6 3 3" xfId="4502"/>
    <cellStyle name="Comma 5 6 3 3 2" xfId="13340"/>
    <cellStyle name="Comma 5 6 3 3 2 2" xfId="23591"/>
    <cellStyle name="Comma 5 6 3 3 3" xfId="9761"/>
    <cellStyle name="Comma 5 6 3 3 4" xfId="18584"/>
    <cellStyle name="Comma 5 6 3 4" xfId="2002"/>
    <cellStyle name="Comma 5 6 3 4 2" xfId="11367"/>
    <cellStyle name="Comma 5 6 3 4 3" xfId="21371"/>
    <cellStyle name="Comma 5 6 3 5" xfId="5958"/>
    <cellStyle name="Comma 5 6 3 5 2" xfId="14785"/>
    <cellStyle name="Comma 5 6 3 5 3" xfId="25036"/>
    <cellStyle name="Comma 5 6 3 6" xfId="7402"/>
    <cellStyle name="Comma 5 6 3 6 2" xfId="19853"/>
    <cellStyle name="Comma 5 6 3 7" xfId="16364"/>
    <cellStyle name="Comma 5 6 4" xfId="687"/>
    <cellStyle name="Comma 5 6 4 2" xfId="3173"/>
    <cellStyle name="Comma 5 6 4 2 2" xfId="12316"/>
    <cellStyle name="Comma 5 6 4 2 2 2" xfId="22534"/>
    <cellStyle name="Comma 5 6 4 2 3" xfId="8738"/>
    <cellStyle name="Comma 5 6 4 2 4" xfId="17527"/>
    <cellStyle name="Comma 5 6 4 3" xfId="4851"/>
    <cellStyle name="Comma 5 6 4 3 2" xfId="13688"/>
    <cellStyle name="Comma 5 6 4 3 2 2" xfId="23939"/>
    <cellStyle name="Comma 5 6 4 3 3" xfId="10109"/>
    <cellStyle name="Comma 5 6 4 3 4" xfId="18932"/>
    <cellStyle name="Comma 5 6 4 4" xfId="2282"/>
    <cellStyle name="Comma 5 6 4 4 2" xfId="11647"/>
    <cellStyle name="Comma 5 6 4 4 3" xfId="21651"/>
    <cellStyle name="Comma 5 6 4 5" xfId="6306"/>
    <cellStyle name="Comma 5 6 4 5 2" xfId="15133"/>
    <cellStyle name="Comma 5 6 4 5 3" xfId="25384"/>
    <cellStyle name="Comma 5 6 4 6" xfId="7752"/>
    <cellStyle name="Comma 5 6 4 6 2" xfId="20133"/>
    <cellStyle name="Comma 5 6 4 7" xfId="16644"/>
    <cellStyle name="Comma 5 6 5" xfId="1179"/>
    <cellStyle name="Comma 5 6 5 2" xfId="3608"/>
    <cellStyle name="Comma 5 6 5 2 2" xfId="12744"/>
    <cellStyle name="Comma 5 6 5 2 2 2" xfId="22963"/>
    <cellStyle name="Comma 5 6 5 2 3" xfId="9165"/>
    <cellStyle name="Comma 5 6 5 2 4" xfId="17956"/>
    <cellStyle name="Comma 5 6 5 3" xfId="5271"/>
    <cellStyle name="Comma 5 6 5 3 2" xfId="14108"/>
    <cellStyle name="Comma 5 6 5 3 2 2" xfId="24359"/>
    <cellStyle name="Comma 5 6 5 3 3" xfId="10529"/>
    <cellStyle name="Comma 5 6 5 3 4" xfId="19352"/>
    <cellStyle name="Comma 5 6 5 4" xfId="1781"/>
    <cellStyle name="Comma 5 6 5 4 2" xfId="11150"/>
    <cellStyle name="Comma 5 6 5 4 3" xfId="21154"/>
    <cellStyle name="Comma 5 6 5 5" xfId="6726"/>
    <cellStyle name="Comma 5 6 5 5 2" xfId="15553"/>
    <cellStyle name="Comma 5 6 5 5 3" xfId="25804"/>
    <cellStyle name="Comma 5 6 5 6" xfId="8172"/>
    <cellStyle name="Comma 5 6 5 6 2" xfId="20562"/>
    <cellStyle name="Comma 5 6 5 7" xfId="16147"/>
    <cellStyle name="Comma 5 6 6" xfId="2676"/>
    <cellStyle name="Comma 5 6 6 2" xfId="11993"/>
    <cellStyle name="Comma 5 6 6 2 2" xfId="22037"/>
    <cellStyle name="Comma 5 6 6 3" xfId="8567"/>
    <cellStyle name="Comma 5 6 6 4" xfId="17030"/>
    <cellStyle name="Comma 5 6 7" xfId="4227"/>
    <cellStyle name="Comma 5 6 7 2" xfId="13065"/>
    <cellStyle name="Comma 5 6 7 2 2" xfId="23316"/>
    <cellStyle name="Comma 5 6 7 3" xfId="9486"/>
    <cellStyle name="Comma 5 6 7 4" xfId="18309"/>
    <cellStyle name="Comma 5 6 8" xfId="1499"/>
    <cellStyle name="Comma 5 6 8 2" xfId="10876"/>
    <cellStyle name="Comma 5 6 8 3" xfId="20880"/>
    <cellStyle name="Comma 5 6 9" xfId="5683"/>
    <cellStyle name="Comma 5 6 9 2" xfId="14510"/>
    <cellStyle name="Comma 5 6 9 3" xfId="24761"/>
    <cellStyle name="Comma 5 7" xfId="232"/>
    <cellStyle name="Comma 5 7 10" xfId="7070"/>
    <cellStyle name="Comma 5 7 10 2" xfId="19684"/>
    <cellStyle name="Comma 5 7 11" xfId="15816"/>
    <cellStyle name="Comma 5 7 2" xfId="555"/>
    <cellStyle name="Comma 5 7 2 2" xfId="690"/>
    <cellStyle name="Comma 5 7 2 2 2" xfId="3176"/>
    <cellStyle name="Comma 5 7 2 2 2 2" xfId="12319"/>
    <cellStyle name="Comma 5 7 2 2 2 2 2" xfId="22537"/>
    <cellStyle name="Comma 5 7 2 2 2 3" xfId="8741"/>
    <cellStyle name="Comma 5 7 2 2 2 4" xfId="17530"/>
    <cellStyle name="Comma 5 7 2 2 3" xfId="4505"/>
    <cellStyle name="Comma 5 7 2 2 3 2" xfId="13343"/>
    <cellStyle name="Comma 5 7 2 2 3 2 2" xfId="23594"/>
    <cellStyle name="Comma 5 7 2 2 3 3" xfId="9764"/>
    <cellStyle name="Comma 5 7 2 2 3 4" xfId="18587"/>
    <cellStyle name="Comma 5 7 2 2 4" xfId="2285"/>
    <cellStyle name="Comma 5 7 2 2 4 2" xfId="11650"/>
    <cellStyle name="Comma 5 7 2 2 4 3" xfId="21654"/>
    <cellStyle name="Comma 5 7 2 2 5" xfId="5961"/>
    <cellStyle name="Comma 5 7 2 2 5 2" xfId="14788"/>
    <cellStyle name="Comma 5 7 2 2 5 3" xfId="25039"/>
    <cellStyle name="Comma 5 7 2 2 6" xfId="7405"/>
    <cellStyle name="Comma 5 7 2 2 6 2" xfId="20136"/>
    <cellStyle name="Comma 5 7 2 2 7" xfId="16647"/>
    <cellStyle name="Comma 5 7 2 3" xfId="1327"/>
    <cellStyle name="Comma 5 7 2 3 2" xfId="3756"/>
    <cellStyle name="Comma 5 7 2 3 2 2" xfId="12892"/>
    <cellStyle name="Comma 5 7 2 3 2 2 2" xfId="23111"/>
    <cellStyle name="Comma 5 7 2 3 2 3" xfId="9313"/>
    <cellStyle name="Comma 5 7 2 3 2 4" xfId="18104"/>
    <cellStyle name="Comma 5 7 2 3 3" xfId="4854"/>
    <cellStyle name="Comma 5 7 2 3 3 2" xfId="13691"/>
    <cellStyle name="Comma 5 7 2 3 3 2 2" xfId="23942"/>
    <cellStyle name="Comma 5 7 2 3 3 3" xfId="10112"/>
    <cellStyle name="Comma 5 7 2 3 3 4" xfId="18935"/>
    <cellStyle name="Comma 5 7 2 3 4" xfId="2150"/>
    <cellStyle name="Comma 5 7 2 3 4 2" xfId="11515"/>
    <cellStyle name="Comma 5 7 2 3 4 3" xfId="21519"/>
    <cellStyle name="Comma 5 7 2 3 5" xfId="6309"/>
    <cellStyle name="Comma 5 7 2 3 5 2" xfId="15136"/>
    <cellStyle name="Comma 5 7 2 3 5 3" xfId="25387"/>
    <cellStyle name="Comma 5 7 2 3 6" xfId="7755"/>
    <cellStyle name="Comma 5 7 2 3 6 2" xfId="20710"/>
    <cellStyle name="Comma 5 7 2 3 7" xfId="16512"/>
    <cellStyle name="Comma 5 7 2 4" xfId="3041"/>
    <cellStyle name="Comma 5 7 2 4 2" xfId="5419"/>
    <cellStyle name="Comma 5 7 2 4 2 2" xfId="14256"/>
    <cellStyle name="Comma 5 7 2 4 2 2 2" xfId="24507"/>
    <cellStyle name="Comma 5 7 2 4 2 3" xfId="10677"/>
    <cellStyle name="Comma 5 7 2 4 2 4" xfId="19500"/>
    <cellStyle name="Comma 5 7 2 4 3" xfId="6874"/>
    <cellStyle name="Comma 5 7 2 4 3 2" xfId="15701"/>
    <cellStyle name="Comma 5 7 2 4 3 3" xfId="25952"/>
    <cellStyle name="Comma 5 7 2 4 4" xfId="8320"/>
    <cellStyle name="Comma 5 7 2 4 4 2" xfId="22402"/>
    <cellStyle name="Comma 5 7 2 4 5" xfId="17395"/>
    <cellStyle name="Comma 5 7 2 5" xfId="4375"/>
    <cellStyle name="Comma 5 7 2 5 2" xfId="13213"/>
    <cellStyle name="Comma 5 7 2 5 2 2" xfId="23464"/>
    <cellStyle name="Comma 5 7 2 5 3" xfId="9634"/>
    <cellStyle name="Comma 5 7 2 5 4" xfId="18457"/>
    <cellStyle name="Comma 5 7 2 6" xfId="1647"/>
    <cellStyle name="Comma 5 7 2 6 2" xfId="11024"/>
    <cellStyle name="Comma 5 7 2 6 3" xfId="21028"/>
    <cellStyle name="Comma 5 7 2 7" xfId="5831"/>
    <cellStyle name="Comma 5 7 2 7 2" xfId="14658"/>
    <cellStyle name="Comma 5 7 2 7 3" xfId="24909"/>
    <cellStyle name="Comma 5 7 2 8" xfId="7275"/>
    <cellStyle name="Comma 5 7 2 8 2" xfId="20001"/>
    <cellStyle name="Comma 5 7 2 9" xfId="16021"/>
    <cellStyle name="Comma 5 7 3" xfId="350"/>
    <cellStyle name="Comma 5 7 3 2" xfId="2836"/>
    <cellStyle name="Comma 5 7 3 2 2" xfId="12124"/>
    <cellStyle name="Comma 5 7 3 2 2 2" xfId="22197"/>
    <cellStyle name="Comma 5 7 3 2 3" xfId="8537"/>
    <cellStyle name="Comma 5 7 3 2 4" xfId="17190"/>
    <cellStyle name="Comma 5 7 3 3" xfId="4504"/>
    <cellStyle name="Comma 5 7 3 3 2" xfId="13342"/>
    <cellStyle name="Comma 5 7 3 3 2 2" xfId="23593"/>
    <cellStyle name="Comma 5 7 3 3 3" xfId="9763"/>
    <cellStyle name="Comma 5 7 3 3 4" xfId="18586"/>
    <cellStyle name="Comma 5 7 3 4" xfId="1945"/>
    <cellStyle name="Comma 5 7 3 4 2" xfId="11310"/>
    <cellStyle name="Comma 5 7 3 4 3" xfId="21314"/>
    <cellStyle name="Comma 5 7 3 5" xfId="5960"/>
    <cellStyle name="Comma 5 7 3 5 2" xfId="14787"/>
    <cellStyle name="Comma 5 7 3 5 3" xfId="25038"/>
    <cellStyle name="Comma 5 7 3 6" xfId="7404"/>
    <cellStyle name="Comma 5 7 3 6 2" xfId="19796"/>
    <cellStyle name="Comma 5 7 3 7" xfId="16307"/>
    <cellStyle name="Comma 5 7 4" xfId="689"/>
    <cellStyle name="Comma 5 7 4 2" xfId="3175"/>
    <cellStyle name="Comma 5 7 4 2 2" xfId="12318"/>
    <cellStyle name="Comma 5 7 4 2 2 2" xfId="22536"/>
    <cellStyle name="Comma 5 7 4 2 3" xfId="8740"/>
    <cellStyle name="Comma 5 7 4 2 4" xfId="17529"/>
    <cellStyle name="Comma 5 7 4 3" xfId="4853"/>
    <cellStyle name="Comma 5 7 4 3 2" xfId="13690"/>
    <cellStyle name="Comma 5 7 4 3 2 2" xfId="23941"/>
    <cellStyle name="Comma 5 7 4 3 3" xfId="10111"/>
    <cellStyle name="Comma 5 7 4 3 4" xfId="18934"/>
    <cellStyle name="Comma 5 7 4 4" xfId="2284"/>
    <cellStyle name="Comma 5 7 4 4 2" xfId="11649"/>
    <cellStyle name="Comma 5 7 4 4 3" xfId="21653"/>
    <cellStyle name="Comma 5 7 4 5" xfId="6308"/>
    <cellStyle name="Comma 5 7 4 5 2" xfId="15135"/>
    <cellStyle name="Comma 5 7 4 5 3" xfId="25386"/>
    <cellStyle name="Comma 5 7 4 6" xfId="7754"/>
    <cellStyle name="Comma 5 7 4 6 2" xfId="20135"/>
    <cellStyle name="Comma 5 7 4 7" xfId="16646"/>
    <cellStyle name="Comma 5 7 5" xfId="1122"/>
    <cellStyle name="Comma 5 7 5 2" xfId="3551"/>
    <cellStyle name="Comma 5 7 5 2 2" xfId="12687"/>
    <cellStyle name="Comma 5 7 5 2 2 2" xfId="22906"/>
    <cellStyle name="Comma 5 7 5 2 3" xfId="9108"/>
    <cellStyle name="Comma 5 7 5 2 4" xfId="17899"/>
    <cellStyle name="Comma 5 7 5 3" xfId="5214"/>
    <cellStyle name="Comma 5 7 5 3 2" xfId="14051"/>
    <cellStyle name="Comma 5 7 5 3 2 2" xfId="24302"/>
    <cellStyle name="Comma 5 7 5 3 3" xfId="10472"/>
    <cellStyle name="Comma 5 7 5 3 4" xfId="19295"/>
    <cellStyle name="Comma 5 7 5 4" xfId="1830"/>
    <cellStyle name="Comma 5 7 5 4 2" xfId="11198"/>
    <cellStyle name="Comma 5 7 5 4 3" xfId="21202"/>
    <cellStyle name="Comma 5 7 5 5" xfId="6669"/>
    <cellStyle name="Comma 5 7 5 5 2" xfId="15496"/>
    <cellStyle name="Comma 5 7 5 5 3" xfId="25747"/>
    <cellStyle name="Comma 5 7 5 6" xfId="8115"/>
    <cellStyle name="Comma 5 7 5 6 2" xfId="20505"/>
    <cellStyle name="Comma 5 7 5 7" xfId="16195"/>
    <cellStyle name="Comma 5 7 6" xfId="2724"/>
    <cellStyle name="Comma 5 7 6 2" xfId="12041"/>
    <cellStyle name="Comma 5 7 6 2 2" xfId="22085"/>
    <cellStyle name="Comma 5 7 6 3" xfId="8497"/>
    <cellStyle name="Comma 5 7 6 4" xfId="17078"/>
    <cellStyle name="Comma 5 7 7" xfId="4170"/>
    <cellStyle name="Comma 5 7 7 2" xfId="13008"/>
    <cellStyle name="Comma 5 7 7 2 2" xfId="23259"/>
    <cellStyle name="Comma 5 7 7 3" xfId="9429"/>
    <cellStyle name="Comma 5 7 7 4" xfId="18252"/>
    <cellStyle name="Comma 5 7 8" xfId="1442"/>
    <cellStyle name="Comma 5 7 8 2" xfId="10819"/>
    <cellStyle name="Comma 5 7 8 3" xfId="20823"/>
    <cellStyle name="Comma 5 7 9" xfId="5626"/>
    <cellStyle name="Comma 5 7 9 2" xfId="14453"/>
    <cellStyle name="Comma 5 7 9 3" xfId="24704"/>
    <cellStyle name="Comma 5 8" xfId="289"/>
    <cellStyle name="Comma 5 8 10" xfId="16077"/>
    <cellStyle name="Comma 5 8 2" xfId="611"/>
    <cellStyle name="Comma 5 8 2 2" xfId="3097"/>
    <cellStyle name="Comma 5 8 2 2 2" xfId="12240"/>
    <cellStyle name="Comma 5 8 2 2 2 2" xfId="22458"/>
    <cellStyle name="Comma 5 8 2 2 3" xfId="8662"/>
    <cellStyle name="Comma 5 8 2 2 4" xfId="17451"/>
    <cellStyle name="Comma 5 8 2 3" xfId="4506"/>
    <cellStyle name="Comma 5 8 2 3 2" xfId="13344"/>
    <cellStyle name="Comma 5 8 2 3 2 2" xfId="23595"/>
    <cellStyle name="Comma 5 8 2 3 3" xfId="9765"/>
    <cellStyle name="Comma 5 8 2 3 4" xfId="18588"/>
    <cellStyle name="Comma 5 8 2 4" xfId="2206"/>
    <cellStyle name="Comma 5 8 2 4 2" xfId="11571"/>
    <cellStyle name="Comma 5 8 2 4 3" xfId="21575"/>
    <cellStyle name="Comma 5 8 2 5" xfId="5962"/>
    <cellStyle name="Comma 5 8 2 5 2" xfId="14789"/>
    <cellStyle name="Comma 5 8 2 5 3" xfId="25040"/>
    <cellStyle name="Comma 5 8 2 6" xfId="7406"/>
    <cellStyle name="Comma 5 8 2 6 2" xfId="20057"/>
    <cellStyle name="Comma 5 8 2 7" xfId="16568"/>
    <cellStyle name="Comma 5 8 3" xfId="691"/>
    <cellStyle name="Comma 5 8 3 2" xfId="3177"/>
    <cellStyle name="Comma 5 8 3 2 2" xfId="12320"/>
    <cellStyle name="Comma 5 8 3 2 2 2" xfId="22538"/>
    <cellStyle name="Comma 5 8 3 2 3" xfId="8742"/>
    <cellStyle name="Comma 5 8 3 2 4" xfId="17531"/>
    <cellStyle name="Comma 5 8 3 3" xfId="4855"/>
    <cellStyle name="Comma 5 8 3 3 2" xfId="13692"/>
    <cellStyle name="Comma 5 8 3 3 2 2" xfId="23943"/>
    <cellStyle name="Comma 5 8 3 3 3" xfId="10113"/>
    <cellStyle name="Comma 5 8 3 3 4" xfId="18936"/>
    <cellStyle name="Comma 5 8 3 4" xfId="2286"/>
    <cellStyle name="Comma 5 8 3 4 2" xfId="11651"/>
    <cellStyle name="Comma 5 8 3 4 3" xfId="21655"/>
    <cellStyle name="Comma 5 8 3 5" xfId="6310"/>
    <cellStyle name="Comma 5 8 3 5 2" xfId="15137"/>
    <cellStyle name="Comma 5 8 3 5 3" xfId="25388"/>
    <cellStyle name="Comma 5 8 3 6" xfId="7756"/>
    <cellStyle name="Comma 5 8 3 6 2" xfId="20137"/>
    <cellStyle name="Comma 5 8 3 7" xfId="16648"/>
    <cellStyle name="Comma 5 8 4" xfId="1383"/>
    <cellStyle name="Comma 5 8 4 2" xfId="3812"/>
    <cellStyle name="Comma 5 8 4 2 2" xfId="12948"/>
    <cellStyle name="Comma 5 8 4 2 2 2" xfId="23167"/>
    <cellStyle name="Comma 5 8 4 2 3" xfId="9369"/>
    <cellStyle name="Comma 5 8 4 2 4" xfId="18160"/>
    <cellStyle name="Comma 5 8 4 3" xfId="5475"/>
    <cellStyle name="Comma 5 8 4 3 2" xfId="14312"/>
    <cellStyle name="Comma 5 8 4 3 2 2" xfId="24563"/>
    <cellStyle name="Comma 5 8 4 3 3" xfId="10733"/>
    <cellStyle name="Comma 5 8 4 3 4" xfId="19556"/>
    <cellStyle name="Comma 5 8 4 4" xfId="1886"/>
    <cellStyle name="Comma 5 8 4 4 2" xfId="11254"/>
    <cellStyle name="Comma 5 8 4 4 3" xfId="21258"/>
    <cellStyle name="Comma 5 8 4 5" xfId="6930"/>
    <cellStyle name="Comma 5 8 4 5 2" xfId="15757"/>
    <cellStyle name="Comma 5 8 4 5 3" xfId="26008"/>
    <cellStyle name="Comma 5 8 4 6" xfId="8376"/>
    <cellStyle name="Comma 5 8 4 6 2" xfId="20766"/>
    <cellStyle name="Comma 5 8 4 7" xfId="16251"/>
    <cellStyle name="Comma 5 8 5" xfId="2780"/>
    <cellStyle name="Comma 5 8 5 2" xfId="12097"/>
    <cellStyle name="Comma 5 8 5 2 2" xfId="22141"/>
    <cellStyle name="Comma 5 8 5 3" xfId="8609"/>
    <cellStyle name="Comma 5 8 5 4" xfId="17134"/>
    <cellStyle name="Comma 5 8 6" xfId="4431"/>
    <cellStyle name="Comma 5 8 6 2" xfId="13269"/>
    <cellStyle name="Comma 5 8 6 2 2" xfId="23520"/>
    <cellStyle name="Comma 5 8 6 3" xfId="9690"/>
    <cellStyle name="Comma 5 8 6 4" xfId="18513"/>
    <cellStyle name="Comma 5 8 7" xfId="1703"/>
    <cellStyle name="Comma 5 8 7 2" xfId="11080"/>
    <cellStyle name="Comma 5 8 7 3" xfId="21084"/>
    <cellStyle name="Comma 5 8 8" xfId="5887"/>
    <cellStyle name="Comma 5 8 8 2" xfId="14714"/>
    <cellStyle name="Comma 5 8 8 3" xfId="24965"/>
    <cellStyle name="Comma 5 8 9" xfId="7331"/>
    <cellStyle name="Comma 5 8 9 2" xfId="19740"/>
    <cellStyle name="Comma 5 9" xfId="450"/>
    <cellStyle name="Comma 5 9 2" xfId="692"/>
    <cellStyle name="Comma 5 9 2 2" xfId="3178"/>
    <cellStyle name="Comma 5 9 2 2 2" xfId="12321"/>
    <cellStyle name="Comma 5 9 2 2 2 2" xfId="22539"/>
    <cellStyle name="Comma 5 9 2 2 3" xfId="8743"/>
    <cellStyle name="Comma 5 9 2 2 4" xfId="17532"/>
    <cellStyle name="Comma 5 9 2 3" xfId="4507"/>
    <cellStyle name="Comma 5 9 2 3 2" xfId="13345"/>
    <cellStyle name="Comma 5 9 2 3 2 2" xfId="23596"/>
    <cellStyle name="Comma 5 9 2 3 3" xfId="9766"/>
    <cellStyle name="Comma 5 9 2 3 4" xfId="18589"/>
    <cellStyle name="Comma 5 9 2 4" xfId="2287"/>
    <cellStyle name="Comma 5 9 2 4 2" xfId="11652"/>
    <cellStyle name="Comma 5 9 2 4 3" xfId="21656"/>
    <cellStyle name="Comma 5 9 2 5" xfId="5963"/>
    <cellStyle name="Comma 5 9 2 5 2" xfId="14790"/>
    <cellStyle name="Comma 5 9 2 5 3" xfId="25041"/>
    <cellStyle name="Comma 5 9 2 6" xfId="7407"/>
    <cellStyle name="Comma 5 9 2 6 2" xfId="20138"/>
    <cellStyle name="Comma 5 9 2 7" xfId="16649"/>
    <cellStyle name="Comma 5 9 3" xfId="1222"/>
    <cellStyle name="Comma 5 9 3 2" xfId="3651"/>
    <cellStyle name="Comma 5 9 3 2 2" xfId="12787"/>
    <cellStyle name="Comma 5 9 3 2 2 2" xfId="23006"/>
    <cellStyle name="Comma 5 9 3 2 3" xfId="9208"/>
    <cellStyle name="Comma 5 9 3 2 4" xfId="17999"/>
    <cellStyle name="Comma 5 9 3 3" xfId="4856"/>
    <cellStyle name="Comma 5 9 3 3 2" xfId="13693"/>
    <cellStyle name="Comma 5 9 3 3 2 2" xfId="23944"/>
    <cellStyle name="Comma 5 9 3 3 3" xfId="10114"/>
    <cellStyle name="Comma 5 9 3 3 4" xfId="18937"/>
    <cellStyle name="Comma 5 9 3 4" xfId="2045"/>
    <cellStyle name="Comma 5 9 3 4 2" xfId="11410"/>
    <cellStyle name="Comma 5 9 3 4 3" xfId="21414"/>
    <cellStyle name="Comma 5 9 3 5" xfId="6311"/>
    <cellStyle name="Comma 5 9 3 5 2" xfId="15138"/>
    <cellStyle name="Comma 5 9 3 5 3" xfId="25389"/>
    <cellStyle name="Comma 5 9 3 6" xfId="7757"/>
    <cellStyle name="Comma 5 9 3 6 2" xfId="20605"/>
    <cellStyle name="Comma 5 9 3 7" xfId="16407"/>
    <cellStyle name="Comma 5 9 4" xfId="2936"/>
    <cellStyle name="Comma 5 9 4 2" xfId="5314"/>
    <cellStyle name="Comma 5 9 4 2 2" xfId="14151"/>
    <cellStyle name="Comma 5 9 4 2 2 2" xfId="24402"/>
    <cellStyle name="Comma 5 9 4 2 3" xfId="10572"/>
    <cellStyle name="Comma 5 9 4 2 4" xfId="19395"/>
    <cellStyle name="Comma 5 9 4 3" xfId="6769"/>
    <cellStyle name="Comma 5 9 4 3 2" xfId="15596"/>
    <cellStyle name="Comma 5 9 4 3 3" xfId="25847"/>
    <cellStyle name="Comma 5 9 4 4" xfId="8215"/>
    <cellStyle name="Comma 5 9 4 4 2" xfId="22297"/>
    <cellStyle name="Comma 5 9 4 5" xfId="17290"/>
    <cellStyle name="Comma 5 9 5" xfId="4270"/>
    <cellStyle name="Comma 5 9 5 2" xfId="13108"/>
    <cellStyle name="Comma 5 9 5 2 2" xfId="23359"/>
    <cellStyle name="Comma 5 9 5 3" xfId="9529"/>
    <cellStyle name="Comma 5 9 5 4" xfId="18352"/>
    <cellStyle name="Comma 5 9 6" xfId="1542"/>
    <cellStyle name="Comma 5 9 6 2" xfId="10919"/>
    <cellStyle name="Comma 5 9 6 3" xfId="20923"/>
    <cellStyle name="Comma 5 9 7" xfId="5726"/>
    <cellStyle name="Comma 5 9 7 2" xfId="14553"/>
    <cellStyle name="Comma 5 9 7 3" xfId="24804"/>
    <cellStyle name="Comma 5 9 8" xfId="7170"/>
    <cellStyle name="Comma 5 9 8 2" xfId="19896"/>
    <cellStyle name="Comma 5 9 9" xfId="15916"/>
    <cellStyle name="Comma 6" xfId="123"/>
    <cellStyle name="Comma 6 10" xfId="4102"/>
    <cellStyle name="Comma 6 10 2" xfId="5560"/>
    <cellStyle name="Comma 6 10 2 2" xfId="14387"/>
    <cellStyle name="Comma 6 10 2 3" xfId="24638"/>
    <cellStyle name="Comma 6 10 3" xfId="7004"/>
    <cellStyle name="Comma 6 10 3 2" xfId="23191"/>
    <cellStyle name="Comma 6 10 4" xfId="18184"/>
    <cellStyle name="Comma 6 11" xfId="1396"/>
    <cellStyle name="Comma 6 11 2" xfId="10773"/>
    <cellStyle name="Comma 6 11 3" xfId="20777"/>
    <cellStyle name="Comma 6 12" xfId="5530"/>
    <cellStyle name="Comma 6 12 2" xfId="14357"/>
    <cellStyle name="Comma 6 12 3" xfId="24608"/>
    <cellStyle name="Comma 6 13" xfId="6971"/>
    <cellStyle name="Comma 6 13 2" xfId="19596"/>
    <cellStyle name="Comma 6 14" xfId="15770"/>
    <cellStyle name="Comma 6 2" xfId="151"/>
    <cellStyle name="Comma 6 2 10" xfId="1419"/>
    <cellStyle name="Comma 6 2 10 2" xfId="10796"/>
    <cellStyle name="Comma 6 2 10 3" xfId="20800"/>
    <cellStyle name="Comma 6 2 11" xfId="5603"/>
    <cellStyle name="Comma 6 2 11 2" xfId="14430"/>
    <cellStyle name="Comma 6 2 11 3" xfId="24681"/>
    <cellStyle name="Comma 6 2 12" xfId="7047"/>
    <cellStyle name="Comma 6 2 12 2" xfId="19615"/>
    <cellStyle name="Comma 6 2 13" xfId="15793"/>
    <cellStyle name="Comma 6 2 2" xfId="267"/>
    <cellStyle name="Comma 6 2 2 10" xfId="7106"/>
    <cellStyle name="Comma 6 2 2 10 2" xfId="19719"/>
    <cellStyle name="Comma 6 2 2 11" xfId="15852"/>
    <cellStyle name="Comma 6 2 2 2" xfId="590"/>
    <cellStyle name="Comma 6 2 2 2 2" xfId="696"/>
    <cellStyle name="Comma 6 2 2 2 2 2" xfId="3182"/>
    <cellStyle name="Comma 6 2 2 2 2 2 2" xfId="12325"/>
    <cellStyle name="Comma 6 2 2 2 2 2 2 2" xfId="22543"/>
    <cellStyle name="Comma 6 2 2 2 2 2 3" xfId="8747"/>
    <cellStyle name="Comma 6 2 2 2 2 2 4" xfId="17536"/>
    <cellStyle name="Comma 6 2 2 2 2 3" xfId="4511"/>
    <cellStyle name="Comma 6 2 2 2 2 3 2" xfId="13349"/>
    <cellStyle name="Comma 6 2 2 2 2 3 2 2" xfId="23600"/>
    <cellStyle name="Comma 6 2 2 2 2 3 3" xfId="9770"/>
    <cellStyle name="Comma 6 2 2 2 2 3 4" xfId="18593"/>
    <cellStyle name="Comma 6 2 2 2 2 4" xfId="2291"/>
    <cellStyle name="Comma 6 2 2 2 2 4 2" xfId="11656"/>
    <cellStyle name="Comma 6 2 2 2 2 4 3" xfId="21660"/>
    <cellStyle name="Comma 6 2 2 2 2 5" xfId="5967"/>
    <cellStyle name="Comma 6 2 2 2 2 5 2" xfId="14794"/>
    <cellStyle name="Comma 6 2 2 2 2 5 3" xfId="25045"/>
    <cellStyle name="Comma 6 2 2 2 2 6" xfId="7411"/>
    <cellStyle name="Comma 6 2 2 2 2 6 2" xfId="20142"/>
    <cellStyle name="Comma 6 2 2 2 2 7" xfId="16653"/>
    <cellStyle name="Comma 6 2 2 2 3" xfId="1362"/>
    <cellStyle name="Comma 6 2 2 2 3 2" xfId="3791"/>
    <cellStyle name="Comma 6 2 2 2 3 2 2" xfId="12927"/>
    <cellStyle name="Comma 6 2 2 2 3 2 2 2" xfId="23146"/>
    <cellStyle name="Comma 6 2 2 2 3 2 3" xfId="9348"/>
    <cellStyle name="Comma 6 2 2 2 3 2 4" xfId="18139"/>
    <cellStyle name="Comma 6 2 2 2 3 3" xfId="4860"/>
    <cellStyle name="Comma 6 2 2 2 3 3 2" xfId="13697"/>
    <cellStyle name="Comma 6 2 2 2 3 3 2 2" xfId="23948"/>
    <cellStyle name="Comma 6 2 2 2 3 3 3" xfId="10118"/>
    <cellStyle name="Comma 6 2 2 2 3 3 4" xfId="18941"/>
    <cellStyle name="Comma 6 2 2 2 3 4" xfId="2185"/>
    <cellStyle name="Comma 6 2 2 2 3 4 2" xfId="11550"/>
    <cellStyle name="Comma 6 2 2 2 3 4 3" xfId="21554"/>
    <cellStyle name="Comma 6 2 2 2 3 5" xfId="6315"/>
    <cellStyle name="Comma 6 2 2 2 3 5 2" xfId="15142"/>
    <cellStyle name="Comma 6 2 2 2 3 5 3" xfId="25393"/>
    <cellStyle name="Comma 6 2 2 2 3 6" xfId="7761"/>
    <cellStyle name="Comma 6 2 2 2 3 6 2" xfId="20745"/>
    <cellStyle name="Comma 6 2 2 2 3 7" xfId="16547"/>
    <cellStyle name="Comma 6 2 2 2 4" xfId="3076"/>
    <cellStyle name="Comma 6 2 2 2 4 2" xfId="5454"/>
    <cellStyle name="Comma 6 2 2 2 4 2 2" xfId="14291"/>
    <cellStyle name="Comma 6 2 2 2 4 2 2 2" xfId="24542"/>
    <cellStyle name="Comma 6 2 2 2 4 2 3" xfId="10712"/>
    <cellStyle name="Comma 6 2 2 2 4 2 4" xfId="19535"/>
    <cellStyle name="Comma 6 2 2 2 4 3" xfId="6909"/>
    <cellStyle name="Comma 6 2 2 2 4 3 2" xfId="15736"/>
    <cellStyle name="Comma 6 2 2 2 4 3 3" xfId="25987"/>
    <cellStyle name="Comma 6 2 2 2 4 4" xfId="8355"/>
    <cellStyle name="Comma 6 2 2 2 4 4 2" xfId="22437"/>
    <cellStyle name="Comma 6 2 2 2 4 5" xfId="17430"/>
    <cellStyle name="Comma 6 2 2 2 5" xfId="4410"/>
    <cellStyle name="Comma 6 2 2 2 5 2" xfId="13248"/>
    <cellStyle name="Comma 6 2 2 2 5 2 2" xfId="23499"/>
    <cellStyle name="Comma 6 2 2 2 5 3" xfId="9669"/>
    <cellStyle name="Comma 6 2 2 2 5 4" xfId="18492"/>
    <cellStyle name="Comma 6 2 2 2 6" xfId="1682"/>
    <cellStyle name="Comma 6 2 2 2 6 2" xfId="11059"/>
    <cellStyle name="Comma 6 2 2 2 6 3" xfId="21063"/>
    <cellStyle name="Comma 6 2 2 2 7" xfId="5866"/>
    <cellStyle name="Comma 6 2 2 2 7 2" xfId="14693"/>
    <cellStyle name="Comma 6 2 2 2 7 3" xfId="24944"/>
    <cellStyle name="Comma 6 2 2 2 8" xfId="7310"/>
    <cellStyle name="Comma 6 2 2 2 8 2" xfId="20036"/>
    <cellStyle name="Comma 6 2 2 2 9" xfId="16056"/>
    <cellStyle name="Comma 6 2 2 3" xfId="386"/>
    <cellStyle name="Comma 6 2 2 3 2" xfId="2872"/>
    <cellStyle name="Comma 6 2 2 3 2 2" xfId="12160"/>
    <cellStyle name="Comma 6 2 2 3 2 2 2" xfId="22233"/>
    <cellStyle name="Comma 6 2 2 3 2 3" xfId="8402"/>
    <cellStyle name="Comma 6 2 2 3 2 4" xfId="17226"/>
    <cellStyle name="Comma 6 2 2 3 3" xfId="4510"/>
    <cellStyle name="Comma 6 2 2 3 3 2" xfId="13348"/>
    <cellStyle name="Comma 6 2 2 3 3 2 2" xfId="23599"/>
    <cellStyle name="Comma 6 2 2 3 3 3" xfId="9769"/>
    <cellStyle name="Comma 6 2 2 3 3 4" xfId="18592"/>
    <cellStyle name="Comma 6 2 2 3 4" xfId="1981"/>
    <cellStyle name="Comma 6 2 2 3 4 2" xfId="11346"/>
    <cellStyle name="Comma 6 2 2 3 4 3" xfId="21350"/>
    <cellStyle name="Comma 6 2 2 3 5" xfId="5966"/>
    <cellStyle name="Comma 6 2 2 3 5 2" xfId="14793"/>
    <cellStyle name="Comma 6 2 2 3 5 3" xfId="25044"/>
    <cellStyle name="Comma 6 2 2 3 6" xfId="7410"/>
    <cellStyle name="Comma 6 2 2 3 6 2" xfId="19832"/>
    <cellStyle name="Comma 6 2 2 3 7" xfId="16343"/>
    <cellStyle name="Comma 6 2 2 4" xfId="695"/>
    <cellStyle name="Comma 6 2 2 4 2" xfId="3181"/>
    <cellStyle name="Comma 6 2 2 4 2 2" xfId="12324"/>
    <cellStyle name="Comma 6 2 2 4 2 2 2" xfId="22542"/>
    <cellStyle name="Comma 6 2 2 4 2 3" xfId="8746"/>
    <cellStyle name="Comma 6 2 2 4 2 4" xfId="17535"/>
    <cellStyle name="Comma 6 2 2 4 3" xfId="4859"/>
    <cellStyle name="Comma 6 2 2 4 3 2" xfId="13696"/>
    <cellStyle name="Comma 6 2 2 4 3 2 2" xfId="23947"/>
    <cellStyle name="Comma 6 2 2 4 3 3" xfId="10117"/>
    <cellStyle name="Comma 6 2 2 4 3 4" xfId="18940"/>
    <cellStyle name="Comma 6 2 2 4 4" xfId="2290"/>
    <cellStyle name="Comma 6 2 2 4 4 2" xfId="11655"/>
    <cellStyle name="Comma 6 2 2 4 4 3" xfId="21659"/>
    <cellStyle name="Comma 6 2 2 4 5" xfId="6314"/>
    <cellStyle name="Comma 6 2 2 4 5 2" xfId="15141"/>
    <cellStyle name="Comma 6 2 2 4 5 3" xfId="25392"/>
    <cellStyle name="Comma 6 2 2 4 6" xfId="7760"/>
    <cellStyle name="Comma 6 2 2 4 6 2" xfId="20141"/>
    <cellStyle name="Comma 6 2 2 4 7" xfId="16652"/>
    <cellStyle name="Comma 6 2 2 5" xfId="1158"/>
    <cellStyle name="Comma 6 2 2 5 2" xfId="3587"/>
    <cellStyle name="Comma 6 2 2 5 2 2" xfId="12723"/>
    <cellStyle name="Comma 6 2 2 5 2 2 2" xfId="22942"/>
    <cellStyle name="Comma 6 2 2 5 2 3" xfId="9144"/>
    <cellStyle name="Comma 6 2 2 5 2 4" xfId="17935"/>
    <cellStyle name="Comma 6 2 2 5 3" xfId="5250"/>
    <cellStyle name="Comma 6 2 2 5 3 2" xfId="14087"/>
    <cellStyle name="Comma 6 2 2 5 3 2 2" xfId="24338"/>
    <cellStyle name="Comma 6 2 2 5 3 3" xfId="10508"/>
    <cellStyle name="Comma 6 2 2 5 3 4" xfId="19331"/>
    <cellStyle name="Comma 6 2 2 5 4" xfId="1865"/>
    <cellStyle name="Comma 6 2 2 5 4 2" xfId="11233"/>
    <cellStyle name="Comma 6 2 2 5 4 3" xfId="21237"/>
    <cellStyle name="Comma 6 2 2 5 5" xfId="6705"/>
    <cellStyle name="Comma 6 2 2 5 5 2" xfId="15532"/>
    <cellStyle name="Comma 6 2 2 5 5 3" xfId="25783"/>
    <cellStyle name="Comma 6 2 2 5 6" xfId="8151"/>
    <cellStyle name="Comma 6 2 2 5 6 2" xfId="20541"/>
    <cellStyle name="Comma 6 2 2 5 7" xfId="16230"/>
    <cellStyle name="Comma 6 2 2 6" xfId="2759"/>
    <cellStyle name="Comma 6 2 2 6 2" xfId="12076"/>
    <cellStyle name="Comma 6 2 2 6 2 2" xfId="22120"/>
    <cellStyle name="Comma 6 2 2 6 3" xfId="8443"/>
    <cellStyle name="Comma 6 2 2 6 4" xfId="17113"/>
    <cellStyle name="Comma 6 2 2 7" xfId="4206"/>
    <cellStyle name="Comma 6 2 2 7 2" xfId="13044"/>
    <cellStyle name="Comma 6 2 2 7 2 2" xfId="23295"/>
    <cellStyle name="Comma 6 2 2 7 3" xfId="9465"/>
    <cellStyle name="Comma 6 2 2 7 4" xfId="18288"/>
    <cellStyle name="Comma 6 2 2 8" xfId="1478"/>
    <cellStyle name="Comma 6 2 2 8 2" xfId="10855"/>
    <cellStyle name="Comma 6 2 2 8 3" xfId="20859"/>
    <cellStyle name="Comma 6 2 2 9" xfId="5662"/>
    <cellStyle name="Comma 6 2 2 9 2" xfId="14489"/>
    <cellStyle name="Comma 6 2 2 9 3" xfId="24740"/>
    <cellStyle name="Comma 6 2 3" xfId="222"/>
    <cellStyle name="Comma 6 2 3 10" xfId="16014"/>
    <cellStyle name="Comma 6 2 3 2" xfId="548"/>
    <cellStyle name="Comma 6 2 3 2 2" xfId="3034"/>
    <cellStyle name="Comma 6 2 3 2 2 2" xfId="12222"/>
    <cellStyle name="Comma 6 2 3 2 2 2 2" xfId="22395"/>
    <cellStyle name="Comma 6 2 3 2 2 3" xfId="6943"/>
    <cellStyle name="Comma 6 2 3 2 2 4" xfId="17388"/>
    <cellStyle name="Comma 6 2 3 2 3" xfId="4512"/>
    <cellStyle name="Comma 6 2 3 2 3 2" xfId="13350"/>
    <cellStyle name="Comma 6 2 3 2 3 2 2" xfId="23601"/>
    <cellStyle name="Comma 6 2 3 2 3 3" xfId="9771"/>
    <cellStyle name="Comma 6 2 3 2 3 4" xfId="18594"/>
    <cellStyle name="Comma 6 2 3 2 4" xfId="2143"/>
    <cellStyle name="Comma 6 2 3 2 4 2" xfId="11508"/>
    <cellStyle name="Comma 6 2 3 2 4 3" xfId="21512"/>
    <cellStyle name="Comma 6 2 3 2 5" xfId="5968"/>
    <cellStyle name="Comma 6 2 3 2 5 2" xfId="14795"/>
    <cellStyle name="Comma 6 2 3 2 5 3" xfId="25046"/>
    <cellStyle name="Comma 6 2 3 2 6" xfId="7412"/>
    <cellStyle name="Comma 6 2 3 2 6 2" xfId="19994"/>
    <cellStyle name="Comma 6 2 3 2 7" xfId="16505"/>
    <cellStyle name="Comma 6 2 3 3" xfId="697"/>
    <cellStyle name="Comma 6 2 3 3 2" xfId="3183"/>
    <cellStyle name="Comma 6 2 3 3 2 2" xfId="12326"/>
    <cellStyle name="Comma 6 2 3 3 2 2 2" xfId="22544"/>
    <cellStyle name="Comma 6 2 3 3 2 3" xfId="8748"/>
    <cellStyle name="Comma 6 2 3 3 2 4" xfId="17537"/>
    <cellStyle name="Comma 6 2 3 3 3" xfId="4861"/>
    <cellStyle name="Comma 6 2 3 3 3 2" xfId="13698"/>
    <cellStyle name="Comma 6 2 3 3 3 2 2" xfId="23949"/>
    <cellStyle name="Comma 6 2 3 3 3 3" xfId="10119"/>
    <cellStyle name="Comma 6 2 3 3 3 4" xfId="18942"/>
    <cellStyle name="Comma 6 2 3 3 4" xfId="2292"/>
    <cellStyle name="Comma 6 2 3 3 4 2" xfId="11657"/>
    <cellStyle name="Comma 6 2 3 3 4 3" xfId="21661"/>
    <cellStyle name="Comma 6 2 3 3 5" xfId="6316"/>
    <cellStyle name="Comma 6 2 3 3 5 2" xfId="15143"/>
    <cellStyle name="Comma 6 2 3 3 5 3" xfId="25394"/>
    <cellStyle name="Comma 6 2 3 3 6" xfId="7762"/>
    <cellStyle name="Comma 6 2 3 3 6 2" xfId="20143"/>
    <cellStyle name="Comma 6 2 3 3 7" xfId="16654"/>
    <cellStyle name="Comma 6 2 3 4" xfId="1320"/>
    <cellStyle name="Comma 6 2 3 4 2" xfId="3749"/>
    <cellStyle name="Comma 6 2 3 4 2 2" xfId="12885"/>
    <cellStyle name="Comma 6 2 3 4 2 2 2" xfId="23104"/>
    <cellStyle name="Comma 6 2 3 4 2 3" xfId="9306"/>
    <cellStyle name="Comma 6 2 3 4 2 4" xfId="18097"/>
    <cellStyle name="Comma 6 2 3 4 3" xfId="5412"/>
    <cellStyle name="Comma 6 2 3 4 3 2" xfId="14249"/>
    <cellStyle name="Comma 6 2 3 4 3 2 2" xfId="24500"/>
    <cellStyle name="Comma 6 2 3 4 3 3" xfId="10670"/>
    <cellStyle name="Comma 6 2 3 4 3 4" xfId="19493"/>
    <cellStyle name="Comma 6 2 3 4 4" xfId="1823"/>
    <cellStyle name="Comma 6 2 3 4 4 2" xfId="11191"/>
    <cellStyle name="Comma 6 2 3 4 4 3" xfId="21195"/>
    <cellStyle name="Comma 6 2 3 4 5" xfId="6867"/>
    <cellStyle name="Comma 6 2 3 4 5 2" xfId="15694"/>
    <cellStyle name="Comma 6 2 3 4 5 3" xfId="25945"/>
    <cellStyle name="Comma 6 2 3 4 6" xfId="8313"/>
    <cellStyle name="Comma 6 2 3 4 6 2" xfId="20703"/>
    <cellStyle name="Comma 6 2 3 4 7" xfId="16188"/>
    <cellStyle name="Comma 6 2 3 5" xfId="2717"/>
    <cellStyle name="Comma 6 2 3 5 2" xfId="12034"/>
    <cellStyle name="Comma 6 2 3 5 2 2" xfId="22078"/>
    <cellStyle name="Comma 6 2 3 5 3" xfId="8487"/>
    <cellStyle name="Comma 6 2 3 5 4" xfId="17071"/>
    <cellStyle name="Comma 6 2 3 6" xfId="4368"/>
    <cellStyle name="Comma 6 2 3 6 2" xfId="13206"/>
    <cellStyle name="Comma 6 2 3 6 2 2" xfId="23457"/>
    <cellStyle name="Comma 6 2 3 6 3" xfId="9627"/>
    <cellStyle name="Comma 6 2 3 6 4" xfId="18450"/>
    <cellStyle name="Comma 6 2 3 7" xfId="1640"/>
    <cellStyle name="Comma 6 2 3 7 2" xfId="11017"/>
    <cellStyle name="Comma 6 2 3 7 3" xfId="21021"/>
    <cellStyle name="Comma 6 2 3 8" xfId="5824"/>
    <cellStyle name="Comma 6 2 3 8 2" xfId="14651"/>
    <cellStyle name="Comma 6 2 3 8 3" xfId="24902"/>
    <cellStyle name="Comma 6 2 3 9" xfId="7268"/>
    <cellStyle name="Comma 6 2 3 9 2" xfId="19677"/>
    <cellStyle name="Comma 6 2 4" xfId="486"/>
    <cellStyle name="Comma 6 2 4 2" xfId="698"/>
    <cellStyle name="Comma 6 2 4 2 2" xfId="3184"/>
    <cellStyle name="Comma 6 2 4 2 2 2" xfId="12327"/>
    <cellStyle name="Comma 6 2 4 2 2 2 2" xfId="22545"/>
    <cellStyle name="Comma 6 2 4 2 2 3" xfId="8749"/>
    <cellStyle name="Comma 6 2 4 2 2 4" xfId="17538"/>
    <cellStyle name="Comma 6 2 4 2 3" xfId="4513"/>
    <cellStyle name="Comma 6 2 4 2 3 2" xfId="13351"/>
    <cellStyle name="Comma 6 2 4 2 3 2 2" xfId="23602"/>
    <cellStyle name="Comma 6 2 4 2 3 3" xfId="9772"/>
    <cellStyle name="Comma 6 2 4 2 3 4" xfId="18595"/>
    <cellStyle name="Comma 6 2 4 2 4" xfId="2293"/>
    <cellStyle name="Comma 6 2 4 2 4 2" xfId="11658"/>
    <cellStyle name="Comma 6 2 4 2 4 3" xfId="21662"/>
    <cellStyle name="Comma 6 2 4 2 5" xfId="5969"/>
    <cellStyle name="Comma 6 2 4 2 5 2" xfId="14796"/>
    <cellStyle name="Comma 6 2 4 2 5 3" xfId="25047"/>
    <cellStyle name="Comma 6 2 4 2 6" xfId="7413"/>
    <cellStyle name="Comma 6 2 4 2 6 2" xfId="20144"/>
    <cellStyle name="Comma 6 2 4 2 7" xfId="16655"/>
    <cellStyle name="Comma 6 2 4 3" xfId="1258"/>
    <cellStyle name="Comma 6 2 4 3 2" xfId="3687"/>
    <cellStyle name="Comma 6 2 4 3 2 2" xfId="12823"/>
    <cellStyle name="Comma 6 2 4 3 2 2 2" xfId="23042"/>
    <cellStyle name="Comma 6 2 4 3 2 3" xfId="9244"/>
    <cellStyle name="Comma 6 2 4 3 2 4" xfId="18035"/>
    <cellStyle name="Comma 6 2 4 3 3" xfId="4862"/>
    <cellStyle name="Comma 6 2 4 3 3 2" xfId="13699"/>
    <cellStyle name="Comma 6 2 4 3 3 2 2" xfId="23950"/>
    <cellStyle name="Comma 6 2 4 3 3 3" xfId="10120"/>
    <cellStyle name="Comma 6 2 4 3 3 4" xfId="18943"/>
    <cellStyle name="Comma 6 2 4 3 4" xfId="2081"/>
    <cellStyle name="Comma 6 2 4 3 4 2" xfId="11446"/>
    <cellStyle name="Comma 6 2 4 3 4 3" xfId="21450"/>
    <cellStyle name="Comma 6 2 4 3 5" xfId="6317"/>
    <cellStyle name="Comma 6 2 4 3 5 2" xfId="15144"/>
    <cellStyle name="Comma 6 2 4 3 5 3" xfId="25395"/>
    <cellStyle name="Comma 6 2 4 3 6" xfId="7763"/>
    <cellStyle name="Comma 6 2 4 3 6 2" xfId="20641"/>
    <cellStyle name="Comma 6 2 4 3 7" xfId="16443"/>
    <cellStyle name="Comma 6 2 4 4" xfId="2972"/>
    <cellStyle name="Comma 6 2 4 4 2" xfId="5350"/>
    <cellStyle name="Comma 6 2 4 4 2 2" xfId="14187"/>
    <cellStyle name="Comma 6 2 4 4 2 2 2" xfId="24438"/>
    <cellStyle name="Comma 6 2 4 4 2 3" xfId="10608"/>
    <cellStyle name="Comma 6 2 4 4 2 4" xfId="19431"/>
    <cellStyle name="Comma 6 2 4 4 3" xfId="6805"/>
    <cellStyle name="Comma 6 2 4 4 3 2" xfId="15632"/>
    <cellStyle name="Comma 6 2 4 4 3 3" xfId="25883"/>
    <cellStyle name="Comma 6 2 4 4 4" xfId="8251"/>
    <cellStyle name="Comma 6 2 4 4 4 2" xfId="22333"/>
    <cellStyle name="Comma 6 2 4 4 5" xfId="17326"/>
    <cellStyle name="Comma 6 2 4 5" xfId="4306"/>
    <cellStyle name="Comma 6 2 4 5 2" xfId="13144"/>
    <cellStyle name="Comma 6 2 4 5 2 2" xfId="23395"/>
    <cellStyle name="Comma 6 2 4 5 3" xfId="9565"/>
    <cellStyle name="Comma 6 2 4 5 4" xfId="18388"/>
    <cellStyle name="Comma 6 2 4 6" xfId="1578"/>
    <cellStyle name="Comma 6 2 4 6 2" xfId="10955"/>
    <cellStyle name="Comma 6 2 4 6 3" xfId="20959"/>
    <cellStyle name="Comma 6 2 4 7" xfId="5762"/>
    <cellStyle name="Comma 6 2 4 7 2" xfId="14589"/>
    <cellStyle name="Comma 6 2 4 7 3" xfId="24840"/>
    <cellStyle name="Comma 6 2 4 8" xfId="7206"/>
    <cellStyle name="Comma 6 2 4 8 2" xfId="19932"/>
    <cellStyle name="Comma 6 2 4 9" xfId="15952"/>
    <cellStyle name="Comma 6 2 5" xfId="327"/>
    <cellStyle name="Comma 6 2 5 2" xfId="2813"/>
    <cellStyle name="Comma 6 2 5 2 2" xfId="12116"/>
    <cellStyle name="Comma 6 2 5 2 2 2" xfId="22174"/>
    <cellStyle name="Comma 6 2 5 2 3" xfId="8586"/>
    <cellStyle name="Comma 6 2 5 2 4" xfId="17167"/>
    <cellStyle name="Comma 6 2 5 3" xfId="4509"/>
    <cellStyle name="Comma 6 2 5 3 2" xfId="13347"/>
    <cellStyle name="Comma 6 2 5 3 2 2" xfId="23598"/>
    <cellStyle name="Comma 6 2 5 3 3" xfId="9768"/>
    <cellStyle name="Comma 6 2 5 3 4" xfId="18591"/>
    <cellStyle name="Comma 6 2 5 4" xfId="1922"/>
    <cellStyle name="Comma 6 2 5 4 2" xfId="11287"/>
    <cellStyle name="Comma 6 2 5 4 3" xfId="21291"/>
    <cellStyle name="Comma 6 2 5 5" xfId="5965"/>
    <cellStyle name="Comma 6 2 5 5 2" xfId="14792"/>
    <cellStyle name="Comma 6 2 5 5 3" xfId="25043"/>
    <cellStyle name="Comma 6 2 5 6" xfId="7409"/>
    <cellStyle name="Comma 6 2 5 6 2" xfId="19773"/>
    <cellStyle name="Comma 6 2 5 7" xfId="16284"/>
    <cellStyle name="Comma 6 2 6" xfId="694"/>
    <cellStyle name="Comma 6 2 6 2" xfId="3180"/>
    <cellStyle name="Comma 6 2 6 2 2" xfId="12323"/>
    <cellStyle name="Comma 6 2 6 2 2 2" xfId="22541"/>
    <cellStyle name="Comma 6 2 6 2 3" xfId="8745"/>
    <cellStyle name="Comma 6 2 6 2 4" xfId="17534"/>
    <cellStyle name="Comma 6 2 6 3" xfId="4858"/>
    <cellStyle name="Comma 6 2 6 3 2" xfId="13695"/>
    <cellStyle name="Comma 6 2 6 3 2 2" xfId="23946"/>
    <cellStyle name="Comma 6 2 6 3 3" xfId="10116"/>
    <cellStyle name="Comma 6 2 6 3 4" xfId="18939"/>
    <cellStyle name="Comma 6 2 6 4" xfId="2289"/>
    <cellStyle name="Comma 6 2 6 4 2" xfId="11654"/>
    <cellStyle name="Comma 6 2 6 4 3" xfId="21658"/>
    <cellStyle name="Comma 6 2 6 5" xfId="6313"/>
    <cellStyle name="Comma 6 2 6 5 2" xfId="15140"/>
    <cellStyle name="Comma 6 2 6 5 3" xfId="25391"/>
    <cellStyle name="Comma 6 2 6 6" xfId="7759"/>
    <cellStyle name="Comma 6 2 6 6 2" xfId="20140"/>
    <cellStyle name="Comma 6 2 6 7" xfId="16651"/>
    <cellStyle name="Comma 6 2 7" xfId="1099"/>
    <cellStyle name="Comma 6 2 7 2" xfId="3528"/>
    <cellStyle name="Comma 6 2 7 2 2" xfId="12664"/>
    <cellStyle name="Comma 6 2 7 2 2 2" xfId="22883"/>
    <cellStyle name="Comma 6 2 7 2 3" xfId="9086"/>
    <cellStyle name="Comma 6 2 7 2 4" xfId="17876"/>
    <cellStyle name="Comma 6 2 7 3" xfId="5191"/>
    <cellStyle name="Comma 6 2 7 3 2" xfId="14028"/>
    <cellStyle name="Comma 6 2 7 3 2 2" xfId="24279"/>
    <cellStyle name="Comma 6 2 7 3 3" xfId="10449"/>
    <cellStyle name="Comma 6 2 7 3 4" xfId="19272"/>
    <cellStyle name="Comma 6 2 7 4" xfId="1757"/>
    <cellStyle name="Comma 6 2 7 4 2" xfId="11128"/>
    <cellStyle name="Comma 6 2 7 4 3" xfId="21132"/>
    <cellStyle name="Comma 6 2 7 5" xfId="6646"/>
    <cellStyle name="Comma 6 2 7 5 2" xfId="15473"/>
    <cellStyle name="Comma 6 2 7 5 3" xfId="25724"/>
    <cellStyle name="Comma 6 2 7 6" xfId="8092"/>
    <cellStyle name="Comma 6 2 7 6 2" xfId="20482"/>
    <cellStyle name="Comma 6 2 7 7" xfId="16125"/>
    <cellStyle name="Comma 6 2 8" xfId="2655"/>
    <cellStyle name="Comma 6 2 8 2" xfId="11977"/>
    <cellStyle name="Comma 6 2 8 2 2" xfId="22016"/>
    <cellStyle name="Comma 6 2 8 3" xfId="8579"/>
    <cellStyle name="Comma 6 2 8 4" xfId="17009"/>
    <cellStyle name="Comma 6 2 9" xfId="4145"/>
    <cellStyle name="Comma 6 2 9 2" xfId="12983"/>
    <cellStyle name="Comma 6 2 9 2 2" xfId="23234"/>
    <cellStyle name="Comma 6 2 9 3" xfId="9404"/>
    <cellStyle name="Comma 6 2 9 4" xfId="18227"/>
    <cellStyle name="Comma 6 3" xfId="201"/>
    <cellStyle name="Comma 6 3 10" xfId="7149"/>
    <cellStyle name="Comma 6 3 10 2" xfId="19658"/>
    <cellStyle name="Comma 6 3 11" xfId="15895"/>
    <cellStyle name="Comma 6 3 2" xfId="529"/>
    <cellStyle name="Comma 6 3 2 2" xfId="700"/>
    <cellStyle name="Comma 6 3 2 2 2" xfId="3186"/>
    <cellStyle name="Comma 6 3 2 2 2 2" xfId="12329"/>
    <cellStyle name="Comma 6 3 2 2 2 2 2" xfId="22547"/>
    <cellStyle name="Comma 6 3 2 2 2 3" xfId="8751"/>
    <cellStyle name="Comma 6 3 2 2 2 4" xfId="17540"/>
    <cellStyle name="Comma 6 3 2 2 3" xfId="4515"/>
    <cellStyle name="Comma 6 3 2 2 3 2" xfId="13353"/>
    <cellStyle name="Comma 6 3 2 2 3 2 2" xfId="23604"/>
    <cellStyle name="Comma 6 3 2 2 3 3" xfId="9774"/>
    <cellStyle name="Comma 6 3 2 2 3 4" xfId="18597"/>
    <cellStyle name="Comma 6 3 2 2 4" xfId="2295"/>
    <cellStyle name="Comma 6 3 2 2 4 2" xfId="11660"/>
    <cellStyle name="Comma 6 3 2 2 4 3" xfId="21664"/>
    <cellStyle name="Comma 6 3 2 2 5" xfId="5971"/>
    <cellStyle name="Comma 6 3 2 2 5 2" xfId="14798"/>
    <cellStyle name="Comma 6 3 2 2 5 3" xfId="25049"/>
    <cellStyle name="Comma 6 3 2 2 6" xfId="7415"/>
    <cellStyle name="Comma 6 3 2 2 6 2" xfId="20146"/>
    <cellStyle name="Comma 6 3 2 2 7" xfId="16657"/>
    <cellStyle name="Comma 6 3 2 3" xfId="1301"/>
    <cellStyle name="Comma 6 3 2 3 2" xfId="3730"/>
    <cellStyle name="Comma 6 3 2 3 2 2" xfId="12866"/>
    <cellStyle name="Comma 6 3 2 3 2 2 2" xfId="23085"/>
    <cellStyle name="Comma 6 3 2 3 2 3" xfId="9287"/>
    <cellStyle name="Comma 6 3 2 3 2 4" xfId="18078"/>
    <cellStyle name="Comma 6 3 2 3 3" xfId="4864"/>
    <cellStyle name="Comma 6 3 2 3 3 2" xfId="13701"/>
    <cellStyle name="Comma 6 3 2 3 3 2 2" xfId="23952"/>
    <cellStyle name="Comma 6 3 2 3 3 3" xfId="10122"/>
    <cellStyle name="Comma 6 3 2 3 3 4" xfId="18945"/>
    <cellStyle name="Comma 6 3 2 3 4" xfId="2124"/>
    <cellStyle name="Comma 6 3 2 3 4 2" xfId="11489"/>
    <cellStyle name="Comma 6 3 2 3 4 3" xfId="21493"/>
    <cellStyle name="Comma 6 3 2 3 5" xfId="6319"/>
    <cellStyle name="Comma 6 3 2 3 5 2" xfId="15146"/>
    <cellStyle name="Comma 6 3 2 3 5 3" xfId="25397"/>
    <cellStyle name="Comma 6 3 2 3 6" xfId="7765"/>
    <cellStyle name="Comma 6 3 2 3 6 2" xfId="20684"/>
    <cellStyle name="Comma 6 3 2 3 7" xfId="16486"/>
    <cellStyle name="Comma 6 3 2 4" xfId="3015"/>
    <cellStyle name="Comma 6 3 2 4 2" xfId="5393"/>
    <cellStyle name="Comma 6 3 2 4 2 2" xfId="14230"/>
    <cellStyle name="Comma 6 3 2 4 2 2 2" xfId="24481"/>
    <cellStyle name="Comma 6 3 2 4 2 3" xfId="10651"/>
    <cellStyle name="Comma 6 3 2 4 2 4" xfId="19474"/>
    <cellStyle name="Comma 6 3 2 4 3" xfId="6848"/>
    <cellStyle name="Comma 6 3 2 4 3 2" xfId="15675"/>
    <cellStyle name="Comma 6 3 2 4 3 3" xfId="25926"/>
    <cellStyle name="Comma 6 3 2 4 4" xfId="8294"/>
    <cellStyle name="Comma 6 3 2 4 4 2" xfId="22376"/>
    <cellStyle name="Comma 6 3 2 4 5" xfId="17369"/>
    <cellStyle name="Comma 6 3 2 5" xfId="4349"/>
    <cellStyle name="Comma 6 3 2 5 2" xfId="13187"/>
    <cellStyle name="Comma 6 3 2 5 2 2" xfId="23438"/>
    <cellStyle name="Comma 6 3 2 5 3" xfId="9608"/>
    <cellStyle name="Comma 6 3 2 5 4" xfId="18431"/>
    <cellStyle name="Comma 6 3 2 6" xfId="1621"/>
    <cellStyle name="Comma 6 3 2 6 2" xfId="10998"/>
    <cellStyle name="Comma 6 3 2 6 3" xfId="21002"/>
    <cellStyle name="Comma 6 3 2 7" xfId="5805"/>
    <cellStyle name="Comma 6 3 2 7 2" xfId="14632"/>
    <cellStyle name="Comma 6 3 2 7 3" xfId="24883"/>
    <cellStyle name="Comma 6 3 2 8" xfId="7249"/>
    <cellStyle name="Comma 6 3 2 8 2" xfId="19975"/>
    <cellStyle name="Comma 6 3 2 9" xfId="15995"/>
    <cellStyle name="Comma 6 3 3" xfId="429"/>
    <cellStyle name="Comma 6 3 3 2" xfId="2915"/>
    <cellStyle name="Comma 6 3 3 2 2" xfId="12203"/>
    <cellStyle name="Comma 6 3 3 2 2 2" xfId="22276"/>
    <cellStyle name="Comma 6 3 3 2 3" xfId="8610"/>
    <cellStyle name="Comma 6 3 3 2 4" xfId="17269"/>
    <cellStyle name="Comma 6 3 3 3" xfId="4514"/>
    <cellStyle name="Comma 6 3 3 3 2" xfId="13352"/>
    <cellStyle name="Comma 6 3 3 3 2 2" xfId="23603"/>
    <cellStyle name="Comma 6 3 3 3 3" xfId="9773"/>
    <cellStyle name="Comma 6 3 3 3 4" xfId="18596"/>
    <cellStyle name="Comma 6 3 3 4" xfId="2024"/>
    <cellStyle name="Comma 6 3 3 4 2" xfId="11389"/>
    <cellStyle name="Comma 6 3 3 4 3" xfId="21393"/>
    <cellStyle name="Comma 6 3 3 5" xfId="5970"/>
    <cellStyle name="Comma 6 3 3 5 2" xfId="14797"/>
    <cellStyle name="Comma 6 3 3 5 3" xfId="25048"/>
    <cellStyle name="Comma 6 3 3 6" xfId="7414"/>
    <cellStyle name="Comma 6 3 3 6 2" xfId="19875"/>
    <cellStyle name="Comma 6 3 3 7" xfId="16386"/>
    <cellStyle name="Comma 6 3 4" xfId="699"/>
    <cellStyle name="Comma 6 3 4 2" xfId="3185"/>
    <cellStyle name="Comma 6 3 4 2 2" xfId="12328"/>
    <cellStyle name="Comma 6 3 4 2 2 2" xfId="22546"/>
    <cellStyle name="Comma 6 3 4 2 3" xfId="8750"/>
    <cellStyle name="Comma 6 3 4 2 4" xfId="17539"/>
    <cellStyle name="Comma 6 3 4 3" xfId="4863"/>
    <cellStyle name="Comma 6 3 4 3 2" xfId="13700"/>
    <cellStyle name="Comma 6 3 4 3 2 2" xfId="23951"/>
    <cellStyle name="Comma 6 3 4 3 3" xfId="10121"/>
    <cellStyle name="Comma 6 3 4 3 4" xfId="18944"/>
    <cellStyle name="Comma 6 3 4 4" xfId="2294"/>
    <cellStyle name="Comma 6 3 4 4 2" xfId="11659"/>
    <cellStyle name="Comma 6 3 4 4 3" xfId="21663"/>
    <cellStyle name="Comma 6 3 4 5" xfId="6318"/>
    <cellStyle name="Comma 6 3 4 5 2" xfId="15145"/>
    <cellStyle name="Comma 6 3 4 5 3" xfId="25396"/>
    <cellStyle name="Comma 6 3 4 6" xfId="7764"/>
    <cellStyle name="Comma 6 3 4 6 2" xfId="20145"/>
    <cellStyle name="Comma 6 3 4 7" xfId="16656"/>
    <cellStyle name="Comma 6 3 5" xfId="1201"/>
    <cellStyle name="Comma 6 3 5 2" xfId="3630"/>
    <cellStyle name="Comma 6 3 5 2 2" xfId="12766"/>
    <cellStyle name="Comma 6 3 5 2 2 2" xfId="22985"/>
    <cellStyle name="Comma 6 3 5 2 3" xfId="9187"/>
    <cellStyle name="Comma 6 3 5 2 4" xfId="17978"/>
    <cellStyle name="Comma 6 3 5 3" xfId="5293"/>
    <cellStyle name="Comma 6 3 5 3 2" xfId="14130"/>
    <cellStyle name="Comma 6 3 5 3 2 2" xfId="24381"/>
    <cellStyle name="Comma 6 3 5 3 3" xfId="10551"/>
    <cellStyle name="Comma 6 3 5 3 4" xfId="19374"/>
    <cellStyle name="Comma 6 3 5 4" xfId="1803"/>
    <cellStyle name="Comma 6 3 5 4 2" xfId="11172"/>
    <cellStyle name="Comma 6 3 5 4 3" xfId="21176"/>
    <cellStyle name="Comma 6 3 5 5" xfId="6748"/>
    <cellStyle name="Comma 6 3 5 5 2" xfId="15575"/>
    <cellStyle name="Comma 6 3 5 5 3" xfId="25826"/>
    <cellStyle name="Comma 6 3 5 6" xfId="8194"/>
    <cellStyle name="Comma 6 3 5 6 2" xfId="20584"/>
    <cellStyle name="Comma 6 3 5 7" xfId="16169"/>
    <cellStyle name="Comma 6 3 6" xfId="2698"/>
    <cellStyle name="Comma 6 3 6 2" xfId="12015"/>
    <cellStyle name="Comma 6 3 6 2 2" xfId="22059"/>
    <cellStyle name="Comma 6 3 6 3" xfId="8447"/>
    <cellStyle name="Comma 6 3 6 4" xfId="17052"/>
    <cellStyle name="Comma 6 3 7" xfId="4249"/>
    <cellStyle name="Comma 6 3 7 2" xfId="13087"/>
    <cellStyle name="Comma 6 3 7 2 2" xfId="23338"/>
    <cellStyle name="Comma 6 3 7 3" xfId="9508"/>
    <cellStyle name="Comma 6 3 7 4" xfId="18331"/>
    <cellStyle name="Comma 6 3 8" xfId="1521"/>
    <cellStyle name="Comma 6 3 8 2" xfId="10898"/>
    <cellStyle name="Comma 6 3 8 3" xfId="20902"/>
    <cellStyle name="Comma 6 3 9" xfId="5705"/>
    <cellStyle name="Comma 6 3 9 2" xfId="14532"/>
    <cellStyle name="Comma 6 3 9 3" xfId="24783"/>
    <cellStyle name="Comma 6 4" xfId="249"/>
    <cellStyle name="Comma 6 4 10" xfId="7087"/>
    <cellStyle name="Comma 6 4 10 2" xfId="19701"/>
    <cellStyle name="Comma 6 4 11" xfId="15833"/>
    <cellStyle name="Comma 6 4 2" xfId="572"/>
    <cellStyle name="Comma 6 4 2 2" xfId="702"/>
    <cellStyle name="Comma 6 4 2 2 2" xfId="3188"/>
    <cellStyle name="Comma 6 4 2 2 2 2" xfId="12331"/>
    <cellStyle name="Comma 6 4 2 2 2 2 2" xfId="22549"/>
    <cellStyle name="Comma 6 4 2 2 2 3" xfId="8753"/>
    <cellStyle name="Comma 6 4 2 2 2 4" xfId="17542"/>
    <cellStyle name="Comma 6 4 2 2 3" xfId="4517"/>
    <cellStyle name="Comma 6 4 2 2 3 2" xfId="13355"/>
    <cellStyle name="Comma 6 4 2 2 3 2 2" xfId="23606"/>
    <cellStyle name="Comma 6 4 2 2 3 3" xfId="9776"/>
    <cellStyle name="Comma 6 4 2 2 3 4" xfId="18599"/>
    <cellStyle name="Comma 6 4 2 2 4" xfId="2297"/>
    <cellStyle name="Comma 6 4 2 2 4 2" xfId="11662"/>
    <cellStyle name="Comma 6 4 2 2 4 3" xfId="21666"/>
    <cellStyle name="Comma 6 4 2 2 5" xfId="5973"/>
    <cellStyle name="Comma 6 4 2 2 5 2" xfId="14800"/>
    <cellStyle name="Comma 6 4 2 2 5 3" xfId="25051"/>
    <cellStyle name="Comma 6 4 2 2 6" xfId="7417"/>
    <cellStyle name="Comma 6 4 2 2 6 2" xfId="20148"/>
    <cellStyle name="Comma 6 4 2 2 7" xfId="16659"/>
    <cellStyle name="Comma 6 4 2 3" xfId="1344"/>
    <cellStyle name="Comma 6 4 2 3 2" xfId="3773"/>
    <cellStyle name="Comma 6 4 2 3 2 2" xfId="12909"/>
    <cellStyle name="Comma 6 4 2 3 2 2 2" xfId="23128"/>
    <cellStyle name="Comma 6 4 2 3 2 3" xfId="9330"/>
    <cellStyle name="Comma 6 4 2 3 2 4" xfId="18121"/>
    <cellStyle name="Comma 6 4 2 3 3" xfId="4866"/>
    <cellStyle name="Comma 6 4 2 3 3 2" xfId="13703"/>
    <cellStyle name="Comma 6 4 2 3 3 2 2" xfId="23954"/>
    <cellStyle name="Comma 6 4 2 3 3 3" xfId="10124"/>
    <cellStyle name="Comma 6 4 2 3 3 4" xfId="18947"/>
    <cellStyle name="Comma 6 4 2 3 4" xfId="2167"/>
    <cellStyle name="Comma 6 4 2 3 4 2" xfId="11532"/>
    <cellStyle name="Comma 6 4 2 3 4 3" xfId="21536"/>
    <cellStyle name="Comma 6 4 2 3 5" xfId="6321"/>
    <cellStyle name="Comma 6 4 2 3 5 2" xfId="15148"/>
    <cellStyle name="Comma 6 4 2 3 5 3" xfId="25399"/>
    <cellStyle name="Comma 6 4 2 3 6" xfId="7767"/>
    <cellStyle name="Comma 6 4 2 3 6 2" xfId="20727"/>
    <cellStyle name="Comma 6 4 2 3 7" xfId="16529"/>
    <cellStyle name="Comma 6 4 2 4" xfId="3058"/>
    <cellStyle name="Comma 6 4 2 4 2" xfId="5436"/>
    <cellStyle name="Comma 6 4 2 4 2 2" xfId="14273"/>
    <cellStyle name="Comma 6 4 2 4 2 2 2" xfId="24524"/>
    <cellStyle name="Comma 6 4 2 4 2 3" xfId="10694"/>
    <cellStyle name="Comma 6 4 2 4 2 4" xfId="19517"/>
    <cellStyle name="Comma 6 4 2 4 3" xfId="6891"/>
    <cellStyle name="Comma 6 4 2 4 3 2" xfId="15718"/>
    <cellStyle name="Comma 6 4 2 4 3 3" xfId="25969"/>
    <cellStyle name="Comma 6 4 2 4 4" xfId="8337"/>
    <cellStyle name="Comma 6 4 2 4 4 2" xfId="22419"/>
    <cellStyle name="Comma 6 4 2 4 5" xfId="17412"/>
    <cellStyle name="Comma 6 4 2 5" xfId="4392"/>
    <cellStyle name="Comma 6 4 2 5 2" xfId="13230"/>
    <cellStyle name="Comma 6 4 2 5 2 2" xfId="23481"/>
    <cellStyle name="Comma 6 4 2 5 3" xfId="9651"/>
    <cellStyle name="Comma 6 4 2 5 4" xfId="18474"/>
    <cellStyle name="Comma 6 4 2 6" xfId="1664"/>
    <cellStyle name="Comma 6 4 2 6 2" xfId="11041"/>
    <cellStyle name="Comma 6 4 2 6 3" xfId="21045"/>
    <cellStyle name="Comma 6 4 2 7" xfId="5848"/>
    <cellStyle name="Comma 6 4 2 7 2" xfId="14675"/>
    <cellStyle name="Comma 6 4 2 7 3" xfId="24926"/>
    <cellStyle name="Comma 6 4 2 8" xfId="7292"/>
    <cellStyle name="Comma 6 4 2 8 2" xfId="20018"/>
    <cellStyle name="Comma 6 4 2 9" xfId="16038"/>
    <cellStyle name="Comma 6 4 3" xfId="367"/>
    <cellStyle name="Comma 6 4 3 2" xfId="2853"/>
    <cellStyle name="Comma 6 4 3 2 2" xfId="12141"/>
    <cellStyle name="Comma 6 4 3 2 2 2" xfId="22214"/>
    <cellStyle name="Comma 6 4 3 2 3" xfId="6969"/>
    <cellStyle name="Comma 6 4 3 2 4" xfId="17207"/>
    <cellStyle name="Comma 6 4 3 3" xfId="4516"/>
    <cellStyle name="Comma 6 4 3 3 2" xfId="13354"/>
    <cellStyle name="Comma 6 4 3 3 2 2" xfId="23605"/>
    <cellStyle name="Comma 6 4 3 3 3" xfId="9775"/>
    <cellStyle name="Comma 6 4 3 3 4" xfId="18598"/>
    <cellStyle name="Comma 6 4 3 4" xfId="1962"/>
    <cellStyle name="Comma 6 4 3 4 2" xfId="11327"/>
    <cellStyle name="Comma 6 4 3 4 3" xfId="21331"/>
    <cellStyle name="Comma 6 4 3 5" xfId="5972"/>
    <cellStyle name="Comma 6 4 3 5 2" xfId="14799"/>
    <cellStyle name="Comma 6 4 3 5 3" xfId="25050"/>
    <cellStyle name="Comma 6 4 3 6" xfId="7416"/>
    <cellStyle name="Comma 6 4 3 6 2" xfId="19813"/>
    <cellStyle name="Comma 6 4 3 7" xfId="16324"/>
    <cellStyle name="Comma 6 4 4" xfId="701"/>
    <cellStyle name="Comma 6 4 4 2" xfId="3187"/>
    <cellStyle name="Comma 6 4 4 2 2" xfId="12330"/>
    <cellStyle name="Comma 6 4 4 2 2 2" xfId="22548"/>
    <cellStyle name="Comma 6 4 4 2 3" xfId="8752"/>
    <cellStyle name="Comma 6 4 4 2 4" xfId="17541"/>
    <cellStyle name="Comma 6 4 4 3" xfId="4865"/>
    <cellStyle name="Comma 6 4 4 3 2" xfId="13702"/>
    <cellStyle name="Comma 6 4 4 3 2 2" xfId="23953"/>
    <cellStyle name="Comma 6 4 4 3 3" xfId="10123"/>
    <cellStyle name="Comma 6 4 4 3 4" xfId="18946"/>
    <cellStyle name="Comma 6 4 4 4" xfId="2296"/>
    <cellStyle name="Comma 6 4 4 4 2" xfId="11661"/>
    <cellStyle name="Comma 6 4 4 4 3" xfId="21665"/>
    <cellStyle name="Comma 6 4 4 5" xfId="6320"/>
    <cellStyle name="Comma 6 4 4 5 2" xfId="15147"/>
    <cellStyle name="Comma 6 4 4 5 3" xfId="25398"/>
    <cellStyle name="Comma 6 4 4 6" xfId="7766"/>
    <cellStyle name="Comma 6 4 4 6 2" xfId="20147"/>
    <cellStyle name="Comma 6 4 4 7" xfId="16658"/>
    <cellStyle name="Comma 6 4 5" xfId="1139"/>
    <cellStyle name="Comma 6 4 5 2" xfId="3568"/>
    <cellStyle name="Comma 6 4 5 2 2" xfId="12704"/>
    <cellStyle name="Comma 6 4 5 2 2 2" xfId="22923"/>
    <cellStyle name="Comma 6 4 5 2 3" xfId="9125"/>
    <cellStyle name="Comma 6 4 5 2 4" xfId="17916"/>
    <cellStyle name="Comma 6 4 5 3" xfId="5231"/>
    <cellStyle name="Comma 6 4 5 3 2" xfId="14068"/>
    <cellStyle name="Comma 6 4 5 3 2 2" xfId="24319"/>
    <cellStyle name="Comma 6 4 5 3 3" xfId="10489"/>
    <cellStyle name="Comma 6 4 5 3 4" xfId="19312"/>
    <cellStyle name="Comma 6 4 5 4" xfId="1847"/>
    <cellStyle name="Comma 6 4 5 4 2" xfId="11215"/>
    <cellStyle name="Comma 6 4 5 4 3" xfId="21219"/>
    <cellStyle name="Comma 6 4 5 5" xfId="6686"/>
    <cellStyle name="Comma 6 4 5 5 2" xfId="15513"/>
    <cellStyle name="Comma 6 4 5 5 3" xfId="25764"/>
    <cellStyle name="Comma 6 4 5 6" xfId="8132"/>
    <cellStyle name="Comma 6 4 5 6 2" xfId="20522"/>
    <cellStyle name="Comma 6 4 5 7" xfId="16212"/>
    <cellStyle name="Comma 6 4 6" xfId="2741"/>
    <cellStyle name="Comma 6 4 6 2" xfId="12058"/>
    <cellStyle name="Comma 6 4 6 2 2" xfId="22102"/>
    <cellStyle name="Comma 6 4 6 3" xfId="8414"/>
    <cellStyle name="Comma 6 4 6 4" xfId="17095"/>
    <cellStyle name="Comma 6 4 7" xfId="4187"/>
    <cellStyle name="Comma 6 4 7 2" xfId="13025"/>
    <cellStyle name="Comma 6 4 7 2 2" xfId="23276"/>
    <cellStyle name="Comma 6 4 7 3" xfId="9446"/>
    <cellStyle name="Comma 6 4 7 4" xfId="18269"/>
    <cellStyle name="Comma 6 4 8" xfId="1459"/>
    <cellStyle name="Comma 6 4 8 2" xfId="10836"/>
    <cellStyle name="Comma 6 4 8 3" xfId="20840"/>
    <cellStyle name="Comma 6 4 9" xfId="5643"/>
    <cellStyle name="Comma 6 4 9 2" xfId="14470"/>
    <cellStyle name="Comma 6 4 9 3" xfId="24721"/>
    <cellStyle name="Comma 6 5" xfId="467"/>
    <cellStyle name="Comma 6 5 2" xfId="703"/>
    <cellStyle name="Comma 6 5 2 2" xfId="3189"/>
    <cellStyle name="Comma 6 5 2 2 2" xfId="12332"/>
    <cellStyle name="Comma 6 5 2 2 2 2" xfId="22550"/>
    <cellStyle name="Comma 6 5 2 2 3" xfId="8754"/>
    <cellStyle name="Comma 6 5 2 2 4" xfId="17543"/>
    <cellStyle name="Comma 6 5 2 3" xfId="4518"/>
    <cellStyle name="Comma 6 5 2 3 2" xfId="13356"/>
    <cellStyle name="Comma 6 5 2 3 2 2" xfId="23607"/>
    <cellStyle name="Comma 6 5 2 3 3" xfId="9777"/>
    <cellStyle name="Comma 6 5 2 3 4" xfId="18600"/>
    <cellStyle name="Comma 6 5 2 4" xfId="2298"/>
    <cellStyle name="Comma 6 5 2 4 2" xfId="11663"/>
    <cellStyle name="Comma 6 5 2 4 3" xfId="21667"/>
    <cellStyle name="Comma 6 5 2 5" xfId="5974"/>
    <cellStyle name="Comma 6 5 2 5 2" xfId="14801"/>
    <cellStyle name="Comma 6 5 2 5 3" xfId="25052"/>
    <cellStyle name="Comma 6 5 2 6" xfId="7418"/>
    <cellStyle name="Comma 6 5 2 6 2" xfId="20149"/>
    <cellStyle name="Comma 6 5 2 7" xfId="16660"/>
    <cellStyle name="Comma 6 5 3" xfId="1239"/>
    <cellStyle name="Comma 6 5 3 2" xfId="3668"/>
    <cellStyle name="Comma 6 5 3 2 2" xfId="12804"/>
    <cellStyle name="Comma 6 5 3 2 2 2" xfId="23023"/>
    <cellStyle name="Comma 6 5 3 2 3" xfId="9225"/>
    <cellStyle name="Comma 6 5 3 2 4" xfId="18016"/>
    <cellStyle name="Comma 6 5 3 3" xfId="4867"/>
    <cellStyle name="Comma 6 5 3 3 2" xfId="13704"/>
    <cellStyle name="Comma 6 5 3 3 2 2" xfId="23955"/>
    <cellStyle name="Comma 6 5 3 3 3" xfId="10125"/>
    <cellStyle name="Comma 6 5 3 3 4" xfId="18948"/>
    <cellStyle name="Comma 6 5 3 4" xfId="2062"/>
    <cellStyle name="Comma 6 5 3 4 2" xfId="11427"/>
    <cellStyle name="Comma 6 5 3 4 3" xfId="21431"/>
    <cellStyle name="Comma 6 5 3 5" xfId="6322"/>
    <cellStyle name="Comma 6 5 3 5 2" xfId="15149"/>
    <cellStyle name="Comma 6 5 3 5 3" xfId="25400"/>
    <cellStyle name="Comma 6 5 3 6" xfId="7768"/>
    <cellStyle name="Comma 6 5 3 6 2" xfId="20622"/>
    <cellStyle name="Comma 6 5 3 7" xfId="16424"/>
    <cellStyle name="Comma 6 5 4" xfId="2953"/>
    <cellStyle name="Comma 6 5 4 2" xfId="5331"/>
    <cellStyle name="Comma 6 5 4 2 2" xfId="14168"/>
    <cellStyle name="Comma 6 5 4 2 2 2" xfId="24419"/>
    <cellStyle name="Comma 6 5 4 2 3" xfId="10589"/>
    <cellStyle name="Comma 6 5 4 2 4" xfId="19412"/>
    <cellStyle name="Comma 6 5 4 3" xfId="6786"/>
    <cellStyle name="Comma 6 5 4 3 2" xfId="15613"/>
    <cellStyle name="Comma 6 5 4 3 3" xfId="25864"/>
    <cellStyle name="Comma 6 5 4 4" xfId="8232"/>
    <cellStyle name="Comma 6 5 4 4 2" xfId="22314"/>
    <cellStyle name="Comma 6 5 4 5" xfId="17307"/>
    <cellStyle name="Comma 6 5 5" xfId="4287"/>
    <cellStyle name="Comma 6 5 5 2" xfId="13125"/>
    <cellStyle name="Comma 6 5 5 2 2" xfId="23376"/>
    <cellStyle name="Comma 6 5 5 3" xfId="9546"/>
    <cellStyle name="Comma 6 5 5 4" xfId="18369"/>
    <cellStyle name="Comma 6 5 6" xfId="1559"/>
    <cellStyle name="Comma 6 5 6 2" xfId="10936"/>
    <cellStyle name="Comma 6 5 6 3" xfId="20940"/>
    <cellStyle name="Comma 6 5 7" xfId="5743"/>
    <cellStyle name="Comma 6 5 7 2" xfId="14570"/>
    <cellStyle name="Comma 6 5 7 3" xfId="24821"/>
    <cellStyle name="Comma 6 5 8" xfId="7187"/>
    <cellStyle name="Comma 6 5 8 2" xfId="19913"/>
    <cellStyle name="Comma 6 5 9" xfId="15933"/>
    <cellStyle name="Comma 6 6" xfId="304"/>
    <cellStyle name="Comma 6 6 2" xfId="704"/>
    <cellStyle name="Comma 6 6 2 2" xfId="3190"/>
    <cellStyle name="Comma 6 6 2 2 2" xfId="12333"/>
    <cellStyle name="Comma 6 6 2 2 2 2" xfId="22551"/>
    <cellStyle name="Comma 6 6 2 2 3" xfId="8755"/>
    <cellStyle name="Comma 6 6 2 2 4" xfId="17544"/>
    <cellStyle name="Comma 6 6 2 3" xfId="4519"/>
    <cellStyle name="Comma 6 6 2 3 2" xfId="13357"/>
    <cellStyle name="Comma 6 6 2 3 2 2" xfId="23608"/>
    <cellStyle name="Comma 6 6 2 3 3" xfId="9778"/>
    <cellStyle name="Comma 6 6 2 3 4" xfId="18601"/>
    <cellStyle name="Comma 6 6 2 4" xfId="2299"/>
    <cellStyle name="Comma 6 6 2 4 2" xfId="11664"/>
    <cellStyle name="Comma 6 6 2 4 3" xfId="21668"/>
    <cellStyle name="Comma 6 6 2 5" xfId="5975"/>
    <cellStyle name="Comma 6 6 2 5 2" xfId="14802"/>
    <cellStyle name="Comma 6 6 2 5 3" xfId="25053"/>
    <cellStyle name="Comma 6 6 2 6" xfId="7419"/>
    <cellStyle name="Comma 6 6 2 6 2" xfId="20150"/>
    <cellStyle name="Comma 6 6 2 7" xfId="16661"/>
    <cellStyle name="Comma 6 6 3" xfId="1076"/>
    <cellStyle name="Comma 6 6 3 2" xfId="3505"/>
    <cellStyle name="Comma 6 6 3 2 2" xfId="12641"/>
    <cellStyle name="Comma 6 6 3 2 2 2" xfId="22860"/>
    <cellStyle name="Comma 6 6 3 2 3" xfId="9063"/>
    <cellStyle name="Comma 6 6 3 2 4" xfId="17853"/>
    <cellStyle name="Comma 6 6 3 3" xfId="4868"/>
    <cellStyle name="Comma 6 6 3 3 2" xfId="13705"/>
    <cellStyle name="Comma 6 6 3 3 2 2" xfId="23956"/>
    <cellStyle name="Comma 6 6 3 3 3" xfId="10126"/>
    <cellStyle name="Comma 6 6 3 3 4" xfId="18949"/>
    <cellStyle name="Comma 6 6 3 4" xfId="2597"/>
    <cellStyle name="Comma 6 6 3 4 2" xfId="11961"/>
    <cellStyle name="Comma 6 6 3 4 3" xfId="21965"/>
    <cellStyle name="Comma 6 6 3 5" xfId="6323"/>
    <cellStyle name="Comma 6 6 3 5 2" xfId="15150"/>
    <cellStyle name="Comma 6 6 3 5 3" xfId="25401"/>
    <cellStyle name="Comma 6 6 3 6" xfId="7769"/>
    <cellStyle name="Comma 6 6 3 6 2" xfId="20459"/>
    <cellStyle name="Comma 6 6 3 7" xfId="16958"/>
    <cellStyle name="Comma 6 6 4" xfId="2790"/>
    <cellStyle name="Comma 6 6 4 2" xfId="5168"/>
    <cellStyle name="Comma 6 6 4 2 2" xfId="14005"/>
    <cellStyle name="Comma 6 6 4 2 2 2" xfId="24256"/>
    <cellStyle name="Comma 6 6 4 2 3" xfId="10426"/>
    <cellStyle name="Comma 6 6 4 2 4" xfId="19249"/>
    <cellStyle name="Comma 6 6 4 3" xfId="6623"/>
    <cellStyle name="Comma 6 6 4 3 2" xfId="15450"/>
    <cellStyle name="Comma 6 6 4 3 3" xfId="25701"/>
    <cellStyle name="Comma 6 6 4 4" xfId="8069"/>
    <cellStyle name="Comma 6 6 4 4 2" xfId="22151"/>
    <cellStyle name="Comma 6 6 4 5" xfId="17144"/>
    <cellStyle name="Comma 6 6 5" xfId="4122"/>
    <cellStyle name="Comma 6 6 5 2" xfId="12960"/>
    <cellStyle name="Comma 6 6 5 2 2" xfId="23211"/>
    <cellStyle name="Comma 6 6 5 3" xfId="9381"/>
    <cellStyle name="Comma 6 6 5 4" xfId="18204"/>
    <cellStyle name="Comma 6 6 6" xfId="1899"/>
    <cellStyle name="Comma 6 6 6 2" xfId="11264"/>
    <cellStyle name="Comma 6 6 6 3" xfId="21268"/>
    <cellStyle name="Comma 6 6 7" xfId="5580"/>
    <cellStyle name="Comma 6 6 7 2" xfId="14407"/>
    <cellStyle name="Comma 6 6 7 3" xfId="24658"/>
    <cellStyle name="Comma 6 6 8" xfId="7024"/>
    <cellStyle name="Comma 6 6 8 2" xfId="19750"/>
    <cellStyle name="Comma 6 6 9" xfId="16261"/>
    <cellStyle name="Comma 6 7" xfId="693"/>
    <cellStyle name="Comma 6 7 2" xfId="3179"/>
    <cellStyle name="Comma 6 7 2 2" xfId="12322"/>
    <cellStyle name="Comma 6 7 2 2 2" xfId="22540"/>
    <cellStyle name="Comma 6 7 2 3" xfId="8744"/>
    <cellStyle name="Comma 6 7 2 4" xfId="17533"/>
    <cellStyle name="Comma 6 7 3" xfId="4508"/>
    <cellStyle name="Comma 6 7 3 2" xfId="13346"/>
    <cellStyle name="Comma 6 7 3 2 2" xfId="23597"/>
    <cellStyle name="Comma 6 7 3 3" xfId="9767"/>
    <cellStyle name="Comma 6 7 3 4" xfId="18590"/>
    <cellStyle name="Comma 6 7 4" xfId="2288"/>
    <cellStyle name="Comma 6 7 4 2" xfId="11653"/>
    <cellStyle name="Comma 6 7 4 3" xfId="21657"/>
    <cellStyle name="Comma 6 7 5" xfId="5964"/>
    <cellStyle name="Comma 6 7 5 2" xfId="14791"/>
    <cellStyle name="Comma 6 7 5 3" xfId="25042"/>
    <cellStyle name="Comma 6 7 6" xfId="7408"/>
    <cellStyle name="Comma 6 7 6 2" xfId="20139"/>
    <cellStyle name="Comma 6 7 7" xfId="16650"/>
    <cellStyle name="Comma 6 8" xfId="1056"/>
    <cellStyle name="Comma 6 8 2" xfId="3485"/>
    <cellStyle name="Comma 6 8 2 2" xfId="12621"/>
    <cellStyle name="Comma 6 8 2 2 2" xfId="22840"/>
    <cellStyle name="Comma 6 8 2 3" xfId="9043"/>
    <cellStyle name="Comma 6 8 2 4" xfId="17833"/>
    <cellStyle name="Comma 6 8 3" xfId="4857"/>
    <cellStyle name="Comma 6 8 3 2" xfId="13694"/>
    <cellStyle name="Comma 6 8 3 2 2" xfId="23945"/>
    <cellStyle name="Comma 6 8 3 3" xfId="10115"/>
    <cellStyle name="Comma 6 8 3 4" xfId="18938"/>
    <cellStyle name="Comma 6 8 4" xfId="1735"/>
    <cellStyle name="Comma 6 8 4 2" xfId="11109"/>
    <cellStyle name="Comma 6 8 4 3" xfId="21113"/>
    <cellStyle name="Comma 6 8 5" xfId="6312"/>
    <cellStyle name="Comma 6 8 5 2" xfId="15139"/>
    <cellStyle name="Comma 6 8 5 3" xfId="25390"/>
    <cellStyle name="Comma 6 8 6" xfId="7758"/>
    <cellStyle name="Comma 6 8 6 2" xfId="20439"/>
    <cellStyle name="Comma 6 8 7" xfId="16106"/>
    <cellStyle name="Comma 6 9" xfId="2633"/>
    <cellStyle name="Comma 6 9 2" xfId="5148"/>
    <cellStyle name="Comma 6 9 2 2" xfId="13985"/>
    <cellStyle name="Comma 6 9 2 2 2" xfId="24236"/>
    <cellStyle name="Comma 6 9 2 3" xfId="10406"/>
    <cellStyle name="Comma 6 9 2 4" xfId="19229"/>
    <cellStyle name="Comma 6 9 3" xfId="6603"/>
    <cellStyle name="Comma 6 9 3 2" xfId="15430"/>
    <cellStyle name="Comma 6 9 3 3" xfId="25681"/>
    <cellStyle name="Comma 6 9 4" xfId="8049"/>
    <cellStyle name="Comma 6 9 4 2" xfId="21996"/>
    <cellStyle name="Comma 6 9 5" xfId="16989"/>
    <cellStyle name="Comma 7" xfId="125"/>
    <cellStyle name="Explanatory Text 2" xfId="1020"/>
    <cellStyle name="Good 2" xfId="1021"/>
    <cellStyle name="Heading 1 2" xfId="1022"/>
    <cellStyle name="Heading 2 2" xfId="1023"/>
    <cellStyle name="Heading 3 2" xfId="1024"/>
    <cellStyle name="Heading 4 2" xfId="1025"/>
    <cellStyle name="Input 2" xfId="1026"/>
    <cellStyle name="Input 3" xfId="1040"/>
    <cellStyle name="Linked Cell 2" xfId="1027"/>
    <cellStyle name="Neutral 2" xfId="1028"/>
    <cellStyle name="Normal" xfId="0" builtinId="0"/>
    <cellStyle name="Normal 10" xfId="21"/>
    <cellStyle name="Normal 10 10" xfId="5508"/>
    <cellStyle name="Normal 10 10 2" xfId="14335"/>
    <cellStyle name="Normal 10 10 3" xfId="24586"/>
    <cellStyle name="Normal 10 11" xfId="6946"/>
    <cellStyle name="Normal 10 2" xfId="114"/>
    <cellStyle name="Normal 10 2 10" xfId="4113"/>
    <cellStyle name="Normal 10 2 10 2" xfId="5571"/>
    <cellStyle name="Normal 10 2 10 2 2" xfId="14398"/>
    <cellStyle name="Normal 10 2 10 2 3" xfId="24649"/>
    <cellStyle name="Normal 10 2 10 3" xfId="7015"/>
    <cellStyle name="Normal 10 2 10 3 2" xfId="23202"/>
    <cellStyle name="Normal 10 2 10 4" xfId="18195"/>
    <cellStyle name="Normal 10 2 11" xfId="1407"/>
    <cellStyle name="Normal 10 2 11 2" xfId="10784"/>
    <cellStyle name="Normal 10 2 11 3" xfId="20788"/>
    <cellStyle name="Normal 10 2 12" xfId="5512"/>
    <cellStyle name="Normal 10 2 12 2" xfId="14339"/>
    <cellStyle name="Normal 10 2 12 3" xfId="24590"/>
    <cellStyle name="Normal 10 2 13" xfId="6951"/>
    <cellStyle name="Normal 10 2 13 2" xfId="19589"/>
    <cellStyle name="Normal 10 2 14" xfId="15781"/>
    <cellStyle name="Normal 10 2 2" xfId="167"/>
    <cellStyle name="Normal 10 2 2 10" xfId="1432"/>
    <cellStyle name="Normal 10 2 2 10 2" xfId="10809"/>
    <cellStyle name="Normal 10 2 2 10 3" xfId="20813"/>
    <cellStyle name="Normal 10 2 2 11" xfId="5541"/>
    <cellStyle name="Normal 10 2 2 11 2" xfId="14368"/>
    <cellStyle name="Normal 10 2 2 11 3" xfId="24619"/>
    <cellStyle name="Normal 10 2 2 12" xfId="6985"/>
    <cellStyle name="Normal 10 2 2 12 2" xfId="19626"/>
    <cellStyle name="Normal 10 2 2 13" xfId="15806"/>
    <cellStyle name="Normal 10 2 2 2" xfId="214"/>
    <cellStyle name="Normal 10 2 2 2 10" xfId="7160"/>
    <cellStyle name="Normal 10 2 2 2 10 2" xfId="19669"/>
    <cellStyle name="Normal 10 2 2 2 11" xfId="15906"/>
    <cellStyle name="Normal 10 2 2 2 2" xfId="540"/>
    <cellStyle name="Normal 10 2 2 2 2 2" xfId="709"/>
    <cellStyle name="Normal 10 2 2 2 2 2 2" xfId="3195"/>
    <cellStyle name="Normal 10 2 2 2 2 2 2 2" xfId="12338"/>
    <cellStyle name="Normal 10 2 2 2 2 2 2 2 2" xfId="22556"/>
    <cellStyle name="Normal 10 2 2 2 2 2 2 3" xfId="8760"/>
    <cellStyle name="Normal 10 2 2 2 2 2 2 4" xfId="17549"/>
    <cellStyle name="Normal 10 2 2 2 2 2 3" xfId="4524"/>
    <cellStyle name="Normal 10 2 2 2 2 2 3 2" xfId="13362"/>
    <cellStyle name="Normal 10 2 2 2 2 2 3 2 2" xfId="23613"/>
    <cellStyle name="Normal 10 2 2 2 2 2 3 3" xfId="9783"/>
    <cellStyle name="Normal 10 2 2 2 2 2 3 4" xfId="18606"/>
    <cellStyle name="Normal 10 2 2 2 2 2 4" xfId="2304"/>
    <cellStyle name="Normal 10 2 2 2 2 2 4 2" xfId="11669"/>
    <cellStyle name="Normal 10 2 2 2 2 2 4 3" xfId="21673"/>
    <cellStyle name="Normal 10 2 2 2 2 2 5" xfId="5980"/>
    <cellStyle name="Normal 10 2 2 2 2 2 5 2" xfId="14807"/>
    <cellStyle name="Normal 10 2 2 2 2 2 5 3" xfId="25058"/>
    <cellStyle name="Normal 10 2 2 2 2 2 6" xfId="7424"/>
    <cellStyle name="Normal 10 2 2 2 2 2 6 2" xfId="20155"/>
    <cellStyle name="Normal 10 2 2 2 2 2 7" xfId="16666"/>
    <cellStyle name="Normal 10 2 2 2 2 3" xfId="1312"/>
    <cellStyle name="Normal 10 2 2 2 2 3 2" xfId="3741"/>
    <cellStyle name="Normal 10 2 2 2 2 3 2 2" xfId="12877"/>
    <cellStyle name="Normal 10 2 2 2 2 3 2 2 2" xfId="23096"/>
    <cellStyle name="Normal 10 2 2 2 2 3 2 3" xfId="9298"/>
    <cellStyle name="Normal 10 2 2 2 2 3 2 4" xfId="18089"/>
    <cellStyle name="Normal 10 2 2 2 2 3 3" xfId="4873"/>
    <cellStyle name="Normal 10 2 2 2 2 3 3 2" xfId="13710"/>
    <cellStyle name="Normal 10 2 2 2 2 3 3 2 2" xfId="23961"/>
    <cellStyle name="Normal 10 2 2 2 2 3 3 3" xfId="10131"/>
    <cellStyle name="Normal 10 2 2 2 2 3 3 4" xfId="18954"/>
    <cellStyle name="Normal 10 2 2 2 2 3 4" xfId="2135"/>
    <cellStyle name="Normal 10 2 2 2 2 3 4 2" xfId="11500"/>
    <cellStyle name="Normal 10 2 2 2 2 3 4 3" xfId="21504"/>
    <cellStyle name="Normal 10 2 2 2 2 3 5" xfId="6328"/>
    <cellStyle name="Normal 10 2 2 2 2 3 5 2" xfId="15155"/>
    <cellStyle name="Normal 10 2 2 2 2 3 5 3" xfId="25406"/>
    <cellStyle name="Normal 10 2 2 2 2 3 6" xfId="7774"/>
    <cellStyle name="Normal 10 2 2 2 2 3 6 2" xfId="20695"/>
    <cellStyle name="Normal 10 2 2 2 2 3 7" xfId="16497"/>
    <cellStyle name="Normal 10 2 2 2 2 4" xfId="3026"/>
    <cellStyle name="Normal 10 2 2 2 2 4 2" xfId="5404"/>
    <cellStyle name="Normal 10 2 2 2 2 4 2 2" xfId="14241"/>
    <cellStyle name="Normal 10 2 2 2 2 4 2 2 2" xfId="24492"/>
    <cellStyle name="Normal 10 2 2 2 2 4 2 3" xfId="10662"/>
    <cellStyle name="Normal 10 2 2 2 2 4 2 4" xfId="19485"/>
    <cellStyle name="Normal 10 2 2 2 2 4 3" xfId="6859"/>
    <cellStyle name="Normal 10 2 2 2 2 4 3 2" xfId="15686"/>
    <cellStyle name="Normal 10 2 2 2 2 4 3 3" xfId="25937"/>
    <cellStyle name="Normal 10 2 2 2 2 4 4" xfId="8305"/>
    <cellStyle name="Normal 10 2 2 2 2 4 4 2" xfId="22387"/>
    <cellStyle name="Normal 10 2 2 2 2 4 5" xfId="17380"/>
    <cellStyle name="Normal 10 2 2 2 2 5" xfId="4360"/>
    <cellStyle name="Normal 10 2 2 2 2 5 2" xfId="13198"/>
    <cellStyle name="Normal 10 2 2 2 2 5 2 2" xfId="23449"/>
    <cellStyle name="Normal 10 2 2 2 2 5 3" xfId="9619"/>
    <cellStyle name="Normal 10 2 2 2 2 5 4" xfId="18442"/>
    <cellStyle name="Normal 10 2 2 2 2 6" xfId="1632"/>
    <cellStyle name="Normal 10 2 2 2 2 6 2" xfId="11009"/>
    <cellStyle name="Normal 10 2 2 2 2 6 3" xfId="21013"/>
    <cellStyle name="Normal 10 2 2 2 2 7" xfId="5816"/>
    <cellStyle name="Normal 10 2 2 2 2 7 2" xfId="14643"/>
    <cellStyle name="Normal 10 2 2 2 2 7 3" xfId="24894"/>
    <cellStyle name="Normal 10 2 2 2 2 8" xfId="7260"/>
    <cellStyle name="Normal 10 2 2 2 2 8 2" xfId="19986"/>
    <cellStyle name="Normal 10 2 2 2 2 9" xfId="16006"/>
    <cellStyle name="Normal 10 2 2 2 2_Degree data" xfId="3906"/>
    <cellStyle name="Normal 10 2 2 2 3" xfId="440"/>
    <cellStyle name="Normal 10 2 2 2 3 2" xfId="2926"/>
    <cellStyle name="Normal 10 2 2 2 3 2 2" xfId="12214"/>
    <cellStyle name="Normal 10 2 2 2 3 2 2 2" xfId="22287"/>
    <cellStyle name="Normal 10 2 2 2 3 2 3" xfId="8452"/>
    <cellStyle name="Normal 10 2 2 2 3 2 4" xfId="17280"/>
    <cellStyle name="Normal 10 2 2 2 3 3" xfId="4523"/>
    <cellStyle name="Normal 10 2 2 2 3 3 2" xfId="13361"/>
    <cellStyle name="Normal 10 2 2 2 3 3 2 2" xfId="23612"/>
    <cellStyle name="Normal 10 2 2 2 3 3 3" xfId="9782"/>
    <cellStyle name="Normal 10 2 2 2 3 3 4" xfId="18605"/>
    <cellStyle name="Normal 10 2 2 2 3 4" xfId="2035"/>
    <cellStyle name="Normal 10 2 2 2 3 4 2" xfId="11400"/>
    <cellStyle name="Normal 10 2 2 2 3 4 3" xfId="21404"/>
    <cellStyle name="Normal 10 2 2 2 3 5" xfId="5979"/>
    <cellStyle name="Normal 10 2 2 2 3 5 2" xfId="14806"/>
    <cellStyle name="Normal 10 2 2 2 3 5 3" xfId="25057"/>
    <cellStyle name="Normal 10 2 2 2 3 6" xfId="7423"/>
    <cellStyle name="Normal 10 2 2 2 3 6 2" xfId="19886"/>
    <cellStyle name="Normal 10 2 2 2 3 7" xfId="16397"/>
    <cellStyle name="Normal 10 2 2 2 4" xfId="708"/>
    <cellStyle name="Normal 10 2 2 2 4 2" xfId="3194"/>
    <cellStyle name="Normal 10 2 2 2 4 2 2" xfId="12337"/>
    <cellStyle name="Normal 10 2 2 2 4 2 2 2" xfId="22555"/>
    <cellStyle name="Normal 10 2 2 2 4 2 3" xfId="8759"/>
    <cellStyle name="Normal 10 2 2 2 4 2 4" xfId="17548"/>
    <cellStyle name="Normal 10 2 2 2 4 3" xfId="4872"/>
    <cellStyle name="Normal 10 2 2 2 4 3 2" xfId="13709"/>
    <cellStyle name="Normal 10 2 2 2 4 3 2 2" xfId="23960"/>
    <cellStyle name="Normal 10 2 2 2 4 3 3" xfId="10130"/>
    <cellStyle name="Normal 10 2 2 2 4 3 4" xfId="18953"/>
    <cellStyle name="Normal 10 2 2 2 4 4" xfId="2303"/>
    <cellStyle name="Normal 10 2 2 2 4 4 2" xfId="11668"/>
    <cellStyle name="Normal 10 2 2 2 4 4 3" xfId="21672"/>
    <cellStyle name="Normal 10 2 2 2 4 5" xfId="6327"/>
    <cellStyle name="Normal 10 2 2 2 4 5 2" xfId="15154"/>
    <cellStyle name="Normal 10 2 2 2 4 5 3" xfId="25405"/>
    <cellStyle name="Normal 10 2 2 2 4 6" xfId="7773"/>
    <cellStyle name="Normal 10 2 2 2 4 6 2" xfId="20154"/>
    <cellStyle name="Normal 10 2 2 2 4 7" xfId="16665"/>
    <cellStyle name="Normal 10 2 2 2 5" xfId="1212"/>
    <cellStyle name="Normal 10 2 2 2 5 2" xfId="3641"/>
    <cellStyle name="Normal 10 2 2 2 5 2 2" xfId="12777"/>
    <cellStyle name="Normal 10 2 2 2 5 2 2 2" xfId="22996"/>
    <cellStyle name="Normal 10 2 2 2 5 2 3" xfId="9198"/>
    <cellStyle name="Normal 10 2 2 2 5 2 4" xfId="17989"/>
    <cellStyle name="Normal 10 2 2 2 5 3" xfId="5304"/>
    <cellStyle name="Normal 10 2 2 2 5 3 2" xfId="14141"/>
    <cellStyle name="Normal 10 2 2 2 5 3 2 2" xfId="24392"/>
    <cellStyle name="Normal 10 2 2 2 5 3 3" xfId="10562"/>
    <cellStyle name="Normal 10 2 2 2 5 3 4" xfId="19385"/>
    <cellStyle name="Normal 10 2 2 2 5 4" xfId="1815"/>
    <cellStyle name="Normal 10 2 2 2 5 4 2" xfId="11183"/>
    <cellStyle name="Normal 10 2 2 2 5 4 3" xfId="21187"/>
    <cellStyle name="Normal 10 2 2 2 5 5" xfId="6759"/>
    <cellStyle name="Normal 10 2 2 2 5 5 2" xfId="15586"/>
    <cellStyle name="Normal 10 2 2 2 5 5 3" xfId="25837"/>
    <cellStyle name="Normal 10 2 2 2 5 6" xfId="8205"/>
    <cellStyle name="Normal 10 2 2 2 5 6 2" xfId="20595"/>
    <cellStyle name="Normal 10 2 2 2 5 7" xfId="16180"/>
    <cellStyle name="Normal 10 2 2 2 6" xfId="2709"/>
    <cellStyle name="Normal 10 2 2 2 6 2" xfId="12026"/>
    <cellStyle name="Normal 10 2 2 2 6 2 2" xfId="22070"/>
    <cellStyle name="Normal 10 2 2 2 6 3" xfId="8416"/>
    <cellStyle name="Normal 10 2 2 2 6 4" xfId="17063"/>
    <cellStyle name="Normal 10 2 2 2 7" xfId="4260"/>
    <cellStyle name="Normal 10 2 2 2 7 2" xfId="13098"/>
    <cellStyle name="Normal 10 2 2 2 7 2 2" xfId="23349"/>
    <cellStyle name="Normal 10 2 2 2 7 3" xfId="9519"/>
    <cellStyle name="Normal 10 2 2 2 7 4" xfId="18342"/>
    <cellStyle name="Normal 10 2 2 2 8" xfId="1532"/>
    <cellStyle name="Normal 10 2 2 2 8 2" xfId="10909"/>
    <cellStyle name="Normal 10 2 2 2 8 3" xfId="20913"/>
    <cellStyle name="Normal 10 2 2 2 9" xfId="5716"/>
    <cellStyle name="Normal 10 2 2 2 9 2" xfId="14543"/>
    <cellStyle name="Normal 10 2 2 2 9 3" xfId="24794"/>
    <cellStyle name="Normal 10 2 2 2_Degree data" xfId="3902"/>
    <cellStyle name="Normal 10 2 2 3" xfId="279"/>
    <cellStyle name="Normal 10 2 2 3 10" xfId="7117"/>
    <cellStyle name="Normal 10 2 2 3 10 2" xfId="19730"/>
    <cellStyle name="Normal 10 2 2 3 11" xfId="15863"/>
    <cellStyle name="Normal 10 2 2 3 2" xfId="601"/>
    <cellStyle name="Normal 10 2 2 3 2 2" xfId="711"/>
    <cellStyle name="Normal 10 2 2 3 2 2 2" xfId="3197"/>
    <cellStyle name="Normal 10 2 2 3 2 2 2 2" xfId="12340"/>
    <cellStyle name="Normal 10 2 2 3 2 2 2 2 2" xfId="22558"/>
    <cellStyle name="Normal 10 2 2 3 2 2 2 3" xfId="8762"/>
    <cellStyle name="Normal 10 2 2 3 2 2 2 4" xfId="17551"/>
    <cellStyle name="Normal 10 2 2 3 2 2 3" xfId="4526"/>
    <cellStyle name="Normal 10 2 2 3 2 2 3 2" xfId="13364"/>
    <cellStyle name="Normal 10 2 2 3 2 2 3 2 2" xfId="23615"/>
    <cellStyle name="Normal 10 2 2 3 2 2 3 3" xfId="9785"/>
    <cellStyle name="Normal 10 2 2 3 2 2 3 4" xfId="18608"/>
    <cellStyle name="Normal 10 2 2 3 2 2 4" xfId="2306"/>
    <cellStyle name="Normal 10 2 2 3 2 2 4 2" xfId="11671"/>
    <cellStyle name="Normal 10 2 2 3 2 2 4 3" xfId="21675"/>
    <cellStyle name="Normal 10 2 2 3 2 2 5" xfId="5982"/>
    <cellStyle name="Normal 10 2 2 3 2 2 5 2" xfId="14809"/>
    <cellStyle name="Normal 10 2 2 3 2 2 5 3" xfId="25060"/>
    <cellStyle name="Normal 10 2 2 3 2 2 6" xfId="7426"/>
    <cellStyle name="Normal 10 2 2 3 2 2 6 2" xfId="20157"/>
    <cellStyle name="Normal 10 2 2 3 2 2 7" xfId="16668"/>
    <cellStyle name="Normal 10 2 2 3 2 3" xfId="1373"/>
    <cellStyle name="Normal 10 2 2 3 2 3 2" xfId="3802"/>
    <cellStyle name="Normal 10 2 2 3 2 3 2 2" xfId="12938"/>
    <cellStyle name="Normal 10 2 2 3 2 3 2 2 2" xfId="23157"/>
    <cellStyle name="Normal 10 2 2 3 2 3 2 3" xfId="9359"/>
    <cellStyle name="Normal 10 2 2 3 2 3 2 4" xfId="18150"/>
    <cellStyle name="Normal 10 2 2 3 2 3 3" xfId="4875"/>
    <cellStyle name="Normal 10 2 2 3 2 3 3 2" xfId="13712"/>
    <cellStyle name="Normal 10 2 2 3 2 3 3 2 2" xfId="23963"/>
    <cellStyle name="Normal 10 2 2 3 2 3 3 3" xfId="10133"/>
    <cellStyle name="Normal 10 2 2 3 2 3 3 4" xfId="18956"/>
    <cellStyle name="Normal 10 2 2 3 2 3 4" xfId="2196"/>
    <cellStyle name="Normal 10 2 2 3 2 3 4 2" xfId="11561"/>
    <cellStyle name="Normal 10 2 2 3 2 3 4 3" xfId="21565"/>
    <cellStyle name="Normal 10 2 2 3 2 3 5" xfId="6330"/>
    <cellStyle name="Normal 10 2 2 3 2 3 5 2" xfId="15157"/>
    <cellStyle name="Normal 10 2 2 3 2 3 5 3" xfId="25408"/>
    <cellStyle name="Normal 10 2 2 3 2 3 6" xfId="7776"/>
    <cellStyle name="Normal 10 2 2 3 2 3 6 2" xfId="20756"/>
    <cellStyle name="Normal 10 2 2 3 2 3 7" xfId="16558"/>
    <cellStyle name="Normal 10 2 2 3 2 4" xfId="3087"/>
    <cellStyle name="Normal 10 2 2 3 2 4 2" xfId="5465"/>
    <cellStyle name="Normal 10 2 2 3 2 4 2 2" xfId="14302"/>
    <cellStyle name="Normal 10 2 2 3 2 4 2 2 2" xfId="24553"/>
    <cellStyle name="Normal 10 2 2 3 2 4 2 3" xfId="10723"/>
    <cellStyle name="Normal 10 2 2 3 2 4 2 4" xfId="19546"/>
    <cellStyle name="Normal 10 2 2 3 2 4 3" xfId="6920"/>
    <cellStyle name="Normal 10 2 2 3 2 4 3 2" xfId="15747"/>
    <cellStyle name="Normal 10 2 2 3 2 4 3 3" xfId="25998"/>
    <cellStyle name="Normal 10 2 2 3 2 4 4" xfId="8366"/>
    <cellStyle name="Normal 10 2 2 3 2 4 4 2" xfId="22448"/>
    <cellStyle name="Normal 10 2 2 3 2 4 5" xfId="17441"/>
    <cellStyle name="Normal 10 2 2 3 2 5" xfId="4421"/>
    <cellStyle name="Normal 10 2 2 3 2 5 2" xfId="13259"/>
    <cellStyle name="Normal 10 2 2 3 2 5 2 2" xfId="23510"/>
    <cellStyle name="Normal 10 2 2 3 2 5 3" xfId="9680"/>
    <cellStyle name="Normal 10 2 2 3 2 5 4" xfId="18503"/>
    <cellStyle name="Normal 10 2 2 3 2 6" xfId="1693"/>
    <cellStyle name="Normal 10 2 2 3 2 6 2" xfId="11070"/>
    <cellStyle name="Normal 10 2 2 3 2 6 3" xfId="21074"/>
    <cellStyle name="Normal 10 2 2 3 2 7" xfId="5877"/>
    <cellStyle name="Normal 10 2 2 3 2 7 2" xfId="14704"/>
    <cellStyle name="Normal 10 2 2 3 2 7 3" xfId="24955"/>
    <cellStyle name="Normal 10 2 2 3 2 8" xfId="7321"/>
    <cellStyle name="Normal 10 2 2 3 2 8 2" xfId="20047"/>
    <cellStyle name="Normal 10 2 2 3 2 9" xfId="16067"/>
    <cellStyle name="Normal 10 2 2 3 2_Degree data" xfId="2613"/>
    <cellStyle name="Normal 10 2 2 3 3" xfId="397"/>
    <cellStyle name="Normal 10 2 2 3 3 2" xfId="2883"/>
    <cellStyle name="Normal 10 2 2 3 3 2 2" xfId="12171"/>
    <cellStyle name="Normal 10 2 2 3 3 2 2 2" xfId="22244"/>
    <cellStyle name="Normal 10 2 2 3 3 2 3" xfId="8463"/>
    <cellStyle name="Normal 10 2 2 3 3 2 4" xfId="17237"/>
    <cellStyle name="Normal 10 2 2 3 3 3" xfId="4525"/>
    <cellStyle name="Normal 10 2 2 3 3 3 2" xfId="13363"/>
    <cellStyle name="Normal 10 2 2 3 3 3 2 2" xfId="23614"/>
    <cellStyle name="Normal 10 2 2 3 3 3 3" xfId="9784"/>
    <cellStyle name="Normal 10 2 2 3 3 3 4" xfId="18607"/>
    <cellStyle name="Normal 10 2 2 3 3 4" xfId="1992"/>
    <cellStyle name="Normal 10 2 2 3 3 4 2" xfId="11357"/>
    <cellStyle name="Normal 10 2 2 3 3 4 3" xfId="21361"/>
    <cellStyle name="Normal 10 2 2 3 3 5" xfId="5981"/>
    <cellStyle name="Normal 10 2 2 3 3 5 2" xfId="14808"/>
    <cellStyle name="Normal 10 2 2 3 3 5 3" xfId="25059"/>
    <cellStyle name="Normal 10 2 2 3 3 6" xfId="7425"/>
    <cellStyle name="Normal 10 2 2 3 3 6 2" xfId="19843"/>
    <cellStyle name="Normal 10 2 2 3 3 7" xfId="16354"/>
    <cellStyle name="Normal 10 2 2 3 4" xfId="710"/>
    <cellStyle name="Normal 10 2 2 3 4 2" xfId="3196"/>
    <cellStyle name="Normal 10 2 2 3 4 2 2" xfId="12339"/>
    <cellStyle name="Normal 10 2 2 3 4 2 2 2" xfId="22557"/>
    <cellStyle name="Normal 10 2 2 3 4 2 3" xfId="8761"/>
    <cellStyle name="Normal 10 2 2 3 4 2 4" xfId="17550"/>
    <cellStyle name="Normal 10 2 2 3 4 3" xfId="4874"/>
    <cellStyle name="Normal 10 2 2 3 4 3 2" xfId="13711"/>
    <cellStyle name="Normal 10 2 2 3 4 3 2 2" xfId="23962"/>
    <cellStyle name="Normal 10 2 2 3 4 3 3" xfId="10132"/>
    <cellStyle name="Normal 10 2 2 3 4 3 4" xfId="18955"/>
    <cellStyle name="Normal 10 2 2 3 4 4" xfId="2305"/>
    <cellStyle name="Normal 10 2 2 3 4 4 2" xfId="11670"/>
    <cellStyle name="Normal 10 2 2 3 4 4 3" xfId="21674"/>
    <cellStyle name="Normal 10 2 2 3 4 5" xfId="6329"/>
    <cellStyle name="Normal 10 2 2 3 4 5 2" xfId="15156"/>
    <cellStyle name="Normal 10 2 2 3 4 5 3" xfId="25407"/>
    <cellStyle name="Normal 10 2 2 3 4 6" xfId="7775"/>
    <cellStyle name="Normal 10 2 2 3 4 6 2" xfId="20156"/>
    <cellStyle name="Normal 10 2 2 3 4 7" xfId="16667"/>
    <cellStyle name="Normal 10 2 2 3 5" xfId="1169"/>
    <cellStyle name="Normal 10 2 2 3 5 2" xfId="3598"/>
    <cellStyle name="Normal 10 2 2 3 5 2 2" xfId="12734"/>
    <cellStyle name="Normal 10 2 2 3 5 2 2 2" xfId="22953"/>
    <cellStyle name="Normal 10 2 2 3 5 2 3" xfId="9155"/>
    <cellStyle name="Normal 10 2 2 3 5 2 4" xfId="17946"/>
    <cellStyle name="Normal 10 2 2 3 5 3" xfId="5261"/>
    <cellStyle name="Normal 10 2 2 3 5 3 2" xfId="14098"/>
    <cellStyle name="Normal 10 2 2 3 5 3 2 2" xfId="24349"/>
    <cellStyle name="Normal 10 2 2 3 5 3 3" xfId="10519"/>
    <cellStyle name="Normal 10 2 2 3 5 3 4" xfId="19342"/>
    <cellStyle name="Normal 10 2 2 3 5 4" xfId="1876"/>
    <cellStyle name="Normal 10 2 2 3 5 4 2" xfId="11244"/>
    <cellStyle name="Normal 10 2 2 3 5 4 3" xfId="21248"/>
    <cellStyle name="Normal 10 2 2 3 5 5" xfId="6716"/>
    <cellStyle name="Normal 10 2 2 3 5 5 2" xfId="15543"/>
    <cellStyle name="Normal 10 2 2 3 5 5 3" xfId="25794"/>
    <cellStyle name="Normal 10 2 2 3 5 6" xfId="8162"/>
    <cellStyle name="Normal 10 2 2 3 5 6 2" xfId="20552"/>
    <cellStyle name="Normal 10 2 2 3 5 7" xfId="16241"/>
    <cellStyle name="Normal 10 2 2 3 6" xfId="2770"/>
    <cellStyle name="Normal 10 2 2 3 6 2" xfId="12087"/>
    <cellStyle name="Normal 10 2 2 3 6 2 2" xfId="22131"/>
    <cellStyle name="Normal 10 2 2 3 6 3" xfId="8485"/>
    <cellStyle name="Normal 10 2 2 3 6 4" xfId="17124"/>
    <cellStyle name="Normal 10 2 2 3 7" xfId="4217"/>
    <cellStyle name="Normal 10 2 2 3 7 2" xfId="13055"/>
    <cellStyle name="Normal 10 2 2 3 7 2 2" xfId="23306"/>
    <cellStyle name="Normal 10 2 2 3 7 3" xfId="9476"/>
    <cellStyle name="Normal 10 2 2 3 7 4" xfId="18299"/>
    <cellStyle name="Normal 10 2 2 3 8" xfId="1489"/>
    <cellStyle name="Normal 10 2 2 3 8 2" xfId="10866"/>
    <cellStyle name="Normal 10 2 2 3 8 3" xfId="20870"/>
    <cellStyle name="Normal 10 2 2 3 9" xfId="5673"/>
    <cellStyle name="Normal 10 2 2 3 9 2" xfId="14500"/>
    <cellStyle name="Normal 10 2 2 3 9 3" xfId="24751"/>
    <cellStyle name="Normal 10 2 2 3_Degree data" xfId="3856"/>
    <cellStyle name="Normal 10 2 2 4" xfId="497"/>
    <cellStyle name="Normal 10 2 2 4 2" xfId="712"/>
    <cellStyle name="Normal 10 2 2 4 2 2" xfId="3198"/>
    <cellStyle name="Normal 10 2 2 4 2 2 2" xfId="12341"/>
    <cellStyle name="Normal 10 2 2 4 2 2 2 2" xfId="22559"/>
    <cellStyle name="Normal 10 2 2 4 2 2 3" xfId="8763"/>
    <cellStyle name="Normal 10 2 2 4 2 2 4" xfId="17552"/>
    <cellStyle name="Normal 10 2 2 4 2 3" xfId="4527"/>
    <cellStyle name="Normal 10 2 2 4 2 3 2" xfId="13365"/>
    <cellStyle name="Normal 10 2 2 4 2 3 2 2" xfId="23616"/>
    <cellStyle name="Normal 10 2 2 4 2 3 3" xfId="9786"/>
    <cellStyle name="Normal 10 2 2 4 2 3 4" xfId="18609"/>
    <cellStyle name="Normal 10 2 2 4 2 4" xfId="2307"/>
    <cellStyle name="Normal 10 2 2 4 2 4 2" xfId="11672"/>
    <cellStyle name="Normal 10 2 2 4 2 4 3" xfId="21676"/>
    <cellStyle name="Normal 10 2 2 4 2 5" xfId="5983"/>
    <cellStyle name="Normal 10 2 2 4 2 5 2" xfId="14810"/>
    <cellStyle name="Normal 10 2 2 4 2 5 3" xfId="25061"/>
    <cellStyle name="Normal 10 2 2 4 2 6" xfId="7427"/>
    <cellStyle name="Normal 10 2 2 4 2 6 2" xfId="20158"/>
    <cellStyle name="Normal 10 2 2 4 2 7" xfId="16669"/>
    <cellStyle name="Normal 10 2 2 4 3" xfId="1269"/>
    <cellStyle name="Normal 10 2 2 4 3 2" xfId="3698"/>
    <cellStyle name="Normal 10 2 2 4 3 2 2" xfId="12834"/>
    <cellStyle name="Normal 10 2 2 4 3 2 2 2" xfId="23053"/>
    <cellStyle name="Normal 10 2 2 4 3 2 3" xfId="9255"/>
    <cellStyle name="Normal 10 2 2 4 3 2 4" xfId="18046"/>
    <cellStyle name="Normal 10 2 2 4 3 3" xfId="4876"/>
    <cellStyle name="Normal 10 2 2 4 3 3 2" xfId="13713"/>
    <cellStyle name="Normal 10 2 2 4 3 3 2 2" xfId="23964"/>
    <cellStyle name="Normal 10 2 2 4 3 3 3" xfId="10134"/>
    <cellStyle name="Normal 10 2 2 4 3 3 4" xfId="18957"/>
    <cellStyle name="Normal 10 2 2 4 3 4" xfId="2092"/>
    <cellStyle name="Normal 10 2 2 4 3 4 2" xfId="11457"/>
    <cellStyle name="Normal 10 2 2 4 3 4 3" xfId="21461"/>
    <cellStyle name="Normal 10 2 2 4 3 5" xfId="6331"/>
    <cellStyle name="Normal 10 2 2 4 3 5 2" xfId="15158"/>
    <cellStyle name="Normal 10 2 2 4 3 5 3" xfId="25409"/>
    <cellStyle name="Normal 10 2 2 4 3 6" xfId="7777"/>
    <cellStyle name="Normal 10 2 2 4 3 6 2" xfId="20652"/>
    <cellStyle name="Normal 10 2 2 4 3 7" xfId="16454"/>
    <cellStyle name="Normal 10 2 2 4 4" xfId="2983"/>
    <cellStyle name="Normal 10 2 2 4 4 2" xfId="5361"/>
    <cellStyle name="Normal 10 2 2 4 4 2 2" xfId="14198"/>
    <cellStyle name="Normal 10 2 2 4 4 2 2 2" xfId="24449"/>
    <cellStyle name="Normal 10 2 2 4 4 2 3" xfId="10619"/>
    <cellStyle name="Normal 10 2 2 4 4 2 4" xfId="19442"/>
    <cellStyle name="Normal 10 2 2 4 4 3" xfId="6816"/>
    <cellStyle name="Normal 10 2 2 4 4 3 2" xfId="15643"/>
    <cellStyle name="Normal 10 2 2 4 4 3 3" xfId="25894"/>
    <cellStyle name="Normal 10 2 2 4 4 4" xfId="8262"/>
    <cellStyle name="Normal 10 2 2 4 4 4 2" xfId="22344"/>
    <cellStyle name="Normal 10 2 2 4 4 5" xfId="17337"/>
    <cellStyle name="Normal 10 2 2 4 5" xfId="4317"/>
    <cellStyle name="Normal 10 2 2 4 5 2" xfId="13155"/>
    <cellStyle name="Normal 10 2 2 4 5 2 2" xfId="23406"/>
    <cellStyle name="Normal 10 2 2 4 5 3" xfId="9576"/>
    <cellStyle name="Normal 10 2 2 4 5 4" xfId="18399"/>
    <cellStyle name="Normal 10 2 2 4 6" xfId="1589"/>
    <cellStyle name="Normal 10 2 2 4 6 2" xfId="10966"/>
    <cellStyle name="Normal 10 2 2 4 6 3" xfId="20970"/>
    <cellStyle name="Normal 10 2 2 4 7" xfId="5773"/>
    <cellStyle name="Normal 10 2 2 4 7 2" xfId="14600"/>
    <cellStyle name="Normal 10 2 2 4 7 3" xfId="24851"/>
    <cellStyle name="Normal 10 2 2 4 8" xfId="7217"/>
    <cellStyle name="Normal 10 2 2 4 8 2" xfId="19943"/>
    <cellStyle name="Normal 10 2 2 4 9" xfId="15963"/>
    <cellStyle name="Normal 10 2 2 4_Degree data" xfId="3855"/>
    <cellStyle name="Normal 10 2 2 5" xfId="340"/>
    <cellStyle name="Normal 10 2 2 5 2" xfId="2826"/>
    <cellStyle name="Normal 10 2 2 5 2 2" xfId="12121"/>
    <cellStyle name="Normal 10 2 2 5 2 2 2" xfId="22187"/>
    <cellStyle name="Normal 10 2 2 5 2 3" xfId="8477"/>
    <cellStyle name="Normal 10 2 2 5 2 4" xfId="17180"/>
    <cellStyle name="Normal 10 2 2 5 3" xfId="4522"/>
    <cellStyle name="Normal 10 2 2 5 3 2" xfId="13360"/>
    <cellStyle name="Normal 10 2 2 5 3 2 2" xfId="23611"/>
    <cellStyle name="Normal 10 2 2 5 3 3" xfId="9781"/>
    <cellStyle name="Normal 10 2 2 5 3 4" xfId="18604"/>
    <cellStyle name="Normal 10 2 2 5 4" xfId="1935"/>
    <cellStyle name="Normal 10 2 2 5 4 2" xfId="11300"/>
    <cellStyle name="Normal 10 2 2 5 4 3" xfId="21304"/>
    <cellStyle name="Normal 10 2 2 5 5" xfId="5978"/>
    <cellStyle name="Normal 10 2 2 5 5 2" xfId="14805"/>
    <cellStyle name="Normal 10 2 2 5 5 3" xfId="25056"/>
    <cellStyle name="Normal 10 2 2 5 6" xfId="7422"/>
    <cellStyle name="Normal 10 2 2 5 6 2" xfId="19786"/>
    <cellStyle name="Normal 10 2 2 5 7" xfId="16297"/>
    <cellStyle name="Normal 10 2 2 6" xfId="707"/>
    <cellStyle name="Normal 10 2 2 6 2" xfId="3193"/>
    <cellStyle name="Normal 10 2 2 6 2 2" xfId="12336"/>
    <cellStyle name="Normal 10 2 2 6 2 2 2" xfId="22554"/>
    <cellStyle name="Normal 10 2 2 6 2 3" xfId="8758"/>
    <cellStyle name="Normal 10 2 2 6 2 4" xfId="17547"/>
    <cellStyle name="Normal 10 2 2 6 3" xfId="4871"/>
    <cellStyle name="Normal 10 2 2 6 3 2" xfId="13708"/>
    <cellStyle name="Normal 10 2 2 6 3 2 2" xfId="23959"/>
    <cellStyle name="Normal 10 2 2 6 3 3" xfId="10129"/>
    <cellStyle name="Normal 10 2 2 6 3 4" xfId="18952"/>
    <cellStyle name="Normal 10 2 2 6 4" xfId="2302"/>
    <cellStyle name="Normal 10 2 2 6 4 2" xfId="11667"/>
    <cellStyle name="Normal 10 2 2 6 4 3" xfId="21671"/>
    <cellStyle name="Normal 10 2 2 6 5" xfId="6326"/>
    <cellStyle name="Normal 10 2 2 6 5 2" xfId="15153"/>
    <cellStyle name="Normal 10 2 2 6 5 3" xfId="25404"/>
    <cellStyle name="Normal 10 2 2 6 6" xfId="7772"/>
    <cellStyle name="Normal 10 2 2 6 6 2" xfId="20153"/>
    <cellStyle name="Normal 10 2 2 6 7" xfId="16664"/>
    <cellStyle name="Normal 10 2 2 7" xfId="1112"/>
    <cellStyle name="Normal 10 2 2 7 2" xfId="3541"/>
    <cellStyle name="Normal 10 2 2 7 2 2" xfId="12677"/>
    <cellStyle name="Normal 10 2 2 7 2 2 2" xfId="22896"/>
    <cellStyle name="Normal 10 2 2 7 2 3" xfId="9098"/>
    <cellStyle name="Normal 10 2 2 7 2 4" xfId="17889"/>
    <cellStyle name="Normal 10 2 2 7 3" xfId="5204"/>
    <cellStyle name="Normal 10 2 2 7 3 2" xfId="14041"/>
    <cellStyle name="Normal 10 2 2 7 3 2 2" xfId="24292"/>
    <cellStyle name="Normal 10 2 2 7 3 3" xfId="10462"/>
    <cellStyle name="Normal 10 2 2 7 3 4" xfId="19285"/>
    <cellStyle name="Normal 10 2 2 7 4" xfId="1769"/>
    <cellStyle name="Normal 10 2 2 7 4 2" xfId="11140"/>
    <cellStyle name="Normal 10 2 2 7 4 3" xfId="21144"/>
    <cellStyle name="Normal 10 2 2 7 5" xfId="6659"/>
    <cellStyle name="Normal 10 2 2 7 5 2" xfId="15486"/>
    <cellStyle name="Normal 10 2 2 7 5 3" xfId="25737"/>
    <cellStyle name="Normal 10 2 2 7 6" xfId="8105"/>
    <cellStyle name="Normal 10 2 2 7 6 2" xfId="20495"/>
    <cellStyle name="Normal 10 2 2 7 7" xfId="16137"/>
    <cellStyle name="Normal 10 2 2 8" xfId="2666"/>
    <cellStyle name="Normal 10 2 2 8 2" xfId="5616"/>
    <cellStyle name="Normal 10 2 2 8 2 2" xfId="14443"/>
    <cellStyle name="Normal 10 2 2 8 2 3" xfId="24694"/>
    <cellStyle name="Normal 10 2 2 8 3" xfId="7060"/>
    <cellStyle name="Normal 10 2 2 8 3 2" xfId="22027"/>
    <cellStyle name="Normal 10 2 2 8 4" xfId="17020"/>
    <cellStyle name="Normal 10 2 2 9" xfId="4158"/>
    <cellStyle name="Normal 10 2 2 9 2" xfId="12996"/>
    <cellStyle name="Normal 10 2 2 9 2 2" xfId="23247"/>
    <cellStyle name="Normal 10 2 2 9 3" xfId="9417"/>
    <cellStyle name="Normal 10 2 2 9 4" xfId="18240"/>
    <cellStyle name="Normal 10 2 2_Degree data" xfId="3874"/>
    <cellStyle name="Normal 10 2 3" xfId="187"/>
    <cellStyle name="Normal 10 2 3 10" xfId="7135"/>
    <cellStyle name="Normal 10 2 3 10 2" xfId="19644"/>
    <cellStyle name="Normal 10 2 3 11" xfId="15881"/>
    <cellStyle name="Normal 10 2 3 2" xfId="515"/>
    <cellStyle name="Normal 10 2 3 2 2" xfId="714"/>
    <cellStyle name="Normal 10 2 3 2 2 2" xfId="3200"/>
    <cellStyle name="Normal 10 2 3 2 2 2 2" xfId="12343"/>
    <cellStyle name="Normal 10 2 3 2 2 2 2 2" xfId="22561"/>
    <cellStyle name="Normal 10 2 3 2 2 2 3" xfId="8765"/>
    <cellStyle name="Normal 10 2 3 2 2 2 4" xfId="17554"/>
    <cellStyle name="Normal 10 2 3 2 2 3" xfId="4529"/>
    <cellStyle name="Normal 10 2 3 2 2 3 2" xfId="13367"/>
    <cellStyle name="Normal 10 2 3 2 2 3 2 2" xfId="23618"/>
    <cellStyle name="Normal 10 2 3 2 2 3 3" xfId="9788"/>
    <cellStyle name="Normal 10 2 3 2 2 3 4" xfId="18611"/>
    <cellStyle name="Normal 10 2 3 2 2 4" xfId="2309"/>
    <cellStyle name="Normal 10 2 3 2 2 4 2" xfId="11674"/>
    <cellStyle name="Normal 10 2 3 2 2 4 3" xfId="21678"/>
    <cellStyle name="Normal 10 2 3 2 2 5" xfId="5985"/>
    <cellStyle name="Normal 10 2 3 2 2 5 2" xfId="14812"/>
    <cellStyle name="Normal 10 2 3 2 2 5 3" xfId="25063"/>
    <cellStyle name="Normal 10 2 3 2 2 6" xfId="7429"/>
    <cellStyle name="Normal 10 2 3 2 2 6 2" xfId="20160"/>
    <cellStyle name="Normal 10 2 3 2 2 7" xfId="16671"/>
    <cellStyle name="Normal 10 2 3 2 3" xfId="1287"/>
    <cellStyle name="Normal 10 2 3 2 3 2" xfId="3716"/>
    <cellStyle name="Normal 10 2 3 2 3 2 2" xfId="12852"/>
    <cellStyle name="Normal 10 2 3 2 3 2 2 2" xfId="23071"/>
    <cellStyle name="Normal 10 2 3 2 3 2 3" xfId="9273"/>
    <cellStyle name="Normal 10 2 3 2 3 2 4" xfId="18064"/>
    <cellStyle name="Normal 10 2 3 2 3 3" xfId="4878"/>
    <cellStyle name="Normal 10 2 3 2 3 3 2" xfId="13715"/>
    <cellStyle name="Normal 10 2 3 2 3 3 2 2" xfId="23966"/>
    <cellStyle name="Normal 10 2 3 2 3 3 3" xfId="10136"/>
    <cellStyle name="Normal 10 2 3 2 3 3 4" xfId="18959"/>
    <cellStyle name="Normal 10 2 3 2 3 4" xfId="2110"/>
    <cellStyle name="Normal 10 2 3 2 3 4 2" xfId="11475"/>
    <cellStyle name="Normal 10 2 3 2 3 4 3" xfId="21479"/>
    <cellStyle name="Normal 10 2 3 2 3 5" xfId="6333"/>
    <cellStyle name="Normal 10 2 3 2 3 5 2" xfId="15160"/>
    <cellStyle name="Normal 10 2 3 2 3 5 3" xfId="25411"/>
    <cellStyle name="Normal 10 2 3 2 3 6" xfId="7779"/>
    <cellStyle name="Normal 10 2 3 2 3 6 2" xfId="20670"/>
    <cellStyle name="Normal 10 2 3 2 3 7" xfId="16472"/>
    <cellStyle name="Normal 10 2 3 2 4" xfId="3001"/>
    <cellStyle name="Normal 10 2 3 2 4 2" xfId="5379"/>
    <cellStyle name="Normal 10 2 3 2 4 2 2" xfId="14216"/>
    <cellStyle name="Normal 10 2 3 2 4 2 2 2" xfId="24467"/>
    <cellStyle name="Normal 10 2 3 2 4 2 3" xfId="10637"/>
    <cellStyle name="Normal 10 2 3 2 4 2 4" xfId="19460"/>
    <cellStyle name="Normal 10 2 3 2 4 3" xfId="6834"/>
    <cellStyle name="Normal 10 2 3 2 4 3 2" xfId="15661"/>
    <cellStyle name="Normal 10 2 3 2 4 3 3" xfId="25912"/>
    <cellStyle name="Normal 10 2 3 2 4 4" xfId="8280"/>
    <cellStyle name="Normal 10 2 3 2 4 4 2" xfId="22362"/>
    <cellStyle name="Normal 10 2 3 2 4 5" xfId="17355"/>
    <cellStyle name="Normal 10 2 3 2 5" xfId="4335"/>
    <cellStyle name="Normal 10 2 3 2 5 2" xfId="13173"/>
    <cellStyle name="Normal 10 2 3 2 5 2 2" xfId="23424"/>
    <cellStyle name="Normal 10 2 3 2 5 3" xfId="9594"/>
    <cellStyle name="Normal 10 2 3 2 5 4" xfId="18417"/>
    <cellStyle name="Normal 10 2 3 2 6" xfId="1607"/>
    <cellStyle name="Normal 10 2 3 2 6 2" xfId="10984"/>
    <cellStyle name="Normal 10 2 3 2 6 3" xfId="20988"/>
    <cellStyle name="Normal 10 2 3 2 7" xfId="5791"/>
    <cellStyle name="Normal 10 2 3 2 7 2" xfId="14618"/>
    <cellStyle name="Normal 10 2 3 2 7 3" xfId="24869"/>
    <cellStyle name="Normal 10 2 3 2 8" xfId="7235"/>
    <cellStyle name="Normal 10 2 3 2 8 2" xfId="19961"/>
    <cellStyle name="Normal 10 2 3 2 9" xfId="15981"/>
    <cellStyle name="Normal 10 2 3 2_Degree data" xfId="3845"/>
    <cellStyle name="Normal 10 2 3 3" xfId="415"/>
    <cellStyle name="Normal 10 2 3 3 2" xfId="2901"/>
    <cellStyle name="Normal 10 2 3 3 2 2" xfId="12189"/>
    <cellStyle name="Normal 10 2 3 3 2 2 2" xfId="22262"/>
    <cellStyle name="Normal 10 2 3 3 2 3" xfId="8460"/>
    <cellStyle name="Normal 10 2 3 3 2 4" xfId="17255"/>
    <cellStyle name="Normal 10 2 3 3 3" xfId="4528"/>
    <cellStyle name="Normal 10 2 3 3 3 2" xfId="13366"/>
    <cellStyle name="Normal 10 2 3 3 3 2 2" xfId="23617"/>
    <cellStyle name="Normal 10 2 3 3 3 3" xfId="9787"/>
    <cellStyle name="Normal 10 2 3 3 3 4" xfId="18610"/>
    <cellStyle name="Normal 10 2 3 3 4" xfId="2010"/>
    <cellStyle name="Normal 10 2 3 3 4 2" xfId="11375"/>
    <cellStyle name="Normal 10 2 3 3 4 3" xfId="21379"/>
    <cellStyle name="Normal 10 2 3 3 5" xfId="5984"/>
    <cellStyle name="Normal 10 2 3 3 5 2" xfId="14811"/>
    <cellStyle name="Normal 10 2 3 3 5 3" xfId="25062"/>
    <cellStyle name="Normal 10 2 3 3 6" xfId="7428"/>
    <cellStyle name="Normal 10 2 3 3 6 2" xfId="19861"/>
    <cellStyle name="Normal 10 2 3 3 7" xfId="16372"/>
    <cellStyle name="Normal 10 2 3 4" xfId="713"/>
    <cellStyle name="Normal 10 2 3 4 2" xfId="3199"/>
    <cellStyle name="Normal 10 2 3 4 2 2" xfId="12342"/>
    <cellStyle name="Normal 10 2 3 4 2 2 2" xfId="22560"/>
    <cellStyle name="Normal 10 2 3 4 2 3" xfId="8764"/>
    <cellStyle name="Normal 10 2 3 4 2 4" xfId="17553"/>
    <cellStyle name="Normal 10 2 3 4 3" xfId="4877"/>
    <cellStyle name="Normal 10 2 3 4 3 2" xfId="13714"/>
    <cellStyle name="Normal 10 2 3 4 3 2 2" xfId="23965"/>
    <cellStyle name="Normal 10 2 3 4 3 3" xfId="10135"/>
    <cellStyle name="Normal 10 2 3 4 3 4" xfId="18958"/>
    <cellStyle name="Normal 10 2 3 4 4" xfId="2308"/>
    <cellStyle name="Normal 10 2 3 4 4 2" xfId="11673"/>
    <cellStyle name="Normal 10 2 3 4 4 3" xfId="21677"/>
    <cellStyle name="Normal 10 2 3 4 5" xfId="6332"/>
    <cellStyle name="Normal 10 2 3 4 5 2" xfId="15159"/>
    <cellStyle name="Normal 10 2 3 4 5 3" xfId="25410"/>
    <cellStyle name="Normal 10 2 3 4 6" xfId="7778"/>
    <cellStyle name="Normal 10 2 3 4 6 2" xfId="20159"/>
    <cellStyle name="Normal 10 2 3 4 7" xfId="16670"/>
    <cellStyle name="Normal 10 2 3 5" xfId="1187"/>
    <cellStyle name="Normal 10 2 3 5 2" xfId="3616"/>
    <cellStyle name="Normal 10 2 3 5 2 2" xfId="12752"/>
    <cellStyle name="Normal 10 2 3 5 2 2 2" xfId="22971"/>
    <cellStyle name="Normal 10 2 3 5 2 3" xfId="9173"/>
    <cellStyle name="Normal 10 2 3 5 2 4" xfId="17964"/>
    <cellStyle name="Normal 10 2 3 5 3" xfId="5279"/>
    <cellStyle name="Normal 10 2 3 5 3 2" xfId="14116"/>
    <cellStyle name="Normal 10 2 3 5 3 2 2" xfId="24367"/>
    <cellStyle name="Normal 10 2 3 5 3 3" xfId="10537"/>
    <cellStyle name="Normal 10 2 3 5 3 4" xfId="19360"/>
    <cellStyle name="Normal 10 2 3 5 4" xfId="1789"/>
    <cellStyle name="Normal 10 2 3 5 4 2" xfId="11158"/>
    <cellStyle name="Normal 10 2 3 5 4 3" xfId="21162"/>
    <cellStyle name="Normal 10 2 3 5 5" xfId="6734"/>
    <cellStyle name="Normal 10 2 3 5 5 2" xfId="15561"/>
    <cellStyle name="Normal 10 2 3 5 5 3" xfId="25812"/>
    <cellStyle name="Normal 10 2 3 5 6" xfId="8180"/>
    <cellStyle name="Normal 10 2 3 5 6 2" xfId="20570"/>
    <cellStyle name="Normal 10 2 3 5 7" xfId="16155"/>
    <cellStyle name="Normal 10 2 3 6" xfId="2684"/>
    <cellStyle name="Normal 10 2 3 6 2" xfId="12001"/>
    <cellStyle name="Normal 10 2 3 6 2 2" xfId="22045"/>
    <cellStyle name="Normal 10 2 3 6 3" xfId="8499"/>
    <cellStyle name="Normal 10 2 3 6 4" xfId="17038"/>
    <cellStyle name="Normal 10 2 3 7" xfId="4235"/>
    <cellStyle name="Normal 10 2 3 7 2" xfId="13073"/>
    <cellStyle name="Normal 10 2 3 7 2 2" xfId="23324"/>
    <cellStyle name="Normal 10 2 3 7 3" xfId="9494"/>
    <cellStyle name="Normal 10 2 3 7 4" xfId="18317"/>
    <cellStyle name="Normal 10 2 3 8" xfId="1507"/>
    <cellStyle name="Normal 10 2 3 8 2" xfId="10884"/>
    <cellStyle name="Normal 10 2 3 8 3" xfId="20888"/>
    <cellStyle name="Normal 10 2 3 9" xfId="5691"/>
    <cellStyle name="Normal 10 2 3 9 2" xfId="14518"/>
    <cellStyle name="Normal 10 2 3 9 3" xfId="24769"/>
    <cellStyle name="Normal 10 2 3_Degree data" xfId="3899"/>
    <cellStyle name="Normal 10 2 4" xfId="242"/>
    <cellStyle name="Normal 10 2 4 10" xfId="7080"/>
    <cellStyle name="Normal 10 2 4 10 2" xfId="19694"/>
    <cellStyle name="Normal 10 2 4 11" xfId="15826"/>
    <cellStyle name="Normal 10 2 4 2" xfId="565"/>
    <cellStyle name="Normal 10 2 4 2 2" xfId="716"/>
    <cellStyle name="Normal 10 2 4 2 2 2" xfId="3202"/>
    <cellStyle name="Normal 10 2 4 2 2 2 2" xfId="12345"/>
    <cellStyle name="Normal 10 2 4 2 2 2 2 2" xfId="22563"/>
    <cellStyle name="Normal 10 2 4 2 2 2 3" xfId="8767"/>
    <cellStyle name="Normal 10 2 4 2 2 2 4" xfId="17556"/>
    <cellStyle name="Normal 10 2 4 2 2 3" xfId="4531"/>
    <cellStyle name="Normal 10 2 4 2 2 3 2" xfId="13369"/>
    <cellStyle name="Normal 10 2 4 2 2 3 2 2" xfId="23620"/>
    <cellStyle name="Normal 10 2 4 2 2 3 3" xfId="9790"/>
    <cellStyle name="Normal 10 2 4 2 2 3 4" xfId="18613"/>
    <cellStyle name="Normal 10 2 4 2 2 4" xfId="2311"/>
    <cellStyle name="Normal 10 2 4 2 2 4 2" xfId="11676"/>
    <cellStyle name="Normal 10 2 4 2 2 4 3" xfId="21680"/>
    <cellStyle name="Normal 10 2 4 2 2 5" xfId="5987"/>
    <cellStyle name="Normal 10 2 4 2 2 5 2" xfId="14814"/>
    <cellStyle name="Normal 10 2 4 2 2 5 3" xfId="25065"/>
    <cellStyle name="Normal 10 2 4 2 2 6" xfId="7431"/>
    <cellStyle name="Normal 10 2 4 2 2 6 2" xfId="20162"/>
    <cellStyle name="Normal 10 2 4 2 2 7" xfId="16673"/>
    <cellStyle name="Normal 10 2 4 2 3" xfId="1337"/>
    <cellStyle name="Normal 10 2 4 2 3 2" xfId="3766"/>
    <cellStyle name="Normal 10 2 4 2 3 2 2" xfId="12902"/>
    <cellStyle name="Normal 10 2 4 2 3 2 2 2" xfId="23121"/>
    <cellStyle name="Normal 10 2 4 2 3 2 3" xfId="9323"/>
    <cellStyle name="Normal 10 2 4 2 3 2 4" xfId="18114"/>
    <cellStyle name="Normal 10 2 4 2 3 3" xfId="4880"/>
    <cellStyle name="Normal 10 2 4 2 3 3 2" xfId="13717"/>
    <cellStyle name="Normal 10 2 4 2 3 3 2 2" xfId="23968"/>
    <cellStyle name="Normal 10 2 4 2 3 3 3" xfId="10138"/>
    <cellStyle name="Normal 10 2 4 2 3 3 4" xfId="18961"/>
    <cellStyle name="Normal 10 2 4 2 3 4" xfId="2160"/>
    <cellStyle name="Normal 10 2 4 2 3 4 2" xfId="11525"/>
    <cellStyle name="Normal 10 2 4 2 3 4 3" xfId="21529"/>
    <cellStyle name="Normal 10 2 4 2 3 5" xfId="6335"/>
    <cellStyle name="Normal 10 2 4 2 3 5 2" xfId="15162"/>
    <cellStyle name="Normal 10 2 4 2 3 5 3" xfId="25413"/>
    <cellStyle name="Normal 10 2 4 2 3 6" xfId="7781"/>
    <cellStyle name="Normal 10 2 4 2 3 6 2" xfId="20720"/>
    <cellStyle name="Normal 10 2 4 2 3 7" xfId="16522"/>
    <cellStyle name="Normal 10 2 4 2 4" xfId="3051"/>
    <cellStyle name="Normal 10 2 4 2 4 2" xfId="5429"/>
    <cellStyle name="Normal 10 2 4 2 4 2 2" xfId="14266"/>
    <cellStyle name="Normal 10 2 4 2 4 2 2 2" xfId="24517"/>
    <cellStyle name="Normal 10 2 4 2 4 2 3" xfId="10687"/>
    <cellStyle name="Normal 10 2 4 2 4 2 4" xfId="19510"/>
    <cellStyle name="Normal 10 2 4 2 4 3" xfId="6884"/>
    <cellStyle name="Normal 10 2 4 2 4 3 2" xfId="15711"/>
    <cellStyle name="Normal 10 2 4 2 4 3 3" xfId="25962"/>
    <cellStyle name="Normal 10 2 4 2 4 4" xfId="8330"/>
    <cellStyle name="Normal 10 2 4 2 4 4 2" xfId="22412"/>
    <cellStyle name="Normal 10 2 4 2 4 5" xfId="17405"/>
    <cellStyle name="Normal 10 2 4 2 5" xfId="4385"/>
    <cellStyle name="Normal 10 2 4 2 5 2" xfId="13223"/>
    <cellStyle name="Normal 10 2 4 2 5 2 2" xfId="23474"/>
    <cellStyle name="Normal 10 2 4 2 5 3" xfId="9644"/>
    <cellStyle name="Normal 10 2 4 2 5 4" xfId="18467"/>
    <cellStyle name="Normal 10 2 4 2 6" xfId="1657"/>
    <cellStyle name="Normal 10 2 4 2 6 2" xfId="11034"/>
    <cellStyle name="Normal 10 2 4 2 6 3" xfId="21038"/>
    <cellStyle name="Normal 10 2 4 2 7" xfId="5841"/>
    <cellStyle name="Normal 10 2 4 2 7 2" xfId="14668"/>
    <cellStyle name="Normal 10 2 4 2 7 3" xfId="24919"/>
    <cellStyle name="Normal 10 2 4 2 8" xfId="7285"/>
    <cellStyle name="Normal 10 2 4 2 8 2" xfId="20011"/>
    <cellStyle name="Normal 10 2 4 2 9" xfId="16031"/>
    <cellStyle name="Normal 10 2 4 2_Degree data" xfId="3878"/>
    <cellStyle name="Normal 10 2 4 3" xfId="360"/>
    <cellStyle name="Normal 10 2 4 3 2" xfId="2846"/>
    <cellStyle name="Normal 10 2 4 3 2 2" xfId="12134"/>
    <cellStyle name="Normal 10 2 4 3 2 2 2" xfId="22207"/>
    <cellStyle name="Normal 10 2 4 3 2 3" xfId="8427"/>
    <cellStyle name="Normal 10 2 4 3 2 4" xfId="17200"/>
    <cellStyle name="Normal 10 2 4 3 3" xfId="4530"/>
    <cellStyle name="Normal 10 2 4 3 3 2" xfId="13368"/>
    <cellStyle name="Normal 10 2 4 3 3 2 2" xfId="23619"/>
    <cellStyle name="Normal 10 2 4 3 3 3" xfId="9789"/>
    <cellStyle name="Normal 10 2 4 3 3 4" xfId="18612"/>
    <cellStyle name="Normal 10 2 4 3 4" xfId="1955"/>
    <cellStyle name="Normal 10 2 4 3 4 2" xfId="11320"/>
    <cellStyle name="Normal 10 2 4 3 4 3" xfId="21324"/>
    <cellStyle name="Normal 10 2 4 3 5" xfId="5986"/>
    <cellStyle name="Normal 10 2 4 3 5 2" xfId="14813"/>
    <cellStyle name="Normal 10 2 4 3 5 3" xfId="25064"/>
    <cellStyle name="Normal 10 2 4 3 6" xfId="7430"/>
    <cellStyle name="Normal 10 2 4 3 6 2" xfId="19806"/>
    <cellStyle name="Normal 10 2 4 3 7" xfId="16317"/>
    <cellStyle name="Normal 10 2 4 4" xfId="715"/>
    <cellStyle name="Normal 10 2 4 4 2" xfId="3201"/>
    <cellStyle name="Normal 10 2 4 4 2 2" xfId="12344"/>
    <cellStyle name="Normal 10 2 4 4 2 2 2" xfId="22562"/>
    <cellStyle name="Normal 10 2 4 4 2 3" xfId="8766"/>
    <cellStyle name="Normal 10 2 4 4 2 4" xfId="17555"/>
    <cellStyle name="Normal 10 2 4 4 3" xfId="4879"/>
    <cellStyle name="Normal 10 2 4 4 3 2" xfId="13716"/>
    <cellStyle name="Normal 10 2 4 4 3 2 2" xfId="23967"/>
    <cellStyle name="Normal 10 2 4 4 3 3" xfId="10137"/>
    <cellStyle name="Normal 10 2 4 4 3 4" xfId="18960"/>
    <cellStyle name="Normal 10 2 4 4 4" xfId="2310"/>
    <cellStyle name="Normal 10 2 4 4 4 2" xfId="11675"/>
    <cellStyle name="Normal 10 2 4 4 4 3" xfId="21679"/>
    <cellStyle name="Normal 10 2 4 4 5" xfId="6334"/>
    <cellStyle name="Normal 10 2 4 4 5 2" xfId="15161"/>
    <cellStyle name="Normal 10 2 4 4 5 3" xfId="25412"/>
    <cellStyle name="Normal 10 2 4 4 6" xfId="7780"/>
    <cellStyle name="Normal 10 2 4 4 6 2" xfId="20161"/>
    <cellStyle name="Normal 10 2 4 4 7" xfId="16672"/>
    <cellStyle name="Normal 10 2 4 5" xfId="1132"/>
    <cellStyle name="Normal 10 2 4 5 2" xfId="3561"/>
    <cellStyle name="Normal 10 2 4 5 2 2" xfId="12697"/>
    <cellStyle name="Normal 10 2 4 5 2 2 2" xfId="22916"/>
    <cellStyle name="Normal 10 2 4 5 2 3" xfId="9118"/>
    <cellStyle name="Normal 10 2 4 5 2 4" xfId="17909"/>
    <cellStyle name="Normal 10 2 4 5 3" xfId="5224"/>
    <cellStyle name="Normal 10 2 4 5 3 2" xfId="14061"/>
    <cellStyle name="Normal 10 2 4 5 3 2 2" xfId="24312"/>
    <cellStyle name="Normal 10 2 4 5 3 3" xfId="10482"/>
    <cellStyle name="Normal 10 2 4 5 3 4" xfId="19305"/>
    <cellStyle name="Normal 10 2 4 5 4" xfId="1840"/>
    <cellStyle name="Normal 10 2 4 5 4 2" xfId="11208"/>
    <cellStyle name="Normal 10 2 4 5 4 3" xfId="21212"/>
    <cellStyle name="Normal 10 2 4 5 5" xfId="6679"/>
    <cellStyle name="Normal 10 2 4 5 5 2" xfId="15506"/>
    <cellStyle name="Normal 10 2 4 5 5 3" xfId="25757"/>
    <cellStyle name="Normal 10 2 4 5 6" xfId="8125"/>
    <cellStyle name="Normal 10 2 4 5 6 2" xfId="20515"/>
    <cellStyle name="Normal 10 2 4 5 7" xfId="16205"/>
    <cellStyle name="Normal 10 2 4 6" xfId="2734"/>
    <cellStyle name="Normal 10 2 4 6 2" xfId="12051"/>
    <cellStyle name="Normal 10 2 4 6 2 2" xfId="22095"/>
    <cellStyle name="Normal 10 2 4 6 3" xfId="8613"/>
    <cellStyle name="Normal 10 2 4 6 4" xfId="17088"/>
    <cellStyle name="Normal 10 2 4 7" xfId="4180"/>
    <cellStyle name="Normal 10 2 4 7 2" xfId="13018"/>
    <cellStyle name="Normal 10 2 4 7 2 2" xfId="23269"/>
    <cellStyle name="Normal 10 2 4 7 3" xfId="9439"/>
    <cellStyle name="Normal 10 2 4 7 4" xfId="18262"/>
    <cellStyle name="Normal 10 2 4 8" xfId="1452"/>
    <cellStyle name="Normal 10 2 4 8 2" xfId="10829"/>
    <cellStyle name="Normal 10 2 4 8 3" xfId="20833"/>
    <cellStyle name="Normal 10 2 4 9" xfId="5636"/>
    <cellStyle name="Normal 10 2 4 9 2" xfId="14463"/>
    <cellStyle name="Normal 10 2 4 9 3" xfId="24714"/>
    <cellStyle name="Normal 10 2 4_Degree data" xfId="3886"/>
    <cellStyle name="Normal 10 2 5" xfId="460"/>
    <cellStyle name="Normal 10 2 5 2" xfId="717"/>
    <cellStyle name="Normal 10 2 5 2 2" xfId="3203"/>
    <cellStyle name="Normal 10 2 5 2 2 2" xfId="12346"/>
    <cellStyle name="Normal 10 2 5 2 2 2 2" xfId="22564"/>
    <cellStyle name="Normal 10 2 5 2 2 3" xfId="8768"/>
    <cellStyle name="Normal 10 2 5 2 2 4" xfId="17557"/>
    <cellStyle name="Normal 10 2 5 2 3" xfId="4532"/>
    <cellStyle name="Normal 10 2 5 2 3 2" xfId="13370"/>
    <cellStyle name="Normal 10 2 5 2 3 2 2" xfId="23621"/>
    <cellStyle name="Normal 10 2 5 2 3 3" xfId="9791"/>
    <cellStyle name="Normal 10 2 5 2 3 4" xfId="18614"/>
    <cellStyle name="Normal 10 2 5 2 4" xfId="2312"/>
    <cellStyle name="Normal 10 2 5 2 4 2" xfId="11677"/>
    <cellStyle name="Normal 10 2 5 2 4 3" xfId="21681"/>
    <cellStyle name="Normal 10 2 5 2 5" xfId="5988"/>
    <cellStyle name="Normal 10 2 5 2 5 2" xfId="14815"/>
    <cellStyle name="Normal 10 2 5 2 5 3" xfId="25066"/>
    <cellStyle name="Normal 10 2 5 2 6" xfId="7432"/>
    <cellStyle name="Normal 10 2 5 2 6 2" xfId="20163"/>
    <cellStyle name="Normal 10 2 5 2 7" xfId="16674"/>
    <cellStyle name="Normal 10 2 5 3" xfId="1232"/>
    <cellStyle name="Normal 10 2 5 3 2" xfId="3661"/>
    <cellStyle name="Normal 10 2 5 3 2 2" xfId="12797"/>
    <cellStyle name="Normal 10 2 5 3 2 2 2" xfId="23016"/>
    <cellStyle name="Normal 10 2 5 3 2 3" xfId="9218"/>
    <cellStyle name="Normal 10 2 5 3 2 4" xfId="18009"/>
    <cellStyle name="Normal 10 2 5 3 3" xfId="4881"/>
    <cellStyle name="Normal 10 2 5 3 3 2" xfId="13718"/>
    <cellStyle name="Normal 10 2 5 3 3 2 2" xfId="23969"/>
    <cellStyle name="Normal 10 2 5 3 3 3" xfId="10139"/>
    <cellStyle name="Normal 10 2 5 3 3 4" xfId="18962"/>
    <cellStyle name="Normal 10 2 5 3 4" xfId="2055"/>
    <cellStyle name="Normal 10 2 5 3 4 2" xfId="11420"/>
    <cellStyle name="Normal 10 2 5 3 4 3" xfId="21424"/>
    <cellStyle name="Normal 10 2 5 3 5" xfId="6336"/>
    <cellStyle name="Normal 10 2 5 3 5 2" xfId="15163"/>
    <cellStyle name="Normal 10 2 5 3 5 3" xfId="25414"/>
    <cellStyle name="Normal 10 2 5 3 6" xfId="7782"/>
    <cellStyle name="Normal 10 2 5 3 6 2" xfId="20615"/>
    <cellStyle name="Normal 10 2 5 3 7" xfId="16417"/>
    <cellStyle name="Normal 10 2 5 4" xfId="2946"/>
    <cellStyle name="Normal 10 2 5 4 2" xfId="5324"/>
    <cellStyle name="Normal 10 2 5 4 2 2" xfId="14161"/>
    <cellStyle name="Normal 10 2 5 4 2 2 2" xfId="24412"/>
    <cellStyle name="Normal 10 2 5 4 2 3" xfId="10582"/>
    <cellStyle name="Normal 10 2 5 4 2 4" xfId="19405"/>
    <cellStyle name="Normal 10 2 5 4 3" xfId="6779"/>
    <cellStyle name="Normal 10 2 5 4 3 2" xfId="15606"/>
    <cellStyle name="Normal 10 2 5 4 3 3" xfId="25857"/>
    <cellStyle name="Normal 10 2 5 4 4" xfId="8225"/>
    <cellStyle name="Normal 10 2 5 4 4 2" xfId="22307"/>
    <cellStyle name="Normal 10 2 5 4 5" xfId="17300"/>
    <cellStyle name="Normal 10 2 5 5" xfId="4280"/>
    <cellStyle name="Normal 10 2 5 5 2" xfId="13118"/>
    <cellStyle name="Normal 10 2 5 5 2 2" xfId="23369"/>
    <cellStyle name="Normal 10 2 5 5 3" xfId="9539"/>
    <cellStyle name="Normal 10 2 5 5 4" xfId="18362"/>
    <cellStyle name="Normal 10 2 5 6" xfId="1552"/>
    <cellStyle name="Normal 10 2 5 6 2" xfId="10929"/>
    <cellStyle name="Normal 10 2 5 6 3" xfId="20933"/>
    <cellStyle name="Normal 10 2 5 7" xfId="5736"/>
    <cellStyle name="Normal 10 2 5 7 2" xfId="14563"/>
    <cellStyle name="Normal 10 2 5 7 3" xfId="24814"/>
    <cellStyle name="Normal 10 2 5 8" xfId="7180"/>
    <cellStyle name="Normal 10 2 5 8 2" xfId="19906"/>
    <cellStyle name="Normal 10 2 5 9" xfId="15926"/>
    <cellStyle name="Normal 10 2 5_Degree data" xfId="3829"/>
    <cellStyle name="Normal 10 2 6" xfId="315"/>
    <cellStyle name="Normal 10 2 6 2" xfId="718"/>
    <cellStyle name="Normal 10 2 6 2 2" xfId="3204"/>
    <cellStyle name="Normal 10 2 6 2 2 2" xfId="12347"/>
    <cellStyle name="Normal 10 2 6 2 2 2 2" xfId="22565"/>
    <cellStyle name="Normal 10 2 6 2 2 3" xfId="8769"/>
    <cellStyle name="Normal 10 2 6 2 2 4" xfId="17558"/>
    <cellStyle name="Normal 10 2 6 2 3" xfId="4533"/>
    <cellStyle name="Normal 10 2 6 2 3 2" xfId="13371"/>
    <cellStyle name="Normal 10 2 6 2 3 2 2" xfId="23622"/>
    <cellStyle name="Normal 10 2 6 2 3 3" xfId="9792"/>
    <cellStyle name="Normal 10 2 6 2 3 4" xfId="18615"/>
    <cellStyle name="Normal 10 2 6 2 4" xfId="2313"/>
    <cellStyle name="Normal 10 2 6 2 4 2" xfId="11678"/>
    <cellStyle name="Normal 10 2 6 2 4 3" xfId="21682"/>
    <cellStyle name="Normal 10 2 6 2 5" xfId="5989"/>
    <cellStyle name="Normal 10 2 6 2 5 2" xfId="14816"/>
    <cellStyle name="Normal 10 2 6 2 5 3" xfId="25067"/>
    <cellStyle name="Normal 10 2 6 2 6" xfId="7433"/>
    <cellStyle name="Normal 10 2 6 2 6 2" xfId="20164"/>
    <cellStyle name="Normal 10 2 6 2 7" xfId="16675"/>
    <cellStyle name="Normal 10 2 6 3" xfId="1087"/>
    <cellStyle name="Normal 10 2 6 3 2" xfId="3516"/>
    <cellStyle name="Normal 10 2 6 3 2 2" xfId="12652"/>
    <cellStyle name="Normal 10 2 6 3 2 2 2" xfId="22871"/>
    <cellStyle name="Normal 10 2 6 3 2 3" xfId="9074"/>
    <cellStyle name="Normal 10 2 6 3 2 4" xfId="17864"/>
    <cellStyle name="Normal 10 2 6 3 3" xfId="4882"/>
    <cellStyle name="Normal 10 2 6 3 3 2" xfId="13719"/>
    <cellStyle name="Normal 10 2 6 3 3 2 2" xfId="23970"/>
    <cellStyle name="Normal 10 2 6 3 3 3" xfId="10140"/>
    <cellStyle name="Normal 10 2 6 3 3 4" xfId="18963"/>
    <cellStyle name="Normal 10 2 6 3 4" xfId="2591"/>
    <cellStyle name="Normal 10 2 6 3 4 2" xfId="11955"/>
    <cellStyle name="Normal 10 2 6 3 4 3" xfId="21959"/>
    <cellStyle name="Normal 10 2 6 3 5" xfId="6337"/>
    <cellStyle name="Normal 10 2 6 3 5 2" xfId="15164"/>
    <cellStyle name="Normal 10 2 6 3 5 3" xfId="25415"/>
    <cellStyle name="Normal 10 2 6 3 6" xfId="7783"/>
    <cellStyle name="Normal 10 2 6 3 6 2" xfId="20470"/>
    <cellStyle name="Normal 10 2 6 3 7" xfId="16952"/>
    <cellStyle name="Normal 10 2 6 4" xfId="2801"/>
    <cellStyle name="Normal 10 2 6 4 2" xfId="5179"/>
    <cellStyle name="Normal 10 2 6 4 2 2" xfId="14016"/>
    <cellStyle name="Normal 10 2 6 4 2 2 2" xfId="24267"/>
    <cellStyle name="Normal 10 2 6 4 2 3" xfId="10437"/>
    <cellStyle name="Normal 10 2 6 4 2 4" xfId="19260"/>
    <cellStyle name="Normal 10 2 6 4 3" xfId="6634"/>
    <cellStyle name="Normal 10 2 6 4 3 2" xfId="15461"/>
    <cellStyle name="Normal 10 2 6 4 3 3" xfId="25712"/>
    <cellStyle name="Normal 10 2 6 4 4" xfId="8080"/>
    <cellStyle name="Normal 10 2 6 4 4 2" xfId="22162"/>
    <cellStyle name="Normal 10 2 6 4 5" xfId="17155"/>
    <cellStyle name="Normal 10 2 6 5" xfId="4133"/>
    <cellStyle name="Normal 10 2 6 5 2" xfId="12971"/>
    <cellStyle name="Normal 10 2 6 5 2 2" xfId="23222"/>
    <cellStyle name="Normal 10 2 6 5 3" xfId="9392"/>
    <cellStyle name="Normal 10 2 6 5 4" xfId="18215"/>
    <cellStyle name="Normal 10 2 6 6" xfId="1910"/>
    <cellStyle name="Normal 10 2 6 6 2" xfId="11275"/>
    <cellStyle name="Normal 10 2 6 6 3" xfId="21279"/>
    <cellStyle name="Normal 10 2 6 7" xfId="5591"/>
    <cellStyle name="Normal 10 2 6 7 2" xfId="14418"/>
    <cellStyle name="Normal 10 2 6 7 3" xfId="24669"/>
    <cellStyle name="Normal 10 2 6 8" xfId="7035"/>
    <cellStyle name="Normal 10 2 6 8 2" xfId="19761"/>
    <cellStyle name="Normal 10 2 6 9" xfId="16272"/>
    <cellStyle name="Normal 10 2 6_Degree data" xfId="3894"/>
    <cellStyle name="Normal 10 2 7" xfId="706"/>
    <cellStyle name="Normal 10 2 7 2" xfId="3192"/>
    <cellStyle name="Normal 10 2 7 2 2" xfId="12335"/>
    <cellStyle name="Normal 10 2 7 2 2 2" xfId="22553"/>
    <cellStyle name="Normal 10 2 7 2 3" xfId="8757"/>
    <cellStyle name="Normal 10 2 7 2 4" xfId="17546"/>
    <cellStyle name="Normal 10 2 7 3" xfId="4521"/>
    <cellStyle name="Normal 10 2 7 3 2" xfId="13359"/>
    <cellStyle name="Normal 10 2 7 3 2 2" xfId="23610"/>
    <cellStyle name="Normal 10 2 7 3 3" xfId="9780"/>
    <cellStyle name="Normal 10 2 7 3 4" xfId="18603"/>
    <cellStyle name="Normal 10 2 7 4" xfId="2301"/>
    <cellStyle name="Normal 10 2 7 4 2" xfId="11666"/>
    <cellStyle name="Normal 10 2 7 4 3" xfId="21670"/>
    <cellStyle name="Normal 10 2 7 5" xfId="5977"/>
    <cellStyle name="Normal 10 2 7 5 2" xfId="14804"/>
    <cellStyle name="Normal 10 2 7 5 3" xfId="25055"/>
    <cellStyle name="Normal 10 2 7 6" xfId="7421"/>
    <cellStyle name="Normal 10 2 7 6 2" xfId="20152"/>
    <cellStyle name="Normal 10 2 7 7" xfId="16663"/>
    <cellStyle name="Normal 10 2 8" xfId="1067"/>
    <cellStyle name="Normal 10 2 8 2" xfId="3496"/>
    <cellStyle name="Normal 10 2 8 2 2" xfId="12632"/>
    <cellStyle name="Normal 10 2 8 2 2 2" xfId="22851"/>
    <cellStyle name="Normal 10 2 8 2 3" xfId="9054"/>
    <cellStyle name="Normal 10 2 8 2 4" xfId="17844"/>
    <cellStyle name="Normal 10 2 8 3" xfId="4870"/>
    <cellStyle name="Normal 10 2 8 3 2" xfId="13707"/>
    <cellStyle name="Normal 10 2 8 3 2 2" xfId="23958"/>
    <cellStyle name="Normal 10 2 8 3 3" xfId="10128"/>
    <cellStyle name="Normal 10 2 8 3 4" xfId="18951"/>
    <cellStyle name="Normal 10 2 8 4" xfId="1728"/>
    <cellStyle name="Normal 10 2 8 4 2" xfId="11102"/>
    <cellStyle name="Normal 10 2 8 4 3" xfId="21106"/>
    <cellStyle name="Normal 10 2 8 5" xfId="6325"/>
    <cellStyle name="Normal 10 2 8 5 2" xfId="15152"/>
    <cellStyle name="Normal 10 2 8 5 3" xfId="25403"/>
    <cellStyle name="Normal 10 2 8 6" xfId="7771"/>
    <cellStyle name="Normal 10 2 8 6 2" xfId="20450"/>
    <cellStyle name="Normal 10 2 8 7" xfId="16099"/>
    <cellStyle name="Normal 10 2 9" xfId="2626"/>
    <cellStyle name="Normal 10 2 9 2" xfId="5159"/>
    <cellStyle name="Normal 10 2 9 2 2" xfId="13996"/>
    <cellStyle name="Normal 10 2 9 2 2 2" xfId="24247"/>
    <cellStyle name="Normal 10 2 9 2 3" xfId="10417"/>
    <cellStyle name="Normal 10 2 9 2 4" xfId="19240"/>
    <cellStyle name="Normal 10 2 9 3" xfId="6614"/>
    <cellStyle name="Normal 10 2 9 3 2" xfId="15441"/>
    <cellStyle name="Normal 10 2 9 3 3" xfId="25692"/>
    <cellStyle name="Normal 10 2 9 4" xfId="8060"/>
    <cellStyle name="Normal 10 2 9 4 2" xfId="21989"/>
    <cellStyle name="Normal 10 2 9 5" xfId="16982"/>
    <cellStyle name="Normal 10 2_Degree data" xfId="3870"/>
    <cellStyle name="Normal 10 3" xfId="103"/>
    <cellStyle name="Normal 10 3 2" xfId="159"/>
    <cellStyle name="Normal 10 3 2 10" xfId="7051"/>
    <cellStyle name="Normal 10 3 2 11" xfId="15797"/>
    <cellStyle name="Normal 10 3 2 2" xfId="271"/>
    <cellStyle name="Normal 10 3 2 3" xfId="224"/>
    <cellStyle name="Normal 10 3 2 3 10" xfId="16015"/>
    <cellStyle name="Normal 10 3 2 3 2" xfId="549"/>
    <cellStyle name="Normal 10 3 2 3 2 2" xfId="3035"/>
    <cellStyle name="Normal 10 3 2 3 2 2 2" xfId="12223"/>
    <cellStyle name="Normal 10 3 2 3 2 2 2 2" xfId="22396"/>
    <cellStyle name="Normal 10 3 2 3 2 2 3" xfId="8386"/>
    <cellStyle name="Normal 10 3 2 3 2 2 4" xfId="17389"/>
    <cellStyle name="Normal 10 3 2 3 2 3" xfId="4535"/>
    <cellStyle name="Normal 10 3 2 3 2 3 2" xfId="13373"/>
    <cellStyle name="Normal 10 3 2 3 2 3 2 2" xfId="23624"/>
    <cellStyle name="Normal 10 3 2 3 2 3 3" xfId="9794"/>
    <cellStyle name="Normal 10 3 2 3 2 3 4" xfId="18617"/>
    <cellStyle name="Normal 10 3 2 3 2 4" xfId="2144"/>
    <cellStyle name="Normal 10 3 2 3 2 4 2" xfId="11509"/>
    <cellStyle name="Normal 10 3 2 3 2 4 3" xfId="21513"/>
    <cellStyle name="Normal 10 3 2 3 2 5" xfId="5991"/>
    <cellStyle name="Normal 10 3 2 3 2 5 2" xfId="14818"/>
    <cellStyle name="Normal 10 3 2 3 2 5 3" xfId="25069"/>
    <cellStyle name="Normal 10 3 2 3 2 6" xfId="7435"/>
    <cellStyle name="Normal 10 3 2 3 2 6 2" xfId="19995"/>
    <cellStyle name="Normal 10 3 2 3 2 7" xfId="16506"/>
    <cellStyle name="Normal 10 3 2 3 3" xfId="720"/>
    <cellStyle name="Normal 10 3 2 3 3 2" xfId="3206"/>
    <cellStyle name="Normal 10 3 2 3 3 2 2" xfId="12349"/>
    <cellStyle name="Normal 10 3 2 3 3 2 2 2" xfId="22567"/>
    <cellStyle name="Normal 10 3 2 3 3 2 3" xfId="8771"/>
    <cellStyle name="Normal 10 3 2 3 3 2 4" xfId="17560"/>
    <cellStyle name="Normal 10 3 2 3 3 3" xfId="4884"/>
    <cellStyle name="Normal 10 3 2 3 3 3 2" xfId="13721"/>
    <cellStyle name="Normal 10 3 2 3 3 3 2 2" xfId="23972"/>
    <cellStyle name="Normal 10 3 2 3 3 3 3" xfId="10142"/>
    <cellStyle name="Normal 10 3 2 3 3 3 4" xfId="18965"/>
    <cellStyle name="Normal 10 3 2 3 3 4" xfId="2315"/>
    <cellStyle name="Normal 10 3 2 3 3 4 2" xfId="11680"/>
    <cellStyle name="Normal 10 3 2 3 3 4 3" xfId="21684"/>
    <cellStyle name="Normal 10 3 2 3 3 5" xfId="6339"/>
    <cellStyle name="Normal 10 3 2 3 3 5 2" xfId="15166"/>
    <cellStyle name="Normal 10 3 2 3 3 5 3" xfId="25417"/>
    <cellStyle name="Normal 10 3 2 3 3 6" xfId="7785"/>
    <cellStyle name="Normal 10 3 2 3 3 6 2" xfId="20166"/>
    <cellStyle name="Normal 10 3 2 3 3 7" xfId="16677"/>
    <cellStyle name="Normal 10 3 2 3 4" xfId="1321"/>
    <cellStyle name="Normal 10 3 2 3 4 2" xfId="3750"/>
    <cellStyle name="Normal 10 3 2 3 4 2 2" xfId="12886"/>
    <cellStyle name="Normal 10 3 2 3 4 2 2 2" xfId="23105"/>
    <cellStyle name="Normal 10 3 2 3 4 2 3" xfId="9307"/>
    <cellStyle name="Normal 10 3 2 3 4 2 4" xfId="18098"/>
    <cellStyle name="Normal 10 3 2 3 4 3" xfId="5413"/>
    <cellStyle name="Normal 10 3 2 3 4 3 2" xfId="14250"/>
    <cellStyle name="Normal 10 3 2 3 4 3 2 2" xfId="24501"/>
    <cellStyle name="Normal 10 3 2 3 4 3 3" xfId="10671"/>
    <cellStyle name="Normal 10 3 2 3 4 3 4" xfId="19494"/>
    <cellStyle name="Normal 10 3 2 3 4 4" xfId="1824"/>
    <cellStyle name="Normal 10 3 2 3 4 4 2" xfId="11192"/>
    <cellStyle name="Normal 10 3 2 3 4 4 3" xfId="21196"/>
    <cellStyle name="Normal 10 3 2 3 4 5" xfId="6868"/>
    <cellStyle name="Normal 10 3 2 3 4 5 2" xfId="15695"/>
    <cellStyle name="Normal 10 3 2 3 4 5 3" xfId="25946"/>
    <cellStyle name="Normal 10 3 2 3 4 6" xfId="8314"/>
    <cellStyle name="Normal 10 3 2 3 4 6 2" xfId="20704"/>
    <cellStyle name="Normal 10 3 2 3 4 7" xfId="16189"/>
    <cellStyle name="Normal 10 3 2 3 5" xfId="2718"/>
    <cellStyle name="Normal 10 3 2 3 5 2" xfId="12035"/>
    <cellStyle name="Normal 10 3 2 3 5 2 2" xfId="22079"/>
    <cellStyle name="Normal 10 3 2 3 5 3" xfId="8587"/>
    <cellStyle name="Normal 10 3 2 3 5 4" xfId="17072"/>
    <cellStyle name="Normal 10 3 2 3 6" xfId="4369"/>
    <cellStyle name="Normal 10 3 2 3 6 2" xfId="13207"/>
    <cellStyle name="Normal 10 3 2 3 6 2 2" xfId="23458"/>
    <cellStyle name="Normal 10 3 2 3 6 3" xfId="9628"/>
    <cellStyle name="Normal 10 3 2 3 6 4" xfId="18451"/>
    <cellStyle name="Normal 10 3 2 3 7" xfId="1641"/>
    <cellStyle name="Normal 10 3 2 3 7 2" xfId="11018"/>
    <cellStyle name="Normal 10 3 2 3 7 3" xfId="21022"/>
    <cellStyle name="Normal 10 3 2 3 8" xfId="5825"/>
    <cellStyle name="Normal 10 3 2 3 8 2" xfId="14652"/>
    <cellStyle name="Normal 10 3 2 3 8 3" xfId="24903"/>
    <cellStyle name="Normal 10 3 2 3 9" xfId="7269"/>
    <cellStyle name="Normal 10 3 2 3 9 2" xfId="19678"/>
    <cellStyle name="Normal 10 3 2 3_Degree data" xfId="3839"/>
    <cellStyle name="Normal 10 3 2 4" xfId="331"/>
    <cellStyle name="Normal 10 3 2 4 2" xfId="2817"/>
    <cellStyle name="Normal 10 3 2 4 2 2" xfId="12117"/>
    <cellStyle name="Normal 10 3 2 4 2 2 2" xfId="22178"/>
    <cellStyle name="Normal 10 3 2 4 2 3" xfId="8539"/>
    <cellStyle name="Normal 10 3 2 4 2 4" xfId="17171"/>
    <cellStyle name="Normal 10 3 2 4 3" xfId="4534"/>
    <cellStyle name="Normal 10 3 2 4 3 2" xfId="13372"/>
    <cellStyle name="Normal 10 3 2 4 3 2 2" xfId="23623"/>
    <cellStyle name="Normal 10 3 2 4 3 3" xfId="9793"/>
    <cellStyle name="Normal 10 3 2 4 3 4" xfId="18616"/>
    <cellStyle name="Normal 10 3 2 4 4" xfId="1926"/>
    <cellStyle name="Normal 10 3 2 4 4 2" xfId="11291"/>
    <cellStyle name="Normal 10 3 2 4 4 3" xfId="21295"/>
    <cellStyle name="Normal 10 3 2 4 5" xfId="5990"/>
    <cellStyle name="Normal 10 3 2 4 5 2" xfId="14817"/>
    <cellStyle name="Normal 10 3 2 4 5 3" xfId="25068"/>
    <cellStyle name="Normal 10 3 2 4 6" xfId="7434"/>
    <cellStyle name="Normal 10 3 2 4 6 2" xfId="19777"/>
    <cellStyle name="Normal 10 3 2 4 7" xfId="16288"/>
    <cellStyle name="Normal 10 3 2 5" xfId="719"/>
    <cellStyle name="Normal 10 3 2 5 2" xfId="3205"/>
    <cellStyle name="Normal 10 3 2 5 2 2" xfId="12348"/>
    <cellStyle name="Normal 10 3 2 5 2 2 2" xfId="22566"/>
    <cellStyle name="Normal 10 3 2 5 2 3" xfId="8770"/>
    <cellStyle name="Normal 10 3 2 5 2 4" xfId="17559"/>
    <cellStyle name="Normal 10 3 2 5 3" xfId="4883"/>
    <cellStyle name="Normal 10 3 2 5 3 2" xfId="13720"/>
    <cellStyle name="Normal 10 3 2 5 3 2 2" xfId="23971"/>
    <cellStyle name="Normal 10 3 2 5 3 3" xfId="10141"/>
    <cellStyle name="Normal 10 3 2 5 3 4" xfId="18964"/>
    <cellStyle name="Normal 10 3 2 5 4" xfId="2314"/>
    <cellStyle name="Normal 10 3 2 5 4 2" xfId="11679"/>
    <cellStyle name="Normal 10 3 2 5 4 3" xfId="21683"/>
    <cellStyle name="Normal 10 3 2 5 5" xfId="6338"/>
    <cellStyle name="Normal 10 3 2 5 5 2" xfId="15165"/>
    <cellStyle name="Normal 10 3 2 5 5 3" xfId="25416"/>
    <cellStyle name="Normal 10 3 2 5 6" xfId="7784"/>
    <cellStyle name="Normal 10 3 2 5 6 2" xfId="20165"/>
    <cellStyle name="Normal 10 3 2 5 7" xfId="16676"/>
    <cellStyle name="Normal 10 3 2 6" xfId="1103"/>
    <cellStyle name="Normal 10 3 2 6 2" xfId="5195"/>
    <cellStyle name="Normal 10 3 2 6 2 2" xfId="14032"/>
    <cellStyle name="Normal 10 3 2 6 2 2 2" xfId="24283"/>
    <cellStyle name="Normal 10 3 2 6 2 3" xfId="10453"/>
    <cellStyle name="Normal 10 3 2 6 2 4" xfId="19276"/>
    <cellStyle name="Normal 10 3 2 6 3" xfId="3532"/>
    <cellStyle name="Normal 10 3 2 6 3 2" xfId="12668"/>
    <cellStyle name="Normal 10 3 2 6 3 3" xfId="22887"/>
    <cellStyle name="Normal 10 3 2 6 4" xfId="6650"/>
    <cellStyle name="Normal 10 3 2 6 4 2" xfId="15477"/>
    <cellStyle name="Normal 10 3 2 6 4 3" xfId="25728"/>
    <cellStyle name="Normal 10 3 2 6 5" xfId="8096"/>
    <cellStyle name="Normal 10 3 2 6 5 2" xfId="20486"/>
    <cellStyle name="Normal 10 3 2 6 6" xfId="17880"/>
    <cellStyle name="Normal 10 3 2 7" xfId="4149"/>
    <cellStyle name="Normal 10 3 2 7 2" xfId="12987"/>
    <cellStyle name="Normal 10 3 2 7 2 2" xfId="23238"/>
    <cellStyle name="Normal 10 3 2 7 3" xfId="9408"/>
    <cellStyle name="Normal 10 3 2 7 4" xfId="18231"/>
    <cellStyle name="Normal 10 3 2 8" xfId="1423"/>
    <cellStyle name="Normal 10 3 2 8 2" xfId="10800"/>
    <cellStyle name="Normal 10 3 2 8 3" xfId="20804"/>
    <cellStyle name="Normal 10 3 2 9" xfId="5607"/>
    <cellStyle name="Normal 10 3 2 9 2" xfId="14434"/>
    <cellStyle name="Normal 10 3 2 9 3" xfId="24685"/>
    <cellStyle name="Normal 10 3 2_Degree data" xfId="3903"/>
    <cellStyle name="Normal 10 3 3" xfId="238"/>
    <cellStyle name="Normal 10 3 3 10" xfId="7076"/>
    <cellStyle name="Normal 10 3 3 10 2" xfId="19690"/>
    <cellStyle name="Normal 10 3 3 11" xfId="15822"/>
    <cellStyle name="Normal 10 3 3 2" xfId="561"/>
    <cellStyle name="Normal 10 3 3 2 2" xfId="722"/>
    <cellStyle name="Normal 10 3 3 2 2 2" xfId="3208"/>
    <cellStyle name="Normal 10 3 3 2 2 2 2" xfId="12351"/>
    <cellStyle name="Normal 10 3 3 2 2 2 2 2" xfId="22569"/>
    <cellStyle name="Normal 10 3 3 2 2 2 3" xfId="8773"/>
    <cellStyle name="Normal 10 3 3 2 2 2 4" xfId="17562"/>
    <cellStyle name="Normal 10 3 3 2 2 3" xfId="4537"/>
    <cellStyle name="Normal 10 3 3 2 2 3 2" xfId="13375"/>
    <cellStyle name="Normal 10 3 3 2 2 3 2 2" xfId="23626"/>
    <cellStyle name="Normal 10 3 3 2 2 3 3" xfId="9796"/>
    <cellStyle name="Normal 10 3 3 2 2 3 4" xfId="18619"/>
    <cellStyle name="Normal 10 3 3 2 2 4" xfId="2317"/>
    <cellStyle name="Normal 10 3 3 2 2 4 2" xfId="11682"/>
    <cellStyle name="Normal 10 3 3 2 2 4 3" xfId="21686"/>
    <cellStyle name="Normal 10 3 3 2 2 5" xfId="5993"/>
    <cellStyle name="Normal 10 3 3 2 2 5 2" xfId="14820"/>
    <cellStyle name="Normal 10 3 3 2 2 5 3" xfId="25071"/>
    <cellStyle name="Normal 10 3 3 2 2 6" xfId="7437"/>
    <cellStyle name="Normal 10 3 3 2 2 6 2" xfId="20168"/>
    <cellStyle name="Normal 10 3 3 2 2 7" xfId="16679"/>
    <cellStyle name="Normal 10 3 3 2 3" xfId="1333"/>
    <cellStyle name="Normal 10 3 3 2 3 2" xfId="3762"/>
    <cellStyle name="Normal 10 3 3 2 3 2 2" xfId="12898"/>
    <cellStyle name="Normal 10 3 3 2 3 2 2 2" xfId="23117"/>
    <cellStyle name="Normal 10 3 3 2 3 2 3" xfId="9319"/>
    <cellStyle name="Normal 10 3 3 2 3 2 4" xfId="18110"/>
    <cellStyle name="Normal 10 3 3 2 3 3" xfId="4886"/>
    <cellStyle name="Normal 10 3 3 2 3 3 2" xfId="13723"/>
    <cellStyle name="Normal 10 3 3 2 3 3 2 2" xfId="23974"/>
    <cellStyle name="Normal 10 3 3 2 3 3 3" xfId="10144"/>
    <cellStyle name="Normal 10 3 3 2 3 3 4" xfId="18967"/>
    <cellStyle name="Normal 10 3 3 2 3 4" xfId="2156"/>
    <cellStyle name="Normal 10 3 3 2 3 4 2" xfId="11521"/>
    <cellStyle name="Normal 10 3 3 2 3 4 3" xfId="21525"/>
    <cellStyle name="Normal 10 3 3 2 3 5" xfId="6341"/>
    <cellStyle name="Normal 10 3 3 2 3 5 2" xfId="15168"/>
    <cellStyle name="Normal 10 3 3 2 3 5 3" xfId="25419"/>
    <cellStyle name="Normal 10 3 3 2 3 6" xfId="7787"/>
    <cellStyle name="Normal 10 3 3 2 3 6 2" xfId="20716"/>
    <cellStyle name="Normal 10 3 3 2 3 7" xfId="16518"/>
    <cellStyle name="Normal 10 3 3 2 4" xfId="3047"/>
    <cellStyle name="Normal 10 3 3 2 4 2" xfId="5425"/>
    <cellStyle name="Normal 10 3 3 2 4 2 2" xfId="14262"/>
    <cellStyle name="Normal 10 3 3 2 4 2 2 2" xfId="24513"/>
    <cellStyle name="Normal 10 3 3 2 4 2 3" xfId="10683"/>
    <cellStyle name="Normal 10 3 3 2 4 2 4" xfId="19506"/>
    <cellStyle name="Normal 10 3 3 2 4 3" xfId="6880"/>
    <cellStyle name="Normal 10 3 3 2 4 3 2" xfId="15707"/>
    <cellStyle name="Normal 10 3 3 2 4 3 3" xfId="25958"/>
    <cellStyle name="Normal 10 3 3 2 4 4" xfId="8326"/>
    <cellStyle name="Normal 10 3 3 2 4 4 2" xfId="22408"/>
    <cellStyle name="Normal 10 3 3 2 4 5" xfId="17401"/>
    <cellStyle name="Normal 10 3 3 2 5" xfId="4381"/>
    <cellStyle name="Normal 10 3 3 2 5 2" xfId="13219"/>
    <cellStyle name="Normal 10 3 3 2 5 2 2" xfId="23470"/>
    <cellStyle name="Normal 10 3 3 2 5 3" xfId="9640"/>
    <cellStyle name="Normal 10 3 3 2 5 4" xfId="18463"/>
    <cellStyle name="Normal 10 3 3 2 6" xfId="1653"/>
    <cellStyle name="Normal 10 3 3 2 6 2" xfId="11030"/>
    <cellStyle name="Normal 10 3 3 2 6 3" xfId="21034"/>
    <cellStyle name="Normal 10 3 3 2 7" xfId="5837"/>
    <cellStyle name="Normal 10 3 3 2 7 2" xfId="14664"/>
    <cellStyle name="Normal 10 3 3 2 7 3" xfId="24915"/>
    <cellStyle name="Normal 10 3 3 2 8" xfId="7281"/>
    <cellStyle name="Normal 10 3 3 2 8 2" xfId="20007"/>
    <cellStyle name="Normal 10 3 3 2 9" xfId="16027"/>
    <cellStyle name="Normal 10 3 3 2_Degree data" xfId="3885"/>
    <cellStyle name="Normal 10 3 3 3" xfId="356"/>
    <cellStyle name="Normal 10 3 3 3 2" xfId="2842"/>
    <cellStyle name="Normal 10 3 3 3 2 2" xfId="12130"/>
    <cellStyle name="Normal 10 3 3 3 2 2 2" xfId="22203"/>
    <cellStyle name="Normal 10 3 3 3 2 3" xfId="8472"/>
    <cellStyle name="Normal 10 3 3 3 2 4" xfId="17196"/>
    <cellStyle name="Normal 10 3 3 3 3" xfId="4536"/>
    <cellStyle name="Normal 10 3 3 3 3 2" xfId="13374"/>
    <cellStyle name="Normal 10 3 3 3 3 2 2" xfId="23625"/>
    <cellStyle name="Normal 10 3 3 3 3 3" xfId="9795"/>
    <cellStyle name="Normal 10 3 3 3 3 4" xfId="18618"/>
    <cellStyle name="Normal 10 3 3 3 4" xfId="1951"/>
    <cellStyle name="Normal 10 3 3 3 4 2" xfId="11316"/>
    <cellStyle name="Normal 10 3 3 3 4 3" xfId="21320"/>
    <cellStyle name="Normal 10 3 3 3 5" xfId="5992"/>
    <cellStyle name="Normal 10 3 3 3 5 2" xfId="14819"/>
    <cellStyle name="Normal 10 3 3 3 5 3" xfId="25070"/>
    <cellStyle name="Normal 10 3 3 3 6" xfId="7436"/>
    <cellStyle name="Normal 10 3 3 3 6 2" xfId="19802"/>
    <cellStyle name="Normal 10 3 3 3 7" xfId="16313"/>
    <cellStyle name="Normal 10 3 3 4" xfId="721"/>
    <cellStyle name="Normal 10 3 3 4 2" xfId="3207"/>
    <cellStyle name="Normal 10 3 3 4 2 2" xfId="12350"/>
    <cellStyle name="Normal 10 3 3 4 2 2 2" xfId="22568"/>
    <cellStyle name="Normal 10 3 3 4 2 3" xfId="8772"/>
    <cellStyle name="Normal 10 3 3 4 2 4" xfId="17561"/>
    <cellStyle name="Normal 10 3 3 4 3" xfId="4885"/>
    <cellStyle name="Normal 10 3 3 4 3 2" xfId="13722"/>
    <cellStyle name="Normal 10 3 3 4 3 2 2" xfId="23973"/>
    <cellStyle name="Normal 10 3 3 4 3 3" xfId="10143"/>
    <cellStyle name="Normal 10 3 3 4 3 4" xfId="18966"/>
    <cellStyle name="Normal 10 3 3 4 4" xfId="2316"/>
    <cellStyle name="Normal 10 3 3 4 4 2" xfId="11681"/>
    <cellStyle name="Normal 10 3 3 4 4 3" xfId="21685"/>
    <cellStyle name="Normal 10 3 3 4 5" xfId="6340"/>
    <cellStyle name="Normal 10 3 3 4 5 2" xfId="15167"/>
    <cellStyle name="Normal 10 3 3 4 5 3" xfId="25418"/>
    <cellStyle name="Normal 10 3 3 4 6" xfId="7786"/>
    <cellStyle name="Normal 10 3 3 4 6 2" xfId="20167"/>
    <cellStyle name="Normal 10 3 3 4 7" xfId="16678"/>
    <cellStyle name="Normal 10 3 3 5" xfId="1128"/>
    <cellStyle name="Normal 10 3 3 5 2" xfId="3557"/>
    <cellStyle name="Normal 10 3 3 5 2 2" xfId="12693"/>
    <cellStyle name="Normal 10 3 3 5 2 2 2" xfId="22912"/>
    <cellStyle name="Normal 10 3 3 5 2 3" xfId="9114"/>
    <cellStyle name="Normal 10 3 3 5 2 4" xfId="17905"/>
    <cellStyle name="Normal 10 3 3 5 3" xfId="5220"/>
    <cellStyle name="Normal 10 3 3 5 3 2" xfId="14057"/>
    <cellStyle name="Normal 10 3 3 5 3 2 2" xfId="24308"/>
    <cellStyle name="Normal 10 3 3 5 3 3" xfId="10478"/>
    <cellStyle name="Normal 10 3 3 5 3 4" xfId="19301"/>
    <cellStyle name="Normal 10 3 3 5 4" xfId="1836"/>
    <cellStyle name="Normal 10 3 3 5 4 2" xfId="11204"/>
    <cellStyle name="Normal 10 3 3 5 4 3" xfId="21208"/>
    <cellStyle name="Normal 10 3 3 5 5" xfId="6675"/>
    <cellStyle name="Normal 10 3 3 5 5 2" xfId="15502"/>
    <cellStyle name="Normal 10 3 3 5 5 3" xfId="25753"/>
    <cellStyle name="Normal 10 3 3 5 6" xfId="8121"/>
    <cellStyle name="Normal 10 3 3 5 6 2" xfId="20511"/>
    <cellStyle name="Normal 10 3 3 5 7" xfId="16201"/>
    <cellStyle name="Normal 10 3 3 6" xfId="2730"/>
    <cellStyle name="Normal 10 3 3 6 2" xfId="12047"/>
    <cellStyle name="Normal 10 3 3 6 2 2" xfId="22091"/>
    <cellStyle name="Normal 10 3 3 6 3" xfId="8557"/>
    <cellStyle name="Normal 10 3 3 6 4" xfId="17084"/>
    <cellStyle name="Normal 10 3 3 7" xfId="4176"/>
    <cellStyle name="Normal 10 3 3 7 2" xfId="13014"/>
    <cellStyle name="Normal 10 3 3 7 2 2" xfId="23265"/>
    <cellStyle name="Normal 10 3 3 7 3" xfId="9435"/>
    <cellStyle name="Normal 10 3 3 7 4" xfId="18258"/>
    <cellStyle name="Normal 10 3 3 8" xfId="1448"/>
    <cellStyle name="Normal 10 3 3 8 2" xfId="10825"/>
    <cellStyle name="Normal 10 3 3 8 3" xfId="20829"/>
    <cellStyle name="Normal 10 3 3 9" xfId="5632"/>
    <cellStyle name="Normal 10 3 3 9 2" xfId="14459"/>
    <cellStyle name="Normal 10 3 3 9 3" xfId="24710"/>
    <cellStyle name="Normal 10 3 3_Degree data" xfId="3912"/>
    <cellStyle name="Normal 10 3 4" xfId="456"/>
    <cellStyle name="Normal 10 3 4 2" xfId="723"/>
    <cellStyle name="Normal 10 3 4 2 2" xfId="3209"/>
    <cellStyle name="Normal 10 3 4 2 2 2" xfId="12352"/>
    <cellStyle name="Normal 10 3 4 2 2 2 2" xfId="22570"/>
    <cellStyle name="Normal 10 3 4 2 2 3" xfId="8774"/>
    <cellStyle name="Normal 10 3 4 2 2 4" xfId="17563"/>
    <cellStyle name="Normal 10 3 4 2 3" xfId="4538"/>
    <cellStyle name="Normal 10 3 4 2 3 2" xfId="13376"/>
    <cellStyle name="Normal 10 3 4 2 3 2 2" xfId="23627"/>
    <cellStyle name="Normal 10 3 4 2 3 3" xfId="9797"/>
    <cellStyle name="Normal 10 3 4 2 3 4" xfId="18620"/>
    <cellStyle name="Normal 10 3 4 2 4" xfId="2318"/>
    <cellStyle name="Normal 10 3 4 2 4 2" xfId="11683"/>
    <cellStyle name="Normal 10 3 4 2 4 3" xfId="21687"/>
    <cellStyle name="Normal 10 3 4 2 5" xfId="5994"/>
    <cellStyle name="Normal 10 3 4 2 5 2" xfId="14821"/>
    <cellStyle name="Normal 10 3 4 2 5 3" xfId="25072"/>
    <cellStyle name="Normal 10 3 4 2 6" xfId="7438"/>
    <cellStyle name="Normal 10 3 4 2 6 2" xfId="20169"/>
    <cellStyle name="Normal 10 3 4 2 7" xfId="16680"/>
    <cellStyle name="Normal 10 3 4 3" xfId="1228"/>
    <cellStyle name="Normal 10 3 4 3 2" xfId="3657"/>
    <cellStyle name="Normal 10 3 4 3 2 2" xfId="12793"/>
    <cellStyle name="Normal 10 3 4 3 2 2 2" xfId="23012"/>
    <cellStyle name="Normal 10 3 4 3 2 3" xfId="9214"/>
    <cellStyle name="Normal 10 3 4 3 2 4" xfId="18005"/>
    <cellStyle name="Normal 10 3 4 3 3" xfId="4887"/>
    <cellStyle name="Normal 10 3 4 3 3 2" xfId="13724"/>
    <cellStyle name="Normal 10 3 4 3 3 2 2" xfId="23975"/>
    <cellStyle name="Normal 10 3 4 3 3 3" xfId="10145"/>
    <cellStyle name="Normal 10 3 4 3 3 4" xfId="18968"/>
    <cellStyle name="Normal 10 3 4 3 4" xfId="2051"/>
    <cellStyle name="Normal 10 3 4 3 4 2" xfId="11416"/>
    <cellStyle name="Normal 10 3 4 3 4 3" xfId="21420"/>
    <cellStyle name="Normal 10 3 4 3 5" xfId="6342"/>
    <cellStyle name="Normal 10 3 4 3 5 2" xfId="15169"/>
    <cellStyle name="Normal 10 3 4 3 5 3" xfId="25420"/>
    <cellStyle name="Normal 10 3 4 3 6" xfId="7788"/>
    <cellStyle name="Normal 10 3 4 3 6 2" xfId="20611"/>
    <cellStyle name="Normal 10 3 4 3 7" xfId="16413"/>
    <cellStyle name="Normal 10 3 4 4" xfId="2942"/>
    <cellStyle name="Normal 10 3 4 4 2" xfId="5320"/>
    <cellStyle name="Normal 10 3 4 4 2 2" xfId="14157"/>
    <cellStyle name="Normal 10 3 4 4 2 2 2" xfId="24408"/>
    <cellStyle name="Normal 10 3 4 4 2 3" xfId="10578"/>
    <cellStyle name="Normal 10 3 4 4 2 4" xfId="19401"/>
    <cellStyle name="Normal 10 3 4 4 3" xfId="6775"/>
    <cellStyle name="Normal 10 3 4 4 3 2" xfId="15602"/>
    <cellStyle name="Normal 10 3 4 4 3 3" xfId="25853"/>
    <cellStyle name="Normal 10 3 4 4 4" xfId="8221"/>
    <cellStyle name="Normal 10 3 4 4 4 2" xfId="22303"/>
    <cellStyle name="Normal 10 3 4 4 5" xfId="17296"/>
    <cellStyle name="Normal 10 3 4 5" xfId="4276"/>
    <cellStyle name="Normal 10 3 4 5 2" xfId="13114"/>
    <cellStyle name="Normal 10 3 4 5 2 2" xfId="23365"/>
    <cellStyle name="Normal 10 3 4 5 3" xfId="9535"/>
    <cellStyle name="Normal 10 3 4 5 4" xfId="18358"/>
    <cellStyle name="Normal 10 3 4 6" xfId="1548"/>
    <cellStyle name="Normal 10 3 4 6 2" xfId="10925"/>
    <cellStyle name="Normal 10 3 4 6 3" xfId="20929"/>
    <cellStyle name="Normal 10 3 4 7" xfId="5732"/>
    <cellStyle name="Normal 10 3 4 7 2" xfId="14559"/>
    <cellStyle name="Normal 10 3 4 7 3" xfId="24810"/>
    <cellStyle name="Normal 10 3 4 8" xfId="7176"/>
    <cellStyle name="Normal 10 3 4 8 2" xfId="19902"/>
    <cellStyle name="Normal 10 3 4 9" xfId="15922"/>
    <cellStyle name="Normal 10 3 4_Degree data" xfId="3917"/>
    <cellStyle name="Normal 10 3 5" xfId="1724"/>
    <cellStyle name="Normal 10 3 5 2" xfId="11098"/>
    <cellStyle name="Normal 10 3 5 2 2" xfId="21102"/>
    <cellStyle name="Normal 10 3 5 3" xfId="8643"/>
    <cellStyle name="Normal 10 3 5 4" xfId="16095"/>
    <cellStyle name="Normal 10 3 6" xfId="2622"/>
    <cellStyle name="Normal 10 3 6 2" xfId="11973"/>
    <cellStyle name="Normal 10 3 6 2 2" xfId="21985"/>
    <cellStyle name="Normal 10 3 6 3" xfId="8509"/>
    <cellStyle name="Normal 10 3 6 4" xfId="16978"/>
    <cellStyle name="Normal 10 3 7" xfId="10755"/>
    <cellStyle name="Normal 10 3 7 2" xfId="19585"/>
    <cellStyle name="Normal 10 4" xfId="143"/>
    <cellStyle name="Normal 10 4 10" xfId="1411"/>
    <cellStyle name="Normal 10 4 10 2" xfId="10788"/>
    <cellStyle name="Normal 10 4 10 3" xfId="20792"/>
    <cellStyle name="Normal 10 4 11" xfId="5522"/>
    <cellStyle name="Normal 10 4 11 2" xfId="14349"/>
    <cellStyle name="Normal 10 4 11 3" xfId="24600"/>
    <cellStyle name="Normal 10 4 12" xfId="6962"/>
    <cellStyle name="Normal 10 4 12 2" xfId="19607"/>
    <cellStyle name="Normal 10 4 13" xfId="15785"/>
    <cellStyle name="Normal 10 4 2" xfId="193"/>
    <cellStyle name="Normal 10 4 2 10" xfId="7141"/>
    <cellStyle name="Normal 10 4 2 10 2" xfId="19650"/>
    <cellStyle name="Normal 10 4 2 11" xfId="15887"/>
    <cellStyle name="Normal 10 4 2 2" xfId="521"/>
    <cellStyle name="Normal 10 4 2 2 2" xfId="726"/>
    <cellStyle name="Normal 10 4 2 2 2 2" xfId="3212"/>
    <cellStyle name="Normal 10 4 2 2 2 2 2" xfId="12355"/>
    <cellStyle name="Normal 10 4 2 2 2 2 2 2" xfId="22573"/>
    <cellStyle name="Normal 10 4 2 2 2 2 3" xfId="8777"/>
    <cellStyle name="Normal 10 4 2 2 2 2 4" xfId="17566"/>
    <cellStyle name="Normal 10 4 2 2 2 3" xfId="4541"/>
    <cellStyle name="Normal 10 4 2 2 2 3 2" xfId="13379"/>
    <cellStyle name="Normal 10 4 2 2 2 3 2 2" xfId="23630"/>
    <cellStyle name="Normal 10 4 2 2 2 3 3" xfId="9800"/>
    <cellStyle name="Normal 10 4 2 2 2 3 4" xfId="18623"/>
    <cellStyle name="Normal 10 4 2 2 2 4" xfId="2321"/>
    <cellStyle name="Normal 10 4 2 2 2 4 2" xfId="11686"/>
    <cellStyle name="Normal 10 4 2 2 2 4 3" xfId="21690"/>
    <cellStyle name="Normal 10 4 2 2 2 5" xfId="5997"/>
    <cellStyle name="Normal 10 4 2 2 2 5 2" xfId="14824"/>
    <cellStyle name="Normal 10 4 2 2 2 5 3" xfId="25075"/>
    <cellStyle name="Normal 10 4 2 2 2 6" xfId="7441"/>
    <cellStyle name="Normal 10 4 2 2 2 6 2" xfId="20172"/>
    <cellStyle name="Normal 10 4 2 2 2 7" xfId="16683"/>
    <cellStyle name="Normal 10 4 2 2 3" xfId="1293"/>
    <cellStyle name="Normal 10 4 2 2 3 2" xfId="3722"/>
    <cellStyle name="Normal 10 4 2 2 3 2 2" xfId="12858"/>
    <cellStyle name="Normal 10 4 2 2 3 2 2 2" xfId="23077"/>
    <cellStyle name="Normal 10 4 2 2 3 2 3" xfId="9279"/>
    <cellStyle name="Normal 10 4 2 2 3 2 4" xfId="18070"/>
    <cellStyle name="Normal 10 4 2 2 3 3" xfId="4890"/>
    <cellStyle name="Normal 10 4 2 2 3 3 2" xfId="13727"/>
    <cellStyle name="Normal 10 4 2 2 3 3 2 2" xfId="23978"/>
    <cellStyle name="Normal 10 4 2 2 3 3 3" xfId="10148"/>
    <cellStyle name="Normal 10 4 2 2 3 3 4" xfId="18971"/>
    <cellStyle name="Normal 10 4 2 2 3 4" xfId="2116"/>
    <cellStyle name="Normal 10 4 2 2 3 4 2" xfId="11481"/>
    <cellStyle name="Normal 10 4 2 2 3 4 3" xfId="21485"/>
    <cellStyle name="Normal 10 4 2 2 3 5" xfId="6345"/>
    <cellStyle name="Normal 10 4 2 2 3 5 2" xfId="15172"/>
    <cellStyle name="Normal 10 4 2 2 3 5 3" xfId="25423"/>
    <cellStyle name="Normal 10 4 2 2 3 6" xfId="7791"/>
    <cellStyle name="Normal 10 4 2 2 3 6 2" xfId="20676"/>
    <cellStyle name="Normal 10 4 2 2 3 7" xfId="16478"/>
    <cellStyle name="Normal 10 4 2 2 4" xfId="3007"/>
    <cellStyle name="Normal 10 4 2 2 4 2" xfId="5385"/>
    <cellStyle name="Normal 10 4 2 2 4 2 2" xfId="14222"/>
    <cellStyle name="Normal 10 4 2 2 4 2 2 2" xfId="24473"/>
    <cellStyle name="Normal 10 4 2 2 4 2 3" xfId="10643"/>
    <cellStyle name="Normal 10 4 2 2 4 2 4" xfId="19466"/>
    <cellStyle name="Normal 10 4 2 2 4 3" xfId="6840"/>
    <cellStyle name="Normal 10 4 2 2 4 3 2" xfId="15667"/>
    <cellStyle name="Normal 10 4 2 2 4 3 3" xfId="25918"/>
    <cellStyle name="Normal 10 4 2 2 4 4" xfId="8286"/>
    <cellStyle name="Normal 10 4 2 2 4 4 2" xfId="22368"/>
    <cellStyle name="Normal 10 4 2 2 4 5" xfId="17361"/>
    <cellStyle name="Normal 10 4 2 2 5" xfId="4341"/>
    <cellStyle name="Normal 10 4 2 2 5 2" xfId="13179"/>
    <cellStyle name="Normal 10 4 2 2 5 2 2" xfId="23430"/>
    <cellStyle name="Normal 10 4 2 2 5 3" xfId="9600"/>
    <cellStyle name="Normal 10 4 2 2 5 4" xfId="18423"/>
    <cellStyle name="Normal 10 4 2 2 6" xfId="1613"/>
    <cellStyle name="Normal 10 4 2 2 6 2" xfId="10990"/>
    <cellStyle name="Normal 10 4 2 2 6 3" xfId="20994"/>
    <cellStyle name="Normal 10 4 2 2 7" xfId="5797"/>
    <cellStyle name="Normal 10 4 2 2 7 2" xfId="14624"/>
    <cellStyle name="Normal 10 4 2 2 7 3" xfId="24875"/>
    <cellStyle name="Normal 10 4 2 2 8" xfId="7241"/>
    <cellStyle name="Normal 10 4 2 2 8 2" xfId="19967"/>
    <cellStyle name="Normal 10 4 2 2 9" xfId="15987"/>
    <cellStyle name="Normal 10 4 2 2_Degree data" xfId="3846"/>
    <cellStyle name="Normal 10 4 2 3" xfId="421"/>
    <cellStyle name="Normal 10 4 2 3 2" xfId="2907"/>
    <cellStyle name="Normal 10 4 2 3 2 2" xfId="12195"/>
    <cellStyle name="Normal 10 4 2 3 2 2 2" xfId="22268"/>
    <cellStyle name="Normal 10 4 2 3 2 3" xfId="8596"/>
    <cellStyle name="Normal 10 4 2 3 2 4" xfId="17261"/>
    <cellStyle name="Normal 10 4 2 3 3" xfId="4540"/>
    <cellStyle name="Normal 10 4 2 3 3 2" xfId="13378"/>
    <cellStyle name="Normal 10 4 2 3 3 2 2" xfId="23629"/>
    <cellStyle name="Normal 10 4 2 3 3 3" xfId="9799"/>
    <cellStyle name="Normal 10 4 2 3 3 4" xfId="18622"/>
    <cellStyle name="Normal 10 4 2 3 4" xfId="2016"/>
    <cellStyle name="Normal 10 4 2 3 4 2" xfId="11381"/>
    <cellStyle name="Normal 10 4 2 3 4 3" xfId="21385"/>
    <cellStyle name="Normal 10 4 2 3 5" xfId="5996"/>
    <cellStyle name="Normal 10 4 2 3 5 2" xfId="14823"/>
    <cellStyle name="Normal 10 4 2 3 5 3" xfId="25074"/>
    <cellStyle name="Normal 10 4 2 3 6" xfId="7440"/>
    <cellStyle name="Normal 10 4 2 3 6 2" xfId="19867"/>
    <cellStyle name="Normal 10 4 2 3 7" xfId="16378"/>
    <cellStyle name="Normal 10 4 2 4" xfId="725"/>
    <cellStyle name="Normal 10 4 2 4 2" xfId="3211"/>
    <cellStyle name="Normal 10 4 2 4 2 2" xfId="12354"/>
    <cellStyle name="Normal 10 4 2 4 2 2 2" xfId="22572"/>
    <cellStyle name="Normal 10 4 2 4 2 3" xfId="8776"/>
    <cellStyle name="Normal 10 4 2 4 2 4" xfId="17565"/>
    <cellStyle name="Normal 10 4 2 4 3" xfId="4889"/>
    <cellStyle name="Normal 10 4 2 4 3 2" xfId="13726"/>
    <cellStyle name="Normal 10 4 2 4 3 2 2" xfId="23977"/>
    <cellStyle name="Normal 10 4 2 4 3 3" xfId="10147"/>
    <cellStyle name="Normal 10 4 2 4 3 4" xfId="18970"/>
    <cellStyle name="Normal 10 4 2 4 4" xfId="2320"/>
    <cellStyle name="Normal 10 4 2 4 4 2" xfId="11685"/>
    <cellStyle name="Normal 10 4 2 4 4 3" xfId="21689"/>
    <cellStyle name="Normal 10 4 2 4 5" xfId="6344"/>
    <cellStyle name="Normal 10 4 2 4 5 2" xfId="15171"/>
    <cellStyle name="Normal 10 4 2 4 5 3" xfId="25422"/>
    <cellStyle name="Normal 10 4 2 4 6" xfId="7790"/>
    <cellStyle name="Normal 10 4 2 4 6 2" xfId="20171"/>
    <cellStyle name="Normal 10 4 2 4 7" xfId="16682"/>
    <cellStyle name="Normal 10 4 2 5" xfId="1193"/>
    <cellStyle name="Normal 10 4 2 5 2" xfId="3622"/>
    <cellStyle name="Normal 10 4 2 5 2 2" xfId="12758"/>
    <cellStyle name="Normal 10 4 2 5 2 2 2" xfId="22977"/>
    <cellStyle name="Normal 10 4 2 5 2 3" xfId="9179"/>
    <cellStyle name="Normal 10 4 2 5 2 4" xfId="17970"/>
    <cellStyle name="Normal 10 4 2 5 3" xfId="5285"/>
    <cellStyle name="Normal 10 4 2 5 3 2" xfId="14122"/>
    <cellStyle name="Normal 10 4 2 5 3 2 2" xfId="24373"/>
    <cellStyle name="Normal 10 4 2 5 3 3" xfId="10543"/>
    <cellStyle name="Normal 10 4 2 5 3 4" xfId="19366"/>
    <cellStyle name="Normal 10 4 2 5 4" xfId="1795"/>
    <cellStyle name="Normal 10 4 2 5 4 2" xfId="11164"/>
    <cellStyle name="Normal 10 4 2 5 4 3" xfId="21168"/>
    <cellStyle name="Normal 10 4 2 5 5" xfId="6740"/>
    <cellStyle name="Normal 10 4 2 5 5 2" xfId="15567"/>
    <cellStyle name="Normal 10 4 2 5 5 3" xfId="25818"/>
    <cellStyle name="Normal 10 4 2 5 6" xfId="8186"/>
    <cellStyle name="Normal 10 4 2 5 6 2" xfId="20576"/>
    <cellStyle name="Normal 10 4 2 5 7" xfId="16161"/>
    <cellStyle name="Normal 10 4 2 6" xfId="2690"/>
    <cellStyle name="Normal 10 4 2 6 2" xfId="12007"/>
    <cellStyle name="Normal 10 4 2 6 2 2" xfId="22051"/>
    <cellStyle name="Normal 10 4 2 6 3" xfId="8576"/>
    <cellStyle name="Normal 10 4 2 6 4" xfId="17044"/>
    <cellStyle name="Normal 10 4 2 7" xfId="4241"/>
    <cellStyle name="Normal 10 4 2 7 2" xfId="13079"/>
    <cellStyle name="Normal 10 4 2 7 2 2" xfId="23330"/>
    <cellStyle name="Normal 10 4 2 7 3" xfId="9500"/>
    <cellStyle name="Normal 10 4 2 7 4" xfId="18323"/>
    <cellStyle name="Normal 10 4 2 8" xfId="1513"/>
    <cellStyle name="Normal 10 4 2 8 2" xfId="10890"/>
    <cellStyle name="Normal 10 4 2 8 3" xfId="20894"/>
    <cellStyle name="Normal 10 4 2 9" xfId="5697"/>
    <cellStyle name="Normal 10 4 2 9 2" xfId="14524"/>
    <cellStyle name="Normal 10 4 2 9 3" xfId="24775"/>
    <cellStyle name="Normal 10 4 2_Degree data" xfId="2643"/>
    <cellStyle name="Normal 10 4 3" xfId="260"/>
    <cellStyle name="Normal 10 4 3 10" xfId="7098"/>
    <cellStyle name="Normal 10 4 3 10 2" xfId="19712"/>
    <cellStyle name="Normal 10 4 3 11" xfId="15844"/>
    <cellStyle name="Normal 10 4 3 2" xfId="583"/>
    <cellStyle name="Normal 10 4 3 2 2" xfId="728"/>
    <cellStyle name="Normal 10 4 3 2 2 2" xfId="3214"/>
    <cellStyle name="Normal 10 4 3 2 2 2 2" xfId="12357"/>
    <cellStyle name="Normal 10 4 3 2 2 2 2 2" xfId="22575"/>
    <cellStyle name="Normal 10 4 3 2 2 2 3" xfId="8779"/>
    <cellStyle name="Normal 10 4 3 2 2 2 4" xfId="17568"/>
    <cellStyle name="Normal 10 4 3 2 2 3" xfId="4543"/>
    <cellStyle name="Normal 10 4 3 2 2 3 2" xfId="13381"/>
    <cellStyle name="Normal 10 4 3 2 2 3 2 2" xfId="23632"/>
    <cellStyle name="Normal 10 4 3 2 2 3 3" xfId="9802"/>
    <cellStyle name="Normal 10 4 3 2 2 3 4" xfId="18625"/>
    <cellStyle name="Normal 10 4 3 2 2 4" xfId="2323"/>
    <cellStyle name="Normal 10 4 3 2 2 4 2" xfId="11688"/>
    <cellStyle name="Normal 10 4 3 2 2 4 3" xfId="21692"/>
    <cellStyle name="Normal 10 4 3 2 2 5" xfId="5999"/>
    <cellStyle name="Normal 10 4 3 2 2 5 2" xfId="14826"/>
    <cellStyle name="Normal 10 4 3 2 2 5 3" xfId="25077"/>
    <cellStyle name="Normal 10 4 3 2 2 6" xfId="7443"/>
    <cellStyle name="Normal 10 4 3 2 2 6 2" xfId="20174"/>
    <cellStyle name="Normal 10 4 3 2 2 7" xfId="16685"/>
    <cellStyle name="Normal 10 4 3 2 3" xfId="1355"/>
    <cellStyle name="Normal 10 4 3 2 3 2" xfId="3784"/>
    <cellStyle name="Normal 10 4 3 2 3 2 2" xfId="12920"/>
    <cellStyle name="Normal 10 4 3 2 3 2 2 2" xfId="23139"/>
    <cellStyle name="Normal 10 4 3 2 3 2 3" xfId="9341"/>
    <cellStyle name="Normal 10 4 3 2 3 2 4" xfId="18132"/>
    <cellStyle name="Normal 10 4 3 2 3 3" xfId="4892"/>
    <cellStyle name="Normal 10 4 3 2 3 3 2" xfId="13729"/>
    <cellStyle name="Normal 10 4 3 2 3 3 2 2" xfId="23980"/>
    <cellStyle name="Normal 10 4 3 2 3 3 3" xfId="10150"/>
    <cellStyle name="Normal 10 4 3 2 3 3 4" xfId="18973"/>
    <cellStyle name="Normal 10 4 3 2 3 4" xfId="2178"/>
    <cellStyle name="Normal 10 4 3 2 3 4 2" xfId="11543"/>
    <cellStyle name="Normal 10 4 3 2 3 4 3" xfId="21547"/>
    <cellStyle name="Normal 10 4 3 2 3 5" xfId="6347"/>
    <cellStyle name="Normal 10 4 3 2 3 5 2" xfId="15174"/>
    <cellStyle name="Normal 10 4 3 2 3 5 3" xfId="25425"/>
    <cellStyle name="Normal 10 4 3 2 3 6" xfId="7793"/>
    <cellStyle name="Normal 10 4 3 2 3 6 2" xfId="20738"/>
    <cellStyle name="Normal 10 4 3 2 3 7" xfId="16540"/>
    <cellStyle name="Normal 10 4 3 2 4" xfId="3069"/>
    <cellStyle name="Normal 10 4 3 2 4 2" xfId="5447"/>
    <cellStyle name="Normal 10 4 3 2 4 2 2" xfId="14284"/>
    <cellStyle name="Normal 10 4 3 2 4 2 2 2" xfId="24535"/>
    <cellStyle name="Normal 10 4 3 2 4 2 3" xfId="10705"/>
    <cellStyle name="Normal 10 4 3 2 4 2 4" xfId="19528"/>
    <cellStyle name="Normal 10 4 3 2 4 3" xfId="6902"/>
    <cellStyle name="Normal 10 4 3 2 4 3 2" xfId="15729"/>
    <cellStyle name="Normal 10 4 3 2 4 3 3" xfId="25980"/>
    <cellStyle name="Normal 10 4 3 2 4 4" xfId="8348"/>
    <cellStyle name="Normal 10 4 3 2 4 4 2" xfId="22430"/>
    <cellStyle name="Normal 10 4 3 2 4 5" xfId="17423"/>
    <cellStyle name="Normal 10 4 3 2 5" xfId="4403"/>
    <cellStyle name="Normal 10 4 3 2 5 2" xfId="13241"/>
    <cellStyle name="Normal 10 4 3 2 5 2 2" xfId="23492"/>
    <cellStyle name="Normal 10 4 3 2 5 3" xfId="9662"/>
    <cellStyle name="Normal 10 4 3 2 5 4" xfId="18485"/>
    <cellStyle name="Normal 10 4 3 2 6" xfId="1675"/>
    <cellStyle name="Normal 10 4 3 2 6 2" xfId="11052"/>
    <cellStyle name="Normal 10 4 3 2 6 3" xfId="21056"/>
    <cellStyle name="Normal 10 4 3 2 7" xfId="5859"/>
    <cellStyle name="Normal 10 4 3 2 7 2" xfId="14686"/>
    <cellStyle name="Normal 10 4 3 2 7 3" xfId="24937"/>
    <cellStyle name="Normal 10 4 3 2 8" xfId="7303"/>
    <cellStyle name="Normal 10 4 3 2 8 2" xfId="20029"/>
    <cellStyle name="Normal 10 4 3 2 9" xfId="16049"/>
    <cellStyle name="Normal 10 4 3 2_Degree data" xfId="2609"/>
    <cellStyle name="Normal 10 4 3 3" xfId="378"/>
    <cellStyle name="Normal 10 4 3 3 2" xfId="2864"/>
    <cellStyle name="Normal 10 4 3 3 2 2" xfId="12152"/>
    <cellStyle name="Normal 10 4 3 3 2 2 2" xfId="22225"/>
    <cellStyle name="Normal 10 4 3 3 2 3" xfId="8421"/>
    <cellStyle name="Normal 10 4 3 3 2 4" xfId="17218"/>
    <cellStyle name="Normal 10 4 3 3 3" xfId="4542"/>
    <cellStyle name="Normal 10 4 3 3 3 2" xfId="13380"/>
    <cellStyle name="Normal 10 4 3 3 3 2 2" xfId="23631"/>
    <cellStyle name="Normal 10 4 3 3 3 3" xfId="9801"/>
    <cellStyle name="Normal 10 4 3 3 3 4" xfId="18624"/>
    <cellStyle name="Normal 10 4 3 3 4" xfId="1973"/>
    <cellStyle name="Normal 10 4 3 3 4 2" xfId="11338"/>
    <cellStyle name="Normal 10 4 3 3 4 3" xfId="21342"/>
    <cellStyle name="Normal 10 4 3 3 5" xfId="5998"/>
    <cellStyle name="Normal 10 4 3 3 5 2" xfId="14825"/>
    <cellStyle name="Normal 10 4 3 3 5 3" xfId="25076"/>
    <cellStyle name="Normal 10 4 3 3 6" xfId="7442"/>
    <cellStyle name="Normal 10 4 3 3 6 2" xfId="19824"/>
    <cellStyle name="Normal 10 4 3 3 7" xfId="16335"/>
    <cellStyle name="Normal 10 4 3 4" xfId="727"/>
    <cellStyle name="Normal 10 4 3 4 2" xfId="3213"/>
    <cellStyle name="Normal 10 4 3 4 2 2" xfId="12356"/>
    <cellStyle name="Normal 10 4 3 4 2 2 2" xfId="22574"/>
    <cellStyle name="Normal 10 4 3 4 2 3" xfId="8778"/>
    <cellStyle name="Normal 10 4 3 4 2 4" xfId="17567"/>
    <cellStyle name="Normal 10 4 3 4 3" xfId="4891"/>
    <cellStyle name="Normal 10 4 3 4 3 2" xfId="13728"/>
    <cellStyle name="Normal 10 4 3 4 3 2 2" xfId="23979"/>
    <cellStyle name="Normal 10 4 3 4 3 3" xfId="10149"/>
    <cellStyle name="Normal 10 4 3 4 3 4" xfId="18972"/>
    <cellStyle name="Normal 10 4 3 4 4" xfId="2322"/>
    <cellStyle name="Normal 10 4 3 4 4 2" xfId="11687"/>
    <cellStyle name="Normal 10 4 3 4 4 3" xfId="21691"/>
    <cellStyle name="Normal 10 4 3 4 5" xfId="6346"/>
    <cellStyle name="Normal 10 4 3 4 5 2" xfId="15173"/>
    <cellStyle name="Normal 10 4 3 4 5 3" xfId="25424"/>
    <cellStyle name="Normal 10 4 3 4 6" xfId="7792"/>
    <cellStyle name="Normal 10 4 3 4 6 2" xfId="20173"/>
    <cellStyle name="Normal 10 4 3 4 7" xfId="16684"/>
    <cellStyle name="Normal 10 4 3 5" xfId="1150"/>
    <cellStyle name="Normal 10 4 3 5 2" xfId="3579"/>
    <cellStyle name="Normal 10 4 3 5 2 2" xfId="12715"/>
    <cellStyle name="Normal 10 4 3 5 2 2 2" xfId="22934"/>
    <cellStyle name="Normal 10 4 3 5 2 3" xfId="9136"/>
    <cellStyle name="Normal 10 4 3 5 2 4" xfId="17927"/>
    <cellStyle name="Normal 10 4 3 5 3" xfId="5242"/>
    <cellStyle name="Normal 10 4 3 5 3 2" xfId="14079"/>
    <cellStyle name="Normal 10 4 3 5 3 2 2" xfId="24330"/>
    <cellStyle name="Normal 10 4 3 5 3 3" xfId="10500"/>
    <cellStyle name="Normal 10 4 3 5 3 4" xfId="19323"/>
    <cellStyle name="Normal 10 4 3 5 4" xfId="1858"/>
    <cellStyle name="Normal 10 4 3 5 4 2" xfId="11226"/>
    <cellStyle name="Normal 10 4 3 5 4 3" xfId="21230"/>
    <cellStyle name="Normal 10 4 3 5 5" xfId="6697"/>
    <cellStyle name="Normal 10 4 3 5 5 2" xfId="15524"/>
    <cellStyle name="Normal 10 4 3 5 5 3" xfId="25775"/>
    <cellStyle name="Normal 10 4 3 5 6" xfId="8143"/>
    <cellStyle name="Normal 10 4 3 5 6 2" xfId="20533"/>
    <cellStyle name="Normal 10 4 3 5 7" xfId="16223"/>
    <cellStyle name="Normal 10 4 3 6" xfId="2752"/>
    <cellStyle name="Normal 10 4 3 6 2" xfId="12069"/>
    <cellStyle name="Normal 10 4 3 6 2 2" xfId="22113"/>
    <cellStyle name="Normal 10 4 3 6 3" xfId="8436"/>
    <cellStyle name="Normal 10 4 3 6 4" xfId="17106"/>
    <cellStyle name="Normal 10 4 3 7" xfId="4198"/>
    <cellStyle name="Normal 10 4 3 7 2" xfId="13036"/>
    <cellStyle name="Normal 10 4 3 7 2 2" xfId="23287"/>
    <cellStyle name="Normal 10 4 3 7 3" xfId="9457"/>
    <cellStyle name="Normal 10 4 3 7 4" xfId="18280"/>
    <cellStyle name="Normal 10 4 3 8" xfId="1470"/>
    <cellStyle name="Normal 10 4 3 8 2" xfId="10847"/>
    <cellStyle name="Normal 10 4 3 8 3" xfId="20851"/>
    <cellStyle name="Normal 10 4 3 9" xfId="5654"/>
    <cellStyle name="Normal 10 4 3 9 2" xfId="14481"/>
    <cellStyle name="Normal 10 4 3 9 3" xfId="24732"/>
    <cellStyle name="Normal 10 4 3_Degree data" xfId="2634"/>
    <cellStyle name="Normal 10 4 4" xfId="478"/>
    <cellStyle name="Normal 10 4 4 2" xfId="729"/>
    <cellStyle name="Normal 10 4 4 2 2" xfId="3215"/>
    <cellStyle name="Normal 10 4 4 2 2 2" xfId="12358"/>
    <cellStyle name="Normal 10 4 4 2 2 2 2" xfId="22576"/>
    <cellStyle name="Normal 10 4 4 2 2 3" xfId="8780"/>
    <cellStyle name="Normal 10 4 4 2 2 4" xfId="17569"/>
    <cellStyle name="Normal 10 4 4 2 3" xfId="4544"/>
    <cellStyle name="Normal 10 4 4 2 3 2" xfId="13382"/>
    <cellStyle name="Normal 10 4 4 2 3 2 2" xfId="23633"/>
    <cellStyle name="Normal 10 4 4 2 3 3" xfId="9803"/>
    <cellStyle name="Normal 10 4 4 2 3 4" xfId="18626"/>
    <cellStyle name="Normal 10 4 4 2 4" xfId="2324"/>
    <cellStyle name="Normal 10 4 4 2 4 2" xfId="11689"/>
    <cellStyle name="Normal 10 4 4 2 4 3" xfId="21693"/>
    <cellStyle name="Normal 10 4 4 2 5" xfId="6000"/>
    <cellStyle name="Normal 10 4 4 2 5 2" xfId="14827"/>
    <cellStyle name="Normal 10 4 4 2 5 3" xfId="25078"/>
    <cellStyle name="Normal 10 4 4 2 6" xfId="7444"/>
    <cellStyle name="Normal 10 4 4 2 6 2" xfId="20175"/>
    <cellStyle name="Normal 10 4 4 2 7" xfId="16686"/>
    <cellStyle name="Normal 10 4 4 3" xfId="1250"/>
    <cellStyle name="Normal 10 4 4 3 2" xfId="3679"/>
    <cellStyle name="Normal 10 4 4 3 2 2" xfId="12815"/>
    <cellStyle name="Normal 10 4 4 3 2 2 2" xfId="23034"/>
    <cellStyle name="Normal 10 4 4 3 2 3" xfId="9236"/>
    <cellStyle name="Normal 10 4 4 3 2 4" xfId="18027"/>
    <cellStyle name="Normal 10 4 4 3 3" xfId="4893"/>
    <cellStyle name="Normal 10 4 4 3 3 2" xfId="13730"/>
    <cellStyle name="Normal 10 4 4 3 3 2 2" xfId="23981"/>
    <cellStyle name="Normal 10 4 4 3 3 3" xfId="10151"/>
    <cellStyle name="Normal 10 4 4 3 3 4" xfId="18974"/>
    <cellStyle name="Normal 10 4 4 3 4" xfId="2073"/>
    <cellStyle name="Normal 10 4 4 3 4 2" xfId="11438"/>
    <cellStyle name="Normal 10 4 4 3 4 3" xfId="21442"/>
    <cellStyle name="Normal 10 4 4 3 5" xfId="6348"/>
    <cellStyle name="Normal 10 4 4 3 5 2" xfId="15175"/>
    <cellStyle name="Normal 10 4 4 3 5 3" xfId="25426"/>
    <cellStyle name="Normal 10 4 4 3 6" xfId="7794"/>
    <cellStyle name="Normal 10 4 4 3 6 2" xfId="20633"/>
    <cellStyle name="Normal 10 4 4 3 7" xfId="16435"/>
    <cellStyle name="Normal 10 4 4 4" xfId="2964"/>
    <cellStyle name="Normal 10 4 4 4 2" xfId="5342"/>
    <cellStyle name="Normal 10 4 4 4 2 2" xfId="14179"/>
    <cellStyle name="Normal 10 4 4 4 2 2 2" xfId="24430"/>
    <cellStyle name="Normal 10 4 4 4 2 3" xfId="10600"/>
    <cellStyle name="Normal 10 4 4 4 2 4" xfId="19423"/>
    <cellStyle name="Normal 10 4 4 4 3" xfId="6797"/>
    <cellStyle name="Normal 10 4 4 4 3 2" xfId="15624"/>
    <cellStyle name="Normal 10 4 4 4 3 3" xfId="25875"/>
    <cellStyle name="Normal 10 4 4 4 4" xfId="8243"/>
    <cellStyle name="Normal 10 4 4 4 4 2" xfId="22325"/>
    <cellStyle name="Normal 10 4 4 4 5" xfId="17318"/>
    <cellStyle name="Normal 10 4 4 5" xfId="4298"/>
    <cellStyle name="Normal 10 4 4 5 2" xfId="13136"/>
    <cellStyle name="Normal 10 4 4 5 2 2" xfId="23387"/>
    <cellStyle name="Normal 10 4 4 5 3" xfId="9557"/>
    <cellStyle name="Normal 10 4 4 5 4" xfId="18380"/>
    <cellStyle name="Normal 10 4 4 6" xfId="1570"/>
    <cellStyle name="Normal 10 4 4 6 2" xfId="10947"/>
    <cellStyle name="Normal 10 4 4 6 3" xfId="20951"/>
    <cellStyle name="Normal 10 4 4 7" xfId="5754"/>
    <cellStyle name="Normal 10 4 4 7 2" xfId="14581"/>
    <cellStyle name="Normal 10 4 4 7 3" xfId="24832"/>
    <cellStyle name="Normal 10 4 4 8" xfId="7198"/>
    <cellStyle name="Normal 10 4 4 8 2" xfId="19924"/>
    <cellStyle name="Normal 10 4 4 9" xfId="15944"/>
    <cellStyle name="Normal 10 4 4_Degree data" xfId="3472"/>
    <cellStyle name="Normal 10 4 5" xfId="319"/>
    <cellStyle name="Normal 10 4 5 2" xfId="2805"/>
    <cellStyle name="Normal 10 4 5 2 2" xfId="12109"/>
    <cellStyle name="Normal 10 4 5 2 2 2" xfId="22166"/>
    <cellStyle name="Normal 10 4 5 2 3" xfId="8540"/>
    <cellStyle name="Normal 10 4 5 2 4" xfId="17159"/>
    <cellStyle name="Normal 10 4 5 3" xfId="4539"/>
    <cellStyle name="Normal 10 4 5 3 2" xfId="13377"/>
    <cellStyle name="Normal 10 4 5 3 2 2" xfId="23628"/>
    <cellStyle name="Normal 10 4 5 3 3" xfId="9798"/>
    <cellStyle name="Normal 10 4 5 3 4" xfId="18621"/>
    <cellStyle name="Normal 10 4 5 4" xfId="1914"/>
    <cellStyle name="Normal 10 4 5 4 2" xfId="11279"/>
    <cellStyle name="Normal 10 4 5 4 3" xfId="21283"/>
    <cellStyle name="Normal 10 4 5 5" xfId="5995"/>
    <cellStyle name="Normal 10 4 5 5 2" xfId="14822"/>
    <cellStyle name="Normal 10 4 5 5 3" xfId="25073"/>
    <cellStyle name="Normal 10 4 5 6" xfId="7439"/>
    <cellStyle name="Normal 10 4 5 6 2" xfId="19765"/>
    <cellStyle name="Normal 10 4 5 7" xfId="16276"/>
    <cellStyle name="Normal 10 4 6" xfId="724"/>
    <cellStyle name="Normal 10 4 6 2" xfId="3210"/>
    <cellStyle name="Normal 10 4 6 2 2" xfId="12353"/>
    <cellStyle name="Normal 10 4 6 2 2 2" xfId="22571"/>
    <cellStyle name="Normal 10 4 6 2 3" xfId="8775"/>
    <cellStyle name="Normal 10 4 6 2 4" xfId="17564"/>
    <cellStyle name="Normal 10 4 6 3" xfId="4888"/>
    <cellStyle name="Normal 10 4 6 3 2" xfId="13725"/>
    <cellStyle name="Normal 10 4 6 3 2 2" xfId="23976"/>
    <cellStyle name="Normal 10 4 6 3 3" xfId="10146"/>
    <cellStyle name="Normal 10 4 6 3 4" xfId="18969"/>
    <cellStyle name="Normal 10 4 6 4" xfId="2319"/>
    <cellStyle name="Normal 10 4 6 4 2" xfId="11684"/>
    <cellStyle name="Normal 10 4 6 4 3" xfId="21688"/>
    <cellStyle name="Normal 10 4 6 5" xfId="6343"/>
    <cellStyle name="Normal 10 4 6 5 2" xfId="15170"/>
    <cellStyle name="Normal 10 4 6 5 3" xfId="25421"/>
    <cellStyle name="Normal 10 4 6 6" xfId="7789"/>
    <cellStyle name="Normal 10 4 6 6 2" xfId="20170"/>
    <cellStyle name="Normal 10 4 6 7" xfId="16681"/>
    <cellStyle name="Normal 10 4 7" xfId="1091"/>
    <cellStyle name="Normal 10 4 7 2" xfId="3520"/>
    <cellStyle name="Normal 10 4 7 2 2" xfId="12656"/>
    <cellStyle name="Normal 10 4 7 2 2 2" xfId="22875"/>
    <cellStyle name="Normal 10 4 7 2 3" xfId="9078"/>
    <cellStyle name="Normal 10 4 7 2 4" xfId="17868"/>
    <cellStyle name="Normal 10 4 7 3" xfId="5183"/>
    <cellStyle name="Normal 10 4 7 3 2" xfId="14020"/>
    <cellStyle name="Normal 10 4 7 3 2 2" xfId="24271"/>
    <cellStyle name="Normal 10 4 7 3 3" xfId="10441"/>
    <cellStyle name="Normal 10 4 7 3 4" xfId="19264"/>
    <cellStyle name="Normal 10 4 7 4" xfId="1749"/>
    <cellStyle name="Normal 10 4 7 4 2" xfId="11120"/>
    <cellStyle name="Normal 10 4 7 4 3" xfId="21124"/>
    <cellStyle name="Normal 10 4 7 5" xfId="6638"/>
    <cellStyle name="Normal 10 4 7 5 2" xfId="15465"/>
    <cellStyle name="Normal 10 4 7 5 3" xfId="25716"/>
    <cellStyle name="Normal 10 4 7 6" xfId="8084"/>
    <cellStyle name="Normal 10 4 7 6 2" xfId="20474"/>
    <cellStyle name="Normal 10 4 7 7" xfId="16117"/>
    <cellStyle name="Normal 10 4 8" xfId="2647"/>
    <cellStyle name="Normal 10 4 8 2" xfId="5595"/>
    <cellStyle name="Normal 10 4 8 2 2" xfId="14422"/>
    <cellStyle name="Normal 10 4 8 2 3" xfId="24673"/>
    <cellStyle name="Normal 10 4 8 3" xfId="7039"/>
    <cellStyle name="Normal 10 4 8 3 2" xfId="22008"/>
    <cellStyle name="Normal 10 4 8 4" xfId="17001"/>
    <cellStyle name="Normal 10 4 9" xfId="4137"/>
    <cellStyle name="Normal 10 4 9 2" xfId="12975"/>
    <cellStyle name="Normal 10 4 9 2 2" xfId="23226"/>
    <cellStyle name="Normal 10 4 9 3" xfId="9396"/>
    <cellStyle name="Normal 10 4 9 4" xfId="18219"/>
    <cellStyle name="Normal 10 4_Degree data" xfId="3915"/>
    <cellStyle name="Normal 10 5" xfId="184"/>
    <cellStyle name="Normal 10 5 10" xfId="7132"/>
    <cellStyle name="Normal 10 5 10 2" xfId="19641"/>
    <cellStyle name="Normal 10 5 11" xfId="15878"/>
    <cellStyle name="Normal 10 5 2" xfId="512"/>
    <cellStyle name="Normal 10 5 2 2" xfId="731"/>
    <cellStyle name="Normal 10 5 2 2 2" xfId="3217"/>
    <cellStyle name="Normal 10 5 2 2 2 2" xfId="12360"/>
    <cellStyle name="Normal 10 5 2 2 2 2 2" xfId="22578"/>
    <cellStyle name="Normal 10 5 2 2 2 3" xfId="8782"/>
    <cellStyle name="Normal 10 5 2 2 2 4" xfId="17571"/>
    <cellStyle name="Normal 10 5 2 2 3" xfId="4546"/>
    <cellStyle name="Normal 10 5 2 2 3 2" xfId="13384"/>
    <cellStyle name="Normal 10 5 2 2 3 2 2" xfId="23635"/>
    <cellStyle name="Normal 10 5 2 2 3 3" xfId="9805"/>
    <cellStyle name="Normal 10 5 2 2 3 4" xfId="18628"/>
    <cellStyle name="Normal 10 5 2 2 4" xfId="2326"/>
    <cellStyle name="Normal 10 5 2 2 4 2" xfId="11691"/>
    <cellStyle name="Normal 10 5 2 2 4 3" xfId="21695"/>
    <cellStyle name="Normal 10 5 2 2 5" xfId="6002"/>
    <cellStyle name="Normal 10 5 2 2 5 2" xfId="14829"/>
    <cellStyle name="Normal 10 5 2 2 5 3" xfId="25080"/>
    <cellStyle name="Normal 10 5 2 2 6" xfId="7446"/>
    <cellStyle name="Normal 10 5 2 2 6 2" xfId="20177"/>
    <cellStyle name="Normal 10 5 2 2 7" xfId="16688"/>
    <cellStyle name="Normal 10 5 2 3" xfId="1284"/>
    <cellStyle name="Normal 10 5 2 3 2" xfId="3713"/>
    <cellStyle name="Normal 10 5 2 3 2 2" xfId="12849"/>
    <cellStyle name="Normal 10 5 2 3 2 2 2" xfId="23068"/>
    <cellStyle name="Normal 10 5 2 3 2 3" xfId="9270"/>
    <cellStyle name="Normal 10 5 2 3 2 4" xfId="18061"/>
    <cellStyle name="Normal 10 5 2 3 3" xfId="4895"/>
    <cellStyle name="Normal 10 5 2 3 3 2" xfId="13732"/>
    <cellStyle name="Normal 10 5 2 3 3 2 2" xfId="23983"/>
    <cellStyle name="Normal 10 5 2 3 3 3" xfId="10153"/>
    <cellStyle name="Normal 10 5 2 3 3 4" xfId="18976"/>
    <cellStyle name="Normal 10 5 2 3 4" xfId="2107"/>
    <cellStyle name="Normal 10 5 2 3 4 2" xfId="11472"/>
    <cellStyle name="Normal 10 5 2 3 4 3" xfId="21476"/>
    <cellStyle name="Normal 10 5 2 3 5" xfId="6350"/>
    <cellStyle name="Normal 10 5 2 3 5 2" xfId="15177"/>
    <cellStyle name="Normal 10 5 2 3 5 3" xfId="25428"/>
    <cellStyle name="Normal 10 5 2 3 6" xfId="7796"/>
    <cellStyle name="Normal 10 5 2 3 6 2" xfId="20667"/>
    <cellStyle name="Normal 10 5 2 3 7" xfId="16469"/>
    <cellStyle name="Normal 10 5 2 4" xfId="2998"/>
    <cellStyle name="Normal 10 5 2 4 2" xfId="5376"/>
    <cellStyle name="Normal 10 5 2 4 2 2" xfId="14213"/>
    <cellStyle name="Normal 10 5 2 4 2 2 2" xfId="24464"/>
    <cellStyle name="Normal 10 5 2 4 2 3" xfId="10634"/>
    <cellStyle name="Normal 10 5 2 4 2 4" xfId="19457"/>
    <cellStyle name="Normal 10 5 2 4 3" xfId="6831"/>
    <cellStyle name="Normal 10 5 2 4 3 2" xfId="15658"/>
    <cellStyle name="Normal 10 5 2 4 3 3" xfId="25909"/>
    <cellStyle name="Normal 10 5 2 4 4" xfId="8277"/>
    <cellStyle name="Normal 10 5 2 4 4 2" xfId="22359"/>
    <cellStyle name="Normal 10 5 2 4 5" xfId="17352"/>
    <cellStyle name="Normal 10 5 2 5" xfId="4332"/>
    <cellStyle name="Normal 10 5 2 5 2" xfId="13170"/>
    <cellStyle name="Normal 10 5 2 5 2 2" xfId="23421"/>
    <cellStyle name="Normal 10 5 2 5 3" xfId="9591"/>
    <cellStyle name="Normal 10 5 2 5 4" xfId="18414"/>
    <cellStyle name="Normal 10 5 2 6" xfId="1604"/>
    <cellStyle name="Normal 10 5 2 6 2" xfId="10981"/>
    <cellStyle name="Normal 10 5 2 6 3" xfId="20985"/>
    <cellStyle name="Normal 10 5 2 7" xfId="5788"/>
    <cellStyle name="Normal 10 5 2 7 2" xfId="14615"/>
    <cellStyle name="Normal 10 5 2 7 3" xfId="24866"/>
    <cellStyle name="Normal 10 5 2 8" xfId="7232"/>
    <cellStyle name="Normal 10 5 2 8 2" xfId="19958"/>
    <cellStyle name="Normal 10 5 2 9" xfId="15978"/>
    <cellStyle name="Normal 10 5 2_Degree data" xfId="3837"/>
    <cellStyle name="Normal 10 5 3" xfId="412"/>
    <cellStyle name="Normal 10 5 3 2" xfId="2898"/>
    <cellStyle name="Normal 10 5 3 2 2" xfId="12186"/>
    <cellStyle name="Normal 10 5 3 2 2 2" xfId="22259"/>
    <cellStyle name="Normal 10 5 3 2 3" xfId="8392"/>
    <cellStyle name="Normal 10 5 3 2 4" xfId="17252"/>
    <cellStyle name="Normal 10 5 3 3" xfId="4545"/>
    <cellStyle name="Normal 10 5 3 3 2" xfId="13383"/>
    <cellStyle name="Normal 10 5 3 3 2 2" xfId="23634"/>
    <cellStyle name="Normal 10 5 3 3 3" xfId="9804"/>
    <cellStyle name="Normal 10 5 3 3 4" xfId="18627"/>
    <cellStyle name="Normal 10 5 3 4" xfId="2007"/>
    <cellStyle name="Normal 10 5 3 4 2" xfId="11372"/>
    <cellStyle name="Normal 10 5 3 4 3" xfId="21376"/>
    <cellStyle name="Normal 10 5 3 5" xfId="6001"/>
    <cellStyle name="Normal 10 5 3 5 2" xfId="14828"/>
    <cellStyle name="Normal 10 5 3 5 3" xfId="25079"/>
    <cellStyle name="Normal 10 5 3 6" xfId="7445"/>
    <cellStyle name="Normal 10 5 3 6 2" xfId="19858"/>
    <cellStyle name="Normal 10 5 3 7" xfId="16369"/>
    <cellStyle name="Normal 10 5 4" xfId="730"/>
    <cellStyle name="Normal 10 5 4 2" xfId="3216"/>
    <cellStyle name="Normal 10 5 4 2 2" xfId="12359"/>
    <cellStyle name="Normal 10 5 4 2 2 2" xfId="22577"/>
    <cellStyle name="Normal 10 5 4 2 3" xfId="8781"/>
    <cellStyle name="Normal 10 5 4 2 4" xfId="17570"/>
    <cellStyle name="Normal 10 5 4 3" xfId="4894"/>
    <cellStyle name="Normal 10 5 4 3 2" xfId="13731"/>
    <cellStyle name="Normal 10 5 4 3 2 2" xfId="23982"/>
    <cellStyle name="Normal 10 5 4 3 3" xfId="10152"/>
    <cellStyle name="Normal 10 5 4 3 4" xfId="18975"/>
    <cellStyle name="Normal 10 5 4 4" xfId="2325"/>
    <cellStyle name="Normal 10 5 4 4 2" xfId="11690"/>
    <cellStyle name="Normal 10 5 4 4 3" xfId="21694"/>
    <cellStyle name="Normal 10 5 4 5" xfId="6349"/>
    <cellStyle name="Normal 10 5 4 5 2" xfId="15176"/>
    <cellStyle name="Normal 10 5 4 5 3" xfId="25427"/>
    <cellStyle name="Normal 10 5 4 6" xfId="7795"/>
    <cellStyle name="Normal 10 5 4 6 2" xfId="20176"/>
    <cellStyle name="Normal 10 5 4 7" xfId="16687"/>
    <cellStyle name="Normal 10 5 5" xfId="1184"/>
    <cellStyle name="Normal 10 5 5 2" xfId="3613"/>
    <cellStyle name="Normal 10 5 5 2 2" xfId="12749"/>
    <cellStyle name="Normal 10 5 5 2 2 2" xfId="22968"/>
    <cellStyle name="Normal 10 5 5 2 3" xfId="9170"/>
    <cellStyle name="Normal 10 5 5 2 4" xfId="17961"/>
    <cellStyle name="Normal 10 5 5 3" xfId="5276"/>
    <cellStyle name="Normal 10 5 5 3 2" xfId="14113"/>
    <cellStyle name="Normal 10 5 5 3 2 2" xfId="24364"/>
    <cellStyle name="Normal 10 5 5 3 3" xfId="10534"/>
    <cellStyle name="Normal 10 5 5 3 4" xfId="19357"/>
    <cellStyle name="Normal 10 5 5 4" xfId="1786"/>
    <cellStyle name="Normal 10 5 5 4 2" xfId="11155"/>
    <cellStyle name="Normal 10 5 5 4 3" xfId="21159"/>
    <cellStyle name="Normal 10 5 5 5" xfId="6731"/>
    <cellStyle name="Normal 10 5 5 5 2" xfId="15558"/>
    <cellStyle name="Normal 10 5 5 5 3" xfId="25809"/>
    <cellStyle name="Normal 10 5 5 6" xfId="8177"/>
    <cellStyle name="Normal 10 5 5 6 2" xfId="20567"/>
    <cellStyle name="Normal 10 5 5 7" xfId="16152"/>
    <cellStyle name="Normal 10 5 6" xfId="2681"/>
    <cellStyle name="Normal 10 5 6 2" xfId="11998"/>
    <cellStyle name="Normal 10 5 6 2 2" xfId="22042"/>
    <cellStyle name="Normal 10 5 6 3" xfId="8398"/>
    <cellStyle name="Normal 10 5 6 4" xfId="17035"/>
    <cellStyle name="Normal 10 5 7" xfId="4232"/>
    <cellStyle name="Normal 10 5 7 2" xfId="13070"/>
    <cellStyle name="Normal 10 5 7 2 2" xfId="23321"/>
    <cellStyle name="Normal 10 5 7 3" xfId="9491"/>
    <cellStyle name="Normal 10 5 7 4" xfId="18314"/>
    <cellStyle name="Normal 10 5 8" xfId="1504"/>
    <cellStyle name="Normal 10 5 8 2" xfId="10881"/>
    <cellStyle name="Normal 10 5 8 3" xfId="20885"/>
    <cellStyle name="Normal 10 5 9" xfId="5688"/>
    <cellStyle name="Normal 10 5 9 2" xfId="14515"/>
    <cellStyle name="Normal 10 5 9 3" xfId="24766"/>
    <cellStyle name="Normal 10 5_Degree data" xfId="3835"/>
    <cellStyle name="Normal 10 6" xfId="705"/>
    <cellStyle name="Normal 10 6 2" xfId="3191"/>
    <cellStyle name="Normal 10 6 2 2" xfId="12334"/>
    <cellStyle name="Normal 10 6 2 2 2" xfId="22552"/>
    <cellStyle name="Normal 10 6 2 3" xfId="8756"/>
    <cellStyle name="Normal 10 6 2 4" xfId="17545"/>
    <cellStyle name="Normal 10 6 3" xfId="4520"/>
    <cellStyle name="Normal 10 6 3 2" xfId="13358"/>
    <cellStyle name="Normal 10 6 3 2 2" xfId="23609"/>
    <cellStyle name="Normal 10 6 3 3" xfId="9779"/>
    <cellStyle name="Normal 10 6 3 4" xfId="18602"/>
    <cellStyle name="Normal 10 6 4" xfId="2300"/>
    <cellStyle name="Normal 10 6 4 2" xfId="11665"/>
    <cellStyle name="Normal 10 6 4 3" xfId="21669"/>
    <cellStyle name="Normal 10 6 5" xfId="5976"/>
    <cellStyle name="Normal 10 6 5 2" xfId="14803"/>
    <cellStyle name="Normal 10 6 5 3" xfId="25054"/>
    <cellStyle name="Normal 10 6 6" xfId="7420"/>
    <cellStyle name="Normal 10 6 6 2" xfId="20151"/>
    <cellStyle name="Normal 10 6 7" xfId="16662"/>
    <cellStyle name="Normal 10 7" xfId="1048"/>
    <cellStyle name="Normal 10 7 2" xfId="3477"/>
    <cellStyle name="Normal 10 7 2 2" xfId="12613"/>
    <cellStyle name="Normal 10 7 2 2 2" xfId="22832"/>
    <cellStyle name="Normal 10 7 2 3" xfId="9035"/>
    <cellStyle name="Normal 10 7 2 4" xfId="17825"/>
    <cellStyle name="Normal 10 7 3" xfId="4869"/>
    <cellStyle name="Normal 10 7 3 2" xfId="13706"/>
    <cellStyle name="Normal 10 7 3 2 2" xfId="23957"/>
    <cellStyle name="Normal 10 7 3 3" xfId="10127"/>
    <cellStyle name="Normal 10 7 3 4" xfId="18950"/>
    <cellStyle name="Normal 10 7 4" xfId="2590"/>
    <cellStyle name="Normal 10 7 4 2" xfId="11954"/>
    <cellStyle name="Normal 10 7 4 3" xfId="21958"/>
    <cellStyle name="Normal 10 7 5" xfId="6324"/>
    <cellStyle name="Normal 10 7 5 2" xfId="15151"/>
    <cellStyle name="Normal 10 7 5 3" xfId="25402"/>
    <cellStyle name="Normal 10 7 6" xfId="7770"/>
    <cellStyle name="Normal 10 7 6 2" xfId="20431"/>
    <cellStyle name="Normal 10 7 7" xfId="16951"/>
    <cellStyle name="Normal 10 8" xfId="3908"/>
    <cellStyle name="Normal 10 8 2" xfId="5140"/>
    <cellStyle name="Normal 10 8 2 2" xfId="13977"/>
    <cellStyle name="Normal 10 8 2 2 2" xfId="24228"/>
    <cellStyle name="Normal 10 8 2 3" xfId="10398"/>
    <cellStyle name="Normal 10 8 2 4" xfId="19221"/>
    <cellStyle name="Normal 10 8 3" xfId="6595"/>
    <cellStyle name="Normal 10 8 3 2" xfId="15422"/>
    <cellStyle name="Normal 10 8 3 3" xfId="25673"/>
    <cellStyle name="Normal 10 8 4" xfId="8041"/>
    <cellStyle name="Normal 10 8 4 2" xfId="23178"/>
    <cellStyle name="Normal 10 8 5" xfId="18171"/>
    <cellStyle name="Normal 10 9" xfId="4093"/>
    <cellStyle name="Normal 10 9 2" xfId="5552"/>
    <cellStyle name="Normal 10 9 2 2" xfId="14379"/>
    <cellStyle name="Normal 10 9 2 3" xfId="24630"/>
    <cellStyle name="Normal 10 9 3" xfId="6996"/>
    <cellStyle name="Normal 10 9 3 2" xfId="23182"/>
    <cellStyle name="Normal 10 9 4" xfId="18175"/>
    <cellStyle name="Normal 10_Degree data" xfId="3824"/>
    <cellStyle name="Normal 100" xfId="5504"/>
    <cellStyle name="Normal 101" xfId="6940"/>
    <cellStyle name="Normal 101 2" xfId="10754"/>
    <cellStyle name="Normal 102" xfId="6942"/>
    <cellStyle name="Normal 102 2" xfId="10771"/>
    <cellStyle name="Normal 103" xfId="15767"/>
    <cellStyle name="Normal 104" xfId="6941"/>
    <cellStyle name="Normal 105" xfId="6977"/>
    <cellStyle name="Normal 106" xfId="15768"/>
    <cellStyle name="Normal 109" xfId="26026"/>
    <cellStyle name="Normal 11" xfId="22"/>
    <cellStyle name="Normal 111" xfId="26027"/>
    <cellStyle name="Normal 112" xfId="26028"/>
    <cellStyle name="Normal 113" xfId="26029"/>
    <cellStyle name="Normal 114" xfId="26030"/>
    <cellStyle name="Normal 12" xfId="13"/>
    <cellStyle name="Normal 12 2" xfId="40"/>
    <cellStyle name="Normal 12 3" xfId="157"/>
    <cellStyle name="Normal 13" xfId="30"/>
    <cellStyle name="Normal 13 2" xfId="41"/>
    <cellStyle name="Normal 13 3" xfId="69"/>
    <cellStyle name="Normal 13 3 2" xfId="127"/>
    <cellStyle name="Normal 13 3 3" xfId="229"/>
    <cellStyle name="Normal 14" xfId="11"/>
    <cellStyle name="Normal 14 2" xfId="39"/>
    <cellStyle name="Normal 14 3" xfId="156"/>
    <cellStyle name="Normal 141" xfId="26019"/>
    <cellStyle name="Normal 142" xfId="26020"/>
    <cellStyle name="Normal 143" xfId="26021"/>
    <cellStyle name="Normal 144" xfId="26022"/>
    <cellStyle name="Normal 145" xfId="26023"/>
    <cellStyle name="Normal 146" xfId="26024"/>
    <cellStyle name="Normal 147" xfId="26025"/>
    <cellStyle name="Normal 15" xfId="12"/>
    <cellStyle name="Normal 15 2" xfId="732"/>
    <cellStyle name="Normal 15 2 2" xfId="1392"/>
    <cellStyle name="Normal 15 2 2 2" xfId="3821"/>
    <cellStyle name="Normal 15 2 2 2 2" xfId="12957"/>
    <cellStyle name="Normal 15 2 2 2 2 2" xfId="23176"/>
    <cellStyle name="Normal 15 2 2 2 3" xfId="9378"/>
    <cellStyle name="Normal 15 2 2 2 4" xfId="18169"/>
    <cellStyle name="Normal 15 2 2 3" xfId="4896"/>
    <cellStyle name="Normal 15 2 2 3 2" xfId="13733"/>
    <cellStyle name="Normal 15 2 2 3 2 2" xfId="23984"/>
    <cellStyle name="Normal 15 2 2 3 3" xfId="10154"/>
    <cellStyle name="Normal 15 2 2 3 4" xfId="18977"/>
    <cellStyle name="Normal 15 2 2 4" xfId="2587"/>
    <cellStyle name="Normal 15 2 2 4 2" xfId="11951"/>
    <cellStyle name="Normal 15 2 2 4 3" xfId="21955"/>
    <cellStyle name="Normal 15 2 2 5" xfId="6351"/>
    <cellStyle name="Normal 15 2 2 5 2" xfId="15178"/>
    <cellStyle name="Normal 15 2 2 5 3" xfId="25429"/>
    <cellStyle name="Normal 15 2 2 6" xfId="7797"/>
    <cellStyle name="Normal 15 2 2 6 2" xfId="20775"/>
    <cellStyle name="Normal 15 2 2 7" xfId="16948"/>
    <cellStyle name="Normal 15 2 3" xfId="3218"/>
    <cellStyle name="Normal 15 2 3 2" xfId="5484"/>
    <cellStyle name="Normal 15 2 3 2 2" xfId="14321"/>
    <cellStyle name="Normal 15 2 3 2 2 2" xfId="24572"/>
    <cellStyle name="Normal 15 2 3 2 3" xfId="10742"/>
    <cellStyle name="Normal 15 2 3 2 4" xfId="19565"/>
    <cellStyle name="Normal 15 2 3 3" xfId="6939"/>
    <cellStyle name="Normal 15 2 3 3 2" xfId="15766"/>
    <cellStyle name="Normal 15 2 3 3 3" xfId="26017"/>
    <cellStyle name="Normal 15 2 3 4" xfId="8385"/>
    <cellStyle name="Normal 15 2 3 4 2" xfId="22579"/>
    <cellStyle name="Normal 15 2 3 5" xfId="17572"/>
    <cellStyle name="Normal 15 2 4" xfId="4547"/>
    <cellStyle name="Normal 15 2 4 2" xfId="13385"/>
    <cellStyle name="Normal 15 2 4 2 2" xfId="23636"/>
    <cellStyle name="Normal 15 2 4 3" xfId="9806"/>
    <cellStyle name="Normal 15 2 4 4" xfId="18629"/>
    <cellStyle name="Normal 15 2 5" xfId="2327"/>
    <cellStyle name="Normal 15 2 5 2" xfId="11692"/>
    <cellStyle name="Normal 15 2 5 3" xfId="21696"/>
    <cellStyle name="Normal 15 2 6" xfId="6003"/>
    <cellStyle name="Normal 15 2 6 2" xfId="14830"/>
    <cellStyle name="Normal 15 2 6 3" xfId="25081"/>
    <cellStyle name="Normal 15 2 7" xfId="7447"/>
    <cellStyle name="Normal 15 2 7 2" xfId="20178"/>
    <cellStyle name="Normal 15 2 8" xfId="16689"/>
    <cellStyle name="Normal 15 2_Degree data" xfId="3933"/>
    <cellStyle name="Normal 16" xfId="70"/>
    <cellStyle name="Normal 165" xfId="26064"/>
    <cellStyle name="Normal 166" xfId="26065"/>
    <cellStyle name="Normal 167" xfId="26066"/>
    <cellStyle name="Normal 168" xfId="26063"/>
    <cellStyle name="Normal 17" xfId="71"/>
    <cellStyle name="Normal 18" xfId="72"/>
    <cellStyle name="Normal 19" xfId="105"/>
    <cellStyle name="Normal 19 2" xfId="129"/>
    <cellStyle name="Normal 19 3" xfId="124"/>
    <cellStyle name="Normal 192" xfId="26032"/>
    <cellStyle name="Normal 193" xfId="26033"/>
    <cellStyle name="Normal 194" xfId="26034"/>
    <cellStyle name="Normal 194 2" xfId="26043"/>
    <cellStyle name="Normal 195" xfId="26035"/>
    <cellStyle name="Normal 196" xfId="26036"/>
    <cellStyle name="Normal 197" xfId="26037"/>
    <cellStyle name="Normal 198" xfId="26038"/>
    <cellStyle name="Normal 2" xfId="10"/>
    <cellStyle name="Normal 2 2" xfId="33"/>
    <cellStyle name="Normal 2 2 2" xfId="55"/>
    <cellStyle name="Normal 2 3" xfId="54"/>
    <cellStyle name="Normal 2 3 2" xfId="56"/>
    <cellStyle name="Normal 2 4" xfId="66"/>
    <cellStyle name="Normal 2 4 2" xfId="294"/>
    <cellStyle name="Normal 2 5" xfId="57"/>
    <cellStyle name="Normal 2 5 10" xfId="306"/>
    <cellStyle name="Normal 2 5 10 2" xfId="734"/>
    <cellStyle name="Normal 2 5 10 2 2" xfId="3220"/>
    <cellStyle name="Normal 2 5 10 2 2 2" xfId="12362"/>
    <cellStyle name="Normal 2 5 10 2 2 2 2" xfId="22581"/>
    <cellStyle name="Normal 2 5 10 2 2 3" xfId="8784"/>
    <cellStyle name="Normal 2 5 10 2 2 4" xfId="17574"/>
    <cellStyle name="Normal 2 5 10 2 3" xfId="4549"/>
    <cellStyle name="Normal 2 5 10 2 3 2" xfId="13387"/>
    <cellStyle name="Normal 2 5 10 2 3 2 2" xfId="23638"/>
    <cellStyle name="Normal 2 5 10 2 3 3" xfId="9808"/>
    <cellStyle name="Normal 2 5 10 2 3 4" xfId="18631"/>
    <cellStyle name="Normal 2 5 10 2 4" xfId="2329"/>
    <cellStyle name="Normal 2 5 10 2 4 2" xfId="11694"/>
    <cellStyle name="Normal 2 5 10 2 4 3" xfId="21698"/>
    <cellStyle name="Normal 2 5 10 2 5" xfId="6005"/>
    <cellStyle name="Normal 2 5 10 2 5 2" xfId="14832"/>
    <cellStyle name="Normal 2 5 10 2 5 3" xfId="25083"/>
    <cellStyle name="Normal 2 5 10 2 6" xfId="7449"/>
    <cellStyle name="Normal 2 5 10 2 6 2" xfId="20180"/>
    <cellStyle name="Normal 2 5 10 2 7" xfId="16691"/>
    <cellStyle name="Normal 2 5 10 3" xfId="1078"/>
    <cellStyle name="Normal 2 5 10 3 2" xfId="3507"/>
    <cellStyle name="Normal 2 5 10 3 2 2" xfId="12643"/>
    <cellStyle name="Normal 2 5 10 3 2 2 2" xfId="22862"/>
    <cellStyle name="Normal 2 5 10 3 2 3" xfId="9065"/>
    <cellStyle name="Normal 2 5 10 3 2 4" xfId="17855"/>
    <cellStyle name="Normal 2 5 10 3 3" xfId="4898"/>
    <cellStyle name="Normal 2 5 10 3 3 2" xfId="13735"/>
    <cellStyle name="Normal 2 5 10 3 3 2 2" xfId="23986"/>
    <cellStyle name="Normal 2 5 10 3 3 3" xfId="10156"/>
    <cellStyle name="Normal 2 5 10 3 3 4" xfId="18979"/>
    <cellStyle name="Normal 2 5 10 3 4" xfId="2581"/>
    <cellStyle name="Normal 2 5 10 3 4 2" xfId="11945"/>
    <cellStyle name="Normal 2 5 10 3 4 3" xfId="21949"/>
    <cellStyle name="Normal 2 5 10 3 5" xfId="6353"/>
    <cellStyle name="Normal 2 5 10 3 5 2" xfId="15180"/>
    <cellStyle name="Normal 2 5 10 3 5 3" xfId="25431"/>
    <cellStyle name="Normal 2 5 10 3 6" xfId="7799"/>
    <cellStyle name="Normal 2 5 10 3 6 2" xfId="20461"/>
    <cellStyle name="Normal 2 5 10 3 7" xfId="16942"/>
    <cellStyle name="Normal 2 5 10 4" xfId="2792"/>
    <cellStyle name="Normal 2 5 10 4 2" xfId="5170"/>
    <cellStyle name="Normal 2 5 10 4 2 2" xfId="14007"/>
    <cellStyle name="Normal 2 5 10 4 2 2 2" xfId="24258"/>
    <cellStyle name="Normal 2 5 10 4 2 3" xfId="10428"/>
    <cellStyle name="Normal 2 5 10 4 2 4" xfId="19251"/>
    <cellStyle name="Normal 2 5 10 4 3" xfId="6625"/>
    <cellStyle name="Normal 2 5 10 4 3 2" xfId="15452"/>
    <cellStyle name="Normal 2 5 10 4 3 3" xfId="25703"/>
    <cellStyle name="Normal 2 5 10 4 4" xfId="8071"/>
    <cellStyle name="Normal 2 5 10 4 4 2" xfId="22153"/>
    <cellStyle name="Normal 2 5 10 4 5" xfId="17146"/>
    <cellStyle name="Normal 2 5 10 5" xfId="4124"/>
    <cellStyle name="Normal 2 5 10 5 2" xfId="12962"/>
    <cellStyle name="Normal 2 5 10 5 2 2" xfId="23213"/>
    <cellStyle name="Normal 2 5 10 5 3" xfId="9383"/>
    <cellStyle name="Normal 2 5 10 5 4" xfId="18206"/>
    <cellStyle name="Normal 2 5 10 6" xfId="1901"/>
    <cellStyle name="Normal 2 5 10 6 2" xfId="11266"/>
    <cellStyle name="Normal 2 5 10 6 3" xfId="21270"/>
    <cellStyle name="Normal 2 5 10 7" xfId="5582"/>
    <cellStyle name="Normal 2 5 10 7 2" xfId="14409"/>
    <cellStyle name="Normal 2 5 10 7 3" xfId="24660"/>
    <cellStyle name="Normal 2 5 10 8" xfId="7026"/>
    <cellStyle name="Normal 2 5 10 8 2" xfId="19752"/>
    <cellStyle name="Normal 2 5 10 9" xfId="16263"/>
    <cellStyle name="Normal 2 5 10_Degree data" xfId="3930"/>
    <cellStyle name="Normal 2 5 11" xfId="733"/>
    <cellStyle name="Normal 2 5 11 2" xfId="3219"/>
    <cellStyle name="Normal 2 5 11 2 2" xfId="12361"/>
    <cellStyle name="Normal 2 5 11 2 2 2" xfId="22580"/>
    <cellStyle name="Normal 2 5 11 2 3" xfId="8783"/>
    <cellStyle name="Normal 2 5 11 2 4" xfId="17573"/>
    <cellStyle name="Normal 2 5 11 3" xfId="4548"/>
    <cellStyle name="Normal 2 5 11 3 2" xfId="13386"/>
    <cellStyle name="Normal 2 5 11 3 2 2" xfId="23637"/>
    <cellStyle name="Normal 2 5 11 3 3" xfId="9807"/>
    <cellStyle name="Normal 2 5 11 3 4" xfId="18630"/>
    <cellStyle name="Normal 2 5 11 4" xfId="2328"/>
    <cellStyle name="Normal 2 5 11 4 2" xfId="11693"/>
    <cellStyle name="Normal 2 5 11 4 3" xfId="21697"/>
    <cellStyle name="Normal 2 5 11 5" xfId="6004"/>
    <cellStyle name="Normal 2 5 11 5 2" xfId="14831"/>
    <cellStyle name="Normal 2 5 11 5 3" xfId="25082"/>
    <cellStyle name="Normal 2 5 11 6" xfId="7448"/>
    <cellStyle name="Normal 2 5 11 6 2" xfId="20179"/>
    <cellStyle name="Normal 2 5 11 7" xfId="16690"/>
    <cellStyle name="Normal 2 5 12" xfId="1046"/>
    <cellStyle name="Normal 2 5 12 2" xfId="3475"/>
    <cellStyle name="Normal 2 5 12 2 2" xfId="12611"/>
    <cellStyle name="Normal 2 5 12 2 2 2" xfId="22830"/>
    <cellStyle name="Normal 2 5 12 2 3" xfId="9033"/>
    <cellStyle name="Normal 2 5 12 2 4" xfId="17823"/>
    <cellStyle name="Normal 2 5 12 3" xfId="4897"/>
    <cellStyle name="Normal 2 5 12 3 2" xfId="13734"/>
    <cellStyle name="Normal 2 5 12 3 2 2" xfId="23985"/>
    <cellStyle name="Normal 2 5 12 3 3" xfId="10155"/>
    <cellStyle name="Normal 2 5 12 3 4" xfId="18978"/>
    <cellStyle name="Normal 2 5 12 4" xfId="1718"/>
    <cellStyle name="Normal 2 5 12 4 2" xfId="11095"/>
    <cellStyle name="Normal 2 5 12 4 3" xfId="21099"/>
    <cellStyle name="Normal 2 5 12 5" xfId="6352"/>
    <cellStyle name="Normal 2 5 12 5 2" xfId="15179"/>
    <cellStyle name="Normal 2 5 12 5 3" xfId="25430"/>
    <cellStyle name="Normal 2 5 12 6" xfId="7798"/>
    <cellStyle name="Normal 2 5 12 6 2" xfId="20429"/>
    <cellStyle name="Normal 2 5 12 7" xfId="16092"/>
    <cellStyle name="Normal 2 5 13" xfId="2618"/>
    <cellStyle name="Normal 2 5 13 2" xfId="5138"/>
    <cellStyle name="Normal 2 5 13 2 2" xfId="13975"/>
    <cellStyle name="Normal 2 5 13 2 2 2" xfId="24226"/>
    <cellStyle name="Normal 2 5 13 2 3" xfId="10396"/>
    <cellStyle name="Normal 2 5 13 2 4" xfId="19219"/>
    <cellStyle name="Normal 2 5 13 3" xfId="6593"/>
    <cellStyle name="Normal 2 5 13 3 2" xfId="15420"/>
    <cellStyle name="Normal 2 5 13 3 3" xfId="25671"/>
    <cellStyle name="Normal 2 5 13 4" xfId="8039"/>
    <cellStyle name="Normal 2 5 13 4 2" xfId="21982"/>
    <cellStyle name="Normal 2 5 13 5" xfId="16975"/>
    <cellStyle name="Normal 2 5 14" xfId="4091"/>
    <cellStyle name="Normal 2 5 14 2" xfId="5550"/>
    <cellStyle name="Normal 2 5 14 2 2" xfId="14377"/>
    <cellStyle name="Normal 2 5 14 2 3" xfId="24628"/>
    <cellStyle name="Normal 2 5 14 3" xfId="6994"/>
    <cellStyle name="Normal 2 5 14 3 2" xfId="23180"/>
    <cellStyle name="Normal 2 5 14 4" xfId="18173"/>
    <cellStyle name="Normal 2 5 15" xfId="1398"/>
    <cellStyle name="Normal 2 5 15 2" xfId="10775"/>
    <cellStyle name="Normal 2 5 15 3" xfId="20779"/>
    <cellStyle name="Normal 2 5 16" xfId="5510"/>
    <cellStyle name="Normal 2 5 16 2" xfId="14337"/>
    <cellStyle name="Normal 2 5 16 3" xfId="24588"/>
    <cellStyle name="Normal 2 5 17" xfId="6949"/>
    <cellStyle name="Normal 2 5 17 2" xfId="19582"/>
    <cellStyle name="Normal 2 5 18" xfId="15772"/>
    <cellStyle name="Normal 2 5 2" xfId="122"/>
    <cellStyle name="Normal 2 5 2 10" xfId="2632"/>
    <cellStyle name="Normal 2 5 2 10 2" xfId="5146"/>
    <cellStyle name="Normal 2 5 2 10 2 2" xfId="13983"/>
    <cellStyle name="Normal 2 5 2 10 2 2 2" xfId="24234"/>
    <cellStyle name="Normal 2 5 2 10 2 3" xfId="10404"/>
    <cellStyle name="Normal 2 5 2 10 2 4" xfId="19227"/>
    <cellStyle name="Normal 2 5 2 10 3" xfId="6601"/>
    <cellStyle name="Normal 2 5 2 10 3 2" xfId="15428"/>
    <cellStyle name="Normal 2 5 2 10 3 3" xfId="25679"/>
    <cellStyle name="Normal 2 5 2 10 4" xfId="8047"/>
    <cellStyle name="Normal 2 5 2 10 4 2" xfId="21995"/>
    <cellStyle name="Normal 2 5 2 10 5" xfId="16988"/>
    <cellStyle name="Normal 2 5 2 11" xfId="4100"/>
    <cellStyle name="Normal 2 5 2 11 2" xfId="5558"/>
    <cellStyle name="Normal 2 5 2 11 2 2" xfId="14385"/>
    <cellStyle name="Normal 2 5 2 11 2 3" xfId="24636"/>
    <cellStyle name="Normal 2 5 2 11 3" xfId="7002"/>
    <cellStyle name="Normal 2 5 2 11 3 2" xfId="23189"/>
    <cellStyle name="Normal 2 5 2 11 4" xfId="18182"/>
    <cellStyle name="Normal 2 5 2 12" xfId="1406"/>
    <cellStyle name="Normal 2 5 2 12 2" xfId="10783"/>
    <cellStyle name="Normal 2 5 2 12 3" xfId="20787"/>
    <cellStyle name="Normal 2 5 2 13" xfId="5518"/>
    <cellStyle name="Normal 2 5 2 13 2" xfId="14345"/>
    <cellStyle name="Normal 2 5 2 13 3" xfId="24596"/>
    <cellStyle name="Normal 2 5 2 14" xfId="6958"/>
    <cellStyle name="Normal 2 5 2 14 2" xfId="19595"/>
    <cellStyle name="Normal 2 5 2 15" xfId="15780"/>
    <cellStyle name="Normal 2 5 2 2" xfId="166"/>
    <cellStyle name="Normal 2 5 2 2 10" xfId="1431"/>
    <cellStyle name="Normal 2 5 2 2 10 2" xfId="10808"/>
    <cellStyle name="Normal 2 5 2 2 10 3" xfId="20812"/>
    <cellStyle name="Normal 2 5 2 2 11" xfId="5540"/>
    <cellStyle name="Normal 2 5 2 2 11 2" xfId="14367"/>
    <cellStyle name="Normal 2 5 2 2 11 3" xfId="24618"/>
    <cellStyle name="Normal 2 5 2 2 12" xfId="6984"/>
    <cellStyle name="Normal 2 5 2 2 12 2" xfId="19625"/>
    <cellStyle name="Normal 2 5 2 2 13" xfId="15805"/>
    <cellStyle name="Normal 2 5 2 2 2" xfId="213"/>
    <cellStyle name="Normal 2 5 2 2 2 10" xfId="7159"/>
    <cellStyle name="Normal 2 5 2 2 2 10 2" xfId="19668"/>
    <cellStyle name="Normal 2 5 2 2 2 11" xfId="15905"/>
    <cellStyle name="Normal 2 5 2 2 2 2" xfId="539"/>
    <cellStyle name="Normal 2 5 2 2 2 2 2" xfId="738"/>
    <cellStyle name="Normal 2 5 2 2 2 2 2 2" xfId="3224"/>
    <cellStyle name="Normal 2 5 2 2 2 2 2 2 2" xfId="12366"/>
    <cellStyle name="Normal 2 5 2 2 2 2 2 2 2 2" xfId="22585"/>
    <cellStyle name="Normal 2 5 2 2 2 2 2 2 3" xfId="8788"/>
    <cellStyle name="Normal 2 5 2 2 2 2 2 2 4" xfId="17578"/>
    <cellStyle name="Normal 2 5 2 2 2 2 2 3" xfId="4553"/>
    <cellStyle name="Normal 2 5 2 2 2 2 2 3 2" xfId="13391"/>
    <cellStyle name="Normal 2 5 2 2 2 2 2 3 2 2" xfId="23642"/>
    <cellStyle name="Normal 2 5 2 2 2 2 2 3 3" xfId="9812"/>
    <cellStyle name="Normal 2 5 2 2 2 2 2 3 4" xfId="18635"/>
    <cellStyle name="Normal 2 5 2 2 2 2 2 4" xfId="2333"/>
    <cellStyle name="Normal 2 5 2 2 2 2 2 4 2" xfId="11698"/>
    <cellStyle name="Normal 2 5 2 2 2 2 2 4 3" xfId="21702"/>
    <cellStyle name="Normal 2 5 2 2 2 2 2 5" xfId="6009"/>
    <cellStyle name="Normal 2 5 2 2 2 2 2 5 2" xfId="14836"/>
    <cellStyle name="Normal 2 5 2 2 2 2 2 5 3" xfId="25087"/>
    <cellStyle name="Normal 2 5 2 2 2 2 2 6" xfId="7453"/>
    <cellStyle name="Normal 2 5 2 2 2 2 2 6 2" xfId="20184"/>
    <cellStyle name="Normal 2 5 2 2 2 2 2 7" xfId="16695"/>
    <cellStyle name="Normal 2 5 2 2 2 2 3" xfId="1311"/>
    <cellStyle name="Normal 2 5 2 2 2 2 3 2" xfId="3740"/>
    <cellStyle name="Normal 2 5 2 2 2 2 3 2 2" xfId="12876"/>
    <cellStyle name="Normal 2 5 2 2 2 2 3 2 2 2" xfId="23095"/>
    <cellStyle name="Normal 2 5 2 2 2 2 3 2 3" xfId="9297"/>
    <cellStyle name="Normal 2 5 2 2 2 2 3 2 4" xfId="18088"/>
    <cellStyle name="Normal 2 5 2 2 2 2 3 3" xfId="4902"/>
    <cellStyle name="Normal 2 5 2 2 2 2 3 3 2" xfId="13739"/>
    <cellStyle name="Normal 2 5 2 2 2 2 3 3 2 2" xfId="23990"/>
    <cellStyle name="Normal 2 5 2 2 2 2 3 3 3" xfId="10160"/>
    <cellStyle name="Normal 2 5 2 2 2 2 3 3 4" xfId="18983"/>
    <cellStyle name="Normal 2 5 2 2 2 2 3 4" xfId="2134"/>
    <cellStyle name="Normal 2 5 2 2 2 2 3 4 2" xfId="11499"/>
    <cellStyle name="Normal 2 5 2 2 2 2 3 4 3" xfId="21503"/>
    <cellStyle name="Normal 2 5 2 2 2 2 3 5" xfId="6357"/>
    <cellStyle name="Normal 2 5 2 2 2 2 3 5 2" xfId="15184"/>
    <cellStyle name="Normal 2 5 2 2 2 2 3 5 3" xfId="25435"/>
    <cellStyle name="Normal 2 5 2 2 2 2 3 6" xfId="7803"/>
    <cellStyle name="Normal 2 5 2 2 2 2 3 6 2" xfId="20694"/>
    <cellStyle name="Normal 2 5 2 2 2 2 3 7" xfId="16496"/>
    <cellStyle name="Normal 2 5 2 2 2 2 4" xfId="3025"/>
    <cellStyle name="Normal 2 5 2 2 2 2 4 2" xfId="5403"/>
    <cellStyle name="Normal 2 5 2 2 2 2 4 2 2" xfId="14240"/>
    <cellStyle name="Normal 2 5 2 2 2 2 4 2 2 2" xfId="24491"/>
    <cellStyle name="Normal 2 5 2 2 2 2 4 2 3" xfId="10661"/>
    <cellStyle name="Normal 2 5 2 2 2 2 4 2 4" xfId="19484"/>
    <cellStyle name="Normal 2 5 2 2 2 2 4 3" xfId="6858"/>
    <cellStyle name="Normal 2 5 2 2 2 2 4 3 2" xfId="15685"/>
    <cellStyle name="Normal 2 5 2 2 2 2 4 3 3" xfId="25936"/>
    <cellStyle name="Normal 2 5 2 2 2 2 4 4" xfId="8304"/>
    <cellStyle name="Normal 2 5 2 2 2 2 4 4 2" xfId="22386"/>
    <cellStyle name="Normal 2 5 2 2 2 2 4 5" xfId="17379"/>
    <cellStyle name="Normal 2 5 2 2 2 2 5" xfId="4359"/>
    <cellStyle name="Normal 2 5 2 2 2 2 5 2" xfId="13197"/>
    <cellStyle name="Normal 2 5 2 2 2 2 5 2 2" xfId="23448"/>
    <cellStyle name="Normal 2 5 2 2 2 2 5 3" xfId="9618"/>
    <cellStyle name="Normal 2 5 2 2 2 2 5 4" xfId="18441"/>
    <cellStyle name="Normal 2 5 2 2 2 2 6" xfId="1631"/>
    <cellStyle name="Normal 2 5 2 2 2 2 6 2" xfId="11008"/>
    <cellStyle name="Normal 2 5 2 2 2 2 6 3" xfId="21012"/>
    <cellStyle name="Normal 2 5 2 2 2 2 7" xfId="5815"/>
    <cellStyle name="Normal 2 5 2 2 2 2 7 2" xfId="14642"/>
    <cellStyle name="Normal 2 5 2 2 2 2 7 3" xfId="24893"/>
    <cellStyle name="Normal 2 5 2 2 2 2 8" xfId="7259"/>
    <cellStyle name="Normal 2 5 2 2 2 2 8 2" xfId="19985"/>
    <cellStyle name="Normal 2 5 2 2 2 2 9" xfId="16005"/>
    <cellStyle name="Normal 2 5 2 2 2 2_Degree data" xfId="3865"/>
    <cellStyle name="Normal 2 5 2 2 2 3" xfId="439"/>
    <cellStyle name="Normal 2 5 2 2 2 3 2" xfId="2925"/>
    <cellStyle name="Normal 2 5 2 2 2 3 2 2" xfId="12213"/>
    <cellStyle name="Normal 2 5 2 2 2 3 2 2 2" xfId="22286"/>
    <cellStyle name="Normal 2 5 2 2 2 3 2 3" xfId="8514"/>
    <cellStyle name="Normal 2 5 2 2 2 3 2 4" xfId="17279"/>
    <cellStyle name="Normal 2 5 2 2 2 3 3" xfId="4552"/>
    <cellStyle name="Normal 2 5 2 2 2 3 3 2" xfId="13390"/>
    <cellStyle name="Normal 2 5 2 2 2 3 3 2 2" xfId="23641"/>
    <cellStyle name="Normal 2 5 2 2 2 3 3 3" xfId="9811"/>
    <cellStyle name="Normal 2 5 2 2 2 3 3 4" xfId="18634"/>
    <cellStyle name="Normal 2 5 2 2 2 3 4" xfId="2034"/>
    <cellStyle name="Normal 2 5 2 2 2 3 4 2" xfId="11399"/>
    <cellStyle name="Normal 2 5 2 2 2 3 4 3" xfId="21403"/>
    <cellStyle name="Normal 2 5 2 2 2 3 5" xfId="6008"/>
    <cellStyle name="Normal 2 5 2 2 2 3 5 2" xfId="14835"/>
    <cellStyle name="Normal 2 5 2 2 2 3 5 3" xfId="25086"/>
    <cellStyle name="Normal 2 5 2 2 2 3 6" xfId="7452"/>
    <cellStyle name="Normal 2 5 2 2 2 3 6 2" xfId="19885"/>
    <cellStyle name="Normal 2 5 2 2 2 3 7" xfId="16396"/>
    <cellStyle name="Normal 2 5 2 2 2 4" xfId="737"/>
    <cellStyle name="Normal 2 5 2 2 2 4 2" xfId="3223"/>
    <cellStyle name="Normal 2 5 2 2 2 4 2 2" xfId="12365"/>
    <cellStyle name="Normal 2 5 2 2 2 4 2 2 2" xfId="22584"/>
    <cellStyle name="Normal 2 5 2 2 2 4 2 3" xfId="8787"/>
    <cellStyle name="Normal 2 5 2 2 2 4 2 4" xfId="17577"/>
    <cellStyle name="Normal 2 5 2 2 2 4 3" xfId="4901"/>
    <cellStyle name="Normal 2 5 2 2 2 4 3 2" xfId="13738"/>
    <cellStyle name="Normal 2 5 2 2 2 4 3 2 2" xfId="23989"/>
    <cellStyle name="Normal 2 5 2 2 2 4 3 3" xfId="10159"/>
    <cellStyle name="Normal 2 5 2 2 2 4 3 4" xfId="18982"/>
    <cellStyle name="Normal 2 5 2 2 2 4 4" xfId="2332"/>
    <cellStyle name="Normal 2 5 2 2 2 4 4 2" xfId="11697"/>
    <cellStyle name="Normal 2 5 2 2 2 4 4 3" xfId="21701"/>
    <cellStyle name="Normal 2 5 2 2 2 4 5" xfId="6356"/>
    <cellStyle name="Normal 2 5 2 2 2 4 5 2" xfId="15183"/>
    <cellStyle name="Normal 2 5 2 2 2 4 5 3" xfId="25434"/>
    <cellStyle name="Normal 2 5 2 2 2 4 6" xfId="7802"/>
    <cellStyle name="Normal 2 5 2 2 2 4 6 2" xfId="20183"/>
    <cellStyle name="Normal 2 5 2 2 2 4 7" xfId="16694"/>
    <cellStyle name="Normal 2 5 2 2 2 5" xfId="1211"/>
    <cellStyle name="Normal 2 5 2 2 2 5 2" xfId="3640"/>
    <cellStyle name="Normal 2 5 2 2 2 5 2 2" xfId="12776"/>
    <cellStyle name="Normal 2 5 2 2 2 5 2 2 2" xfId="22995"/>
    <cellStyle name="Normal 2 5 2 2 2 5 2 3" xfId="9197"/>
    <cellStyle name="Normal 2 5 2 2 2 5 2 4" xfId="17988"/>
    <cellStyle name="Normal 2 5 2 2 2 5 3" xfId="5303"/>
    <cellStyle name="Normal 2 5 2 2 2 5 3 2" xfId="14140"/>
    <cellStyle name="Normal 2 5 2 2 2 5 3 2 2" xfId="24391"/>
    <cellStyle name="Normal 2 5 2 2 2 5 3 3" xfId="10561"/>
    <cellStyle name="Normal 2 5 2 2 2 5 3 4" xfId="19384"/>
    <cellStyle name="Normal 2 5 2 2 2 5 4" xfId="1814"/>
    <cellStyle name="Normal 2 5 2 2 2 5 4 2" xfId="11182"/>
    <cellStyle name="Normal 2 5 2 2 2 5 4 3" xfId="21186"/>
    <cellStyle name="Normal 2 5 2 2 2 5 5" xfId="6758"/>
    <cellStyle name="Normal 2 5 2 2 2 5 5 2" xfId="15585"/>
    <cellStyle name="Normal 2 5 2 2 2 5 5 3" xfId="25836"/>
    <cellStyle name="Normal 2 5 2 2 2 5 6" xfId="8204"/>
    <cellStyle name="Normal 2 5 2 2 2 5 6 2" xfId="20594"/>
    <cellStyle name="Normal 2 5 2 2 2 5 7" xfId="16179"/>
    <cellStyle name="Normal 2 5 2 2 2 6" xfId="2708"/>
    <cellStyle name="Normal 2 5 2 2 2 6 2" xfId="12025"/>
    <cellStyle name="Normal 2 5 2 2 2 6 2 2" xfId="22069"/>
    <cellStyle name="Normal 2 5 2 2 2 6 3" xfId="8434"/>
    <cellStyle name="Normal 2 5 2 2 2 6 4" xfId="17062"/>
    <cellStyle name="Normal 2 5 2 2 2 7" xfId="4259"/>
    <cellStyle name="Normal 2 5 2 2 2 7 2" xfId="13097"/>
    <cellStyle name="Normal 2 5 2 2 2 7 2 2" xfId="23348"/>
    <cellStyle name="Normal 2 5 2 2 2 7 3" xfId="9518"/>
    <cellStyle name="Normal 2 5 2 2 2 7 4" xfId="18341"/>
    <cellStyle name="Normal 2 5 2 2 2 8" xfId="1531"/>
    <cellStyle name="Normal 2 5 2 2 2 8 2" xfId="10908"/>
    <cellStyle name="Normal 2 5 2 2 2 8 3" xfId="20912"/>
    <cellStyle name="Normal 2 5 2 2 2 9" xfId="5715"/>
    <cellStyle name="Normal 2 5 2 2 2 9 2" xfId="14542"/>
    <cellStyle name="Normal 2 5 2 2 2 9 3" xfId="24793"/>
    <cellStyle name="Normal 2 5 2 2 2_Degree data" xfId="3926"/>
    <cellStyle name="Normal 2 5 2 2 3" xfId="278"/>
    <cellStyle name="Normal 2 5 2 2 3 10" xfId="7116"/>
    <cellStyle name="Normal 2 5 2 2 3 10 2" xfId="19729"/>
    <cellStyle name="Normal 2 5 2 2 3 11" xfId="15862"/>
    <cellStyle name="Normal 2 5 2 2 3 2" xfId="600"/>
    <cellStyle name="Normal 2 5 2 2 3 2 2" xfId="740"/>
    <cellStyle name="Normal 2 5 2 2 3 2 2 2" xfId="3226"/>
    <cellStyle name="Normal 2 5 2 2 3 2 2 2 2" xfId="12368"/>
    <cellStyle name="Normal 2 5 2 2 3 2 2 2 2 2" xfId="22587"/>
    <cellStyle name="Normal 2 5 2 2 3 2 2 2 3" xfId="8790"/>
    <cellStyle name="Normal 2 5 2 2 3 2 2 2 4" xfId="17580"/>
    <cellStyle name="Normal 2 5 2 2 3 2 2 3" xfId="4555"/>
    <cellStyle name="Normal 2 5 2 2 3 2 2 3 2" xfId="13393"/>
    <cellStyle name="Normal 2 5 2 2 3 2 2 3 2 2" xfId="23644"/>
    <cellStyle name="Normal 2 5 2 2 3 2 2 3 3" xfId="9814"/>
    <cellStyle name="Normal 2 5 2 2 3 2 2 3 4" xfId="18637"/>
    <cellStyle name="Normal 2 5 2 2 3 2 2 4" xfId="2335"/>
    <cellStyle name="Normal 2 5 2 2 3 2 2 4 2" xfId="11700"/>
    <cellStyle name="Normal 2 5 2 2 3 2 2 4 3" xfId="21704"/>
    <cellStyle name="Normal 2 5 2 2 3 2 2 5" xfId="6011"/>
    <cellStyle name="Normal 2 5 2 2 3 2 2 5 2" xfId="14838"/>
    <cellStyle name="Normal 2 5 2 2 3 2 2 5 3" xfId="25089"/>
    <cellStyle name="Normal 2 5 2 2 3 2 2 6" xfId="7455"/>
    <cellStyle name="Normal 2 5 2 2 3 2 2 6 2" xfId="20186"/>
    <cellStyle name="Normal 2 5 2 2 3 2 2 7" xfId="16697"/>
    <cellStyle name="Normal 2 5 2 2 3 2 3" xfId="1372"/>
    <cellStyle name="Normal 2 5 2 2 3 2 3 2" xfId="3801"/>
    <cellStyle name="Normal 2 5 2 2 3 2 3 2 2" xfId="12937"/>
    <cellStyle name="Normal 2 5 2 2 3 2 3 2 2 2" xfId="23156"/>
    <cellStyle name="Normal 2 5 2 2 3 2 3 2 3" xfId="9358"/>
    <cellStyle name="Normal 2 5 2 2 3 2 3 2 4" xfId="18149"/>
    <cellStyle name="Normal 2 5 2 2 3 2 3 3" xfId="4904"/>
    <cellStyle name="Normal 2 5 2 2 3 2 3 3 2" xfId="13741"/>
    <cellStyle name="Normal 2 5 2 2 3 2 3 3 2 2" xfId="23992"/>
    <cellStyle name="Normal 2 5 2 2 3 2 3 3 3" xfId="10162"/>
    <cellStyle name="Normal 2 5 2 2 3 2 3 3 4" xfId="18985"/>
    <cellStyle name="Normal 2 5 2 2 3 2 3 4" xfId="2195"/>
    <cellStyle name="Normal 2 5 2 2 3 2 3 4 2" xfId="11560"/>
    <cellStyle name="Normal 2 5 2 2 3 2 3 4 3" xfId="21564"/>
    <cellStyle name="Normal 2 5 2 2 3 2 3 5" xfId="6359"/>
    <cellStyle name="Normal 2 5 2 2 3 2 3 5 2" xfId="15186"/>
    <cellStyle name="Normal 2 5 2 2 3 2 3 5 3" xfId="25437"/>
    <cellStyle name="Normal 2 5 2 2 3 2 3 6" xfId="7805"/>
    <cellStyle name="Normal 2 5 2 2 3 2 3 6 2" xfId="20755"/>
    <cellStyle name="Normal 2 5 2 2 3 2 3 7" xfId="16557"/>
    <cellStyle name="Normal 2 5 2 2 3 2 4" xfId="3086"/>
    <cellStyle name="Normal 2 5 2 2 3 2 4 2" xfId="5464"/>
    <cellStyle name="Normal 2 5 2 2 3 2 4 2 2" xfId="14301"/>
    <cellStyle name="Normal 2 5 2 2 3 2 4 2 2 2" xfId="24552"/>
    <cellStyle name="Normal 2 5 2 2 3 2 4 2 3" xfId="10722"/>
    <cellStyle name="Normal 2 5 2 2 3 2 4 2 4" xfId="19545"/>
    <cellStyle name="Normal 2 5 2 2 3 2 4 3" xfId="6919"/>
    <cellStyle name="Normal 2 5 2 2 3 2 4 3 2" xfId="15746"/>
    <cellStyle name="Normal 2 5 2 2 3 2 4 3 3" xfId="25997"/>
    <cellStyle name="Normal 2 5 2 2 3 2 4 4" xfId="8365"/>
    <cellStyle name="Normal 2 5 2 2 3 2 4 4 2" xfId="22447"/>
    <cellStyle name="Normal 2 5 2 2 3 2 4 5" xfId="17440"/>
    <cellStyle name="Normal 2 5 2 2 3 2 5" xfId="4420"/>
    <cellStyle name="Normal 2 5 2 2 3 2 5 2" xfId="13258"/>
    <cellStyle name="Normal 2 5 2 2 3 2 5 2 2" xfId="23509"/>
    <cellStyle name="Normal 2 5 2 2 3 2 5 3" xfId="9679"/>
    <cellStyle name="Normal 2 5 2 2 3 2 5 4" xfId="18502"/>
    <cellStyle name="Normal 2 5 2 2 3 2 6" xfId="1692"/>
    <cellStyle name="Normal 2 5 2 2 3 2 6 2" xfId="11069"/>
    <cellStyle name="Normal 2 5 2 2 3 2 6 3" xfId="21073"/>
    <cellStyle name="Normal 2 5 2 2 3 2 7" xfId="5876"/>
    <cellStyle name="Normal 2 5 2 2 3 2 7 2" xfId="14703"/>
    <cellStyle name="Normal 2 5 2 2 3 2 7 3" xfId="24954"/>
    <cellStyle name="Normal 2 5 2 2 3 2 8" xfId="7320"/>
    <cellStyle name="Normal 2 5 2 2 3 2 8 2" xfId="20046"/>
    <cellStyle name="Normal 2 5 2 2 3 2 9" xfId="16066"/>
    <cellStyle name="Normal 2 5 2 2 3 2_Degree data" xfId="3872"/>
    <cellStyle name="Normal 2 5 2 2 3 3" xfId="396"/>
    <cellStyle name="Normal 2 5 2 2 3 3 2" xfId="2882"/>
    <cellStyle name="Normal 2 5 2 2 3 3 2 2" xfId="12170"/>
    <cellStyle name="Normal 2 5 2 2 3 3 2 2 2" xfId="22243"/>
    <cellStyle name="Normal 2 5 2 2 3 3 2 3" xfId="8525"/>
    <cellStyle name="Normal 2 5 2 2 3 3 2 4" xfId="17236"/>
    <cellStyle name="Normal 2 5 2 2 3 3 3" xfId="4554"/>
    <cellStyle name="Normal 2 5 2 2 3 3 3 2" xfId="13392"/>
    <cellStyle name="Normal 2 5 2 2 3 3 3 2 2" xfId="23643"/>
    <cellStyle name="Normal 2 5 2 2 3 3 3 3" xfId="9813"/>
    <cellStyle name="Normal 2 5 2 2 3 3 3 4" xfId="18636"/>
    <cellStyle name="Normal 2 5 2 2 3 3 4" xfId="1991"/>
    <cellStyle name="Normal 2 5 2 2 3 3 4 2" xfId="11356"/>
    <cellStyle name="Normal 2 5 2 2 3 3 4 3" xfId="21360"/>
    <cellStyle name="Normal 2 5 2 2 3 3 5" xfId="6010"/>
    <cellStyle name="Normal 2 5 2 2 3 3 5 2" xfId="14837"/>
    <cellStyle name="Normal 2 5 2 2 3 3 5 3" xfId="25088"/>
    <cellStyle name="Normal 2 5 2 2 3 3 6" xfId="7454"/>
    <cellStyle name="Normal 2 5 2 2 3 3 6 2" xfId="19842"/>
    <cellStyle name="Normal 2 5 2 2 3 3 7" xfId="16353"/>
    <cellStyle name="Normal 2 5 2 2 3 4" xfId="739"/>
    <cellStyle name="Normal 2 5 2 2 3 4 2" xfId="3225"/>
    <cellStyle name="Normal 2 5 2 2 3 4 2 2" xfId="12367"/>
    <cellStyle name="Normal 2 5 2 2 3 4 2 2 2" xfId="22586"/>
    <cellStyle name="Normal 2 5 2 2 3 4 2 3" xfId="8789"/>
    <cellStyle name="Normal 2 5 2 2 3 4 2 4" xfId="17579"/>
    <cellStyle name="Normal 2 5 2 2 3 4 3" xfId="4903"/>
    <cellStyle name="Normal 2 5 2 2 3 4 3 2" xfId="13740"/>
    <cellStyle name="Normal 2 5 2 2 3 4 3 2 2" xfId="23991"/>
    <cellStyle name="Normal 2 5 2 2 3 4 3 3" xfId="10161"/>
    <cellStyle name="Normal 2 5 2 2 3 4 3 4" xfId="18984"/>
    <cellStyle name="Normal 2 5 2 2 3 4 4" xfId="2334"/>
    <cellStyle name="Normal 2 5 2 2 3 4 4 2" xfId="11699"/>
    <cellStyle name="Normal 2 5 2 2 3 4 4 3" xfId="21703"/>
    <cellStyle name="Normal 2 5 2 2 3 4 5" xfId="6358"/>
    <cellStyle name="Normal 2 5 2 2 3 4 5 2" xfId="15185"/>
    <cellStyle name="Normal 2 5 2 2 3 4 5 3" xfId="25436"/>
    <cellStyle name="Normal 2 5 2 2 3 4 6" xfId="7804"/>
    <cellStyle name="Normal 2 5 2 2 3 4 6 2" xfId="20185"/>
    <cellStyle name="Normal 2 5 2 2 3 4 7" xfId="16696"/>
    <cellStyle name="Normal 2 5 2 2 3 5" xfId="1168"/>
    <cellStyle name="Normal 2 5 2 2 3 5 2" xfId="3597"/>
    <cellStyle name="Normal 2 5 2 2 3 5 2 2" xfId="12733"/>
    <cellStyle name="Normal 2 5 2 2 3 5 2 2 2" xfId="22952"/>
    <cellStyle name="Normal 2 5 2 2 3 5 2 3" xfId="9154"/>
    <cellStyle name="Normal 2 5 2 2 3 5 2 4" xfId="17945"/>
    <cellStyle name="Normal 2 5 2 2 3 5 3" xfId="5260"/>
    <cellStyle name="Normal 2 5 2 2 3 5 3 2" xfId="14097"/>
    <cellStyle name="Normal 2 5 2 2 3 5 3 2 2" xfId="24348"/>
    <cellStyle name="Normal 2 5 2 2 3 5 3 3" xfId="10518"/>
    <cellStyle name="Normal 2 5 2 2 3 5 3 4" xfId="19341"/>
    <cellStyle name="Normal 2 5 2 2 3 5 4" xfId="1875"/>
    <cellStyle name="Normal 2 5 2 2 3 5 4 2" xfId="11243"/>
    <cellStyle name="Normal 2 5 2 2 3 5 4 3" xfId="21247"/>
    <cellStyle name="Normal 2 5 2 2 3 5 5" xfId="6715"/>
    <cellStyle name="Normal 2 5 2 2 3 5 5 2" xfId="15542"/>
    <cellStyle name="Normal 2 5 2 2 3 5 5 3" xfId="25793"/>
    <cellStyle name="Normal 2 5 2 2 3 5 6" xfId="8161"/>
    <cellStyle name="Normal 2 5 2 2 3 5 6 2" xfId="20551"/>
    <cellStyle name="Normal 2 5 2 2 3 5 7" xfId="16240"/>
    <cellStyle name="Normal 2 5 2 2 3 6" xfId="2769"/>
    <cellStyle name="Normal 2 5 2 2 3 6 2" xfId="12086"/>
    <cellStyle name="Normal 2 5 2 2 3 6 2 2" xfId="22130"/>
    <cellStyle name="Normal 2 5 2 2 3 6 3" xfId="8546"/>
    <cellStyle name="Normal 2 5 2 2 3 6 4" xfId="17123"/>
    <cellStyle name="Normal 2 5 2 2 3 7" xfId="4216"/>
    <cellStyle name="Normal 2 5 2 2 3 7 2" xfId="13054"/>
    <cellStyle name="Normal 2 5 2 2 3 7 2 2" xfId="23305"/>
    <cellStyle name="Normal 2 5 2 2 3 7 3" xfId="9475"/>
    <cellStyle name="Normal 2 5 2 2 3 7 4" xfId="18298"/>
    <cellStyle name="Normal 2 5 2 2 3 8" xfId="1488"/>
    <cellStyle name="Normal 2 5 2 2 3 8 2" xfId="10865"/>
    <cellStyle name="Normal 2 5 2 2 3 8 3" xfId="20869"/>
    <cellStyle name="Normal 2 5 2 2 3 9" xfId="5672"/>
    <cellStyle name="Normal 2 5 2 2 3 9 2" xfId="14499"/>
    <cellStyle name="Normal 2 5 2 2 3 9 3" xfId="24750"/>
    <cellStyle name="Normal 2 5 2 2 3_Degree data" xfId="3827"/>
    <cellStyle name="Normal 2 5 2 2 4" xfId="496"/>
    <cellStyle name="Normal 2 5 2 2 4 2" xfId="741"/>
    <cellStyle name="Normal 2 5 2 2 4 2 2" xfId="3227"/>
    <cellStyle name="Normal 2 5 2 2 4 2 2 2" xfId="12369"/>
    <cellStyle name="Normal 2 5 2 2 4 2 2 2 2" xfId="22588"/>
    <cellStyle name="Normal 2 5 2 2 4 2 2 3" xfId="8791"/>
    <cellStyle name="Normal 2 5 2 2 4 2 2 4" xfId="17581"/>
    <cellStyle name="Normal 2 5 2 2 4 2 3" xfId="4556"/>
    <cellStyle name="Normal 2 5 2 2 4 2 3 2" xfId="13394"/>
    <cellStyle name="Normal 2 5 2 2 4 2 3 2 2" xfId="23645"/>
    <cellStyle name="Normal 2 5 2 2 4 2 3 3" xfId="9815"/>
    <cellStyle name="Normal 2 5 2 2 4 2 3 4" xfId="18638"/>
    <cellStyle name="Normal 2 5 2 2 4 2 4" xfId="2336"/>
    <cellStyle name="Normal 2 5 2 2 4 2 4 2" xfId="11701"/>
    <cellStyle name="Normal 2 5 2 2 4 2 4 3" xfId="21705"/>
    <cellStyle name="Normal 2 5 2 2 4 2 5" xfId="6012"/>
    <cellStyle name="Normal 2 5 2 2 4 2 5 2" xfId="14839"/>
    <cellStyle name="Normal 2 5 2 2 4 2 5 3" xfId="25090"/>
    <cellStyle name="Normal 2 5 2 2 4 2 6" xfId="7456"/>
    <cellStyle name="Normal 2 5 2 2 4 2 6 2" xfId="20187"/>
    <cellStyle name="Normal 2 5 2 2 4 2 7" xfId="16698"/>
    <cellStyle name="Normal 2 5 2 2 4 3" xfId="1268"/>
    <cellStyle name="Normal 2 5 2 2 4 3 2" xfId="3697"/>
    <cellStyle name="Normal 2 5 2 2 4 3 2 2" xfId="12833"/>
    <cellStyle name="Normal 2 5 2 2 4 3 2 2 2" xfId="23052"/>
    <cellStyle name="Normal 2 5 2 2 4 3 2 3" xfId="9254"/>
    <cellStyle name="Normal 2 5 2 2 4 3 2 4" xfId="18045"/>
    <cellStyle name="Normal 2 5 2 2 4 3 3" xfId="4905"/>
    <cellStyle name="Normal 2 5 2 2 4 3 3 2" xfId="13742"/>
    <cellStyle name="Normal 2 5 2 2 4 3 3 2 2" xfId="23993"/>
    <cellStyle name="Normal 2 5 2 2 4 3 3 3" xfId="10163"/>
    <cellStyle name="Normal 2 5 2 2 4 3 3 4" xfId="18986"/>
    <cellStyle name="Normal 2 5 2 2 4 3 4" xfId="2091"/>
    <cellStyle name="Normal 2 5 2 2 4 3 4 2" xfId="11456"/>
    <cellStyle name="Normal 2 5 2 2 4 3 4 3" xfId="21460"/>
    <cellStyle name="Normal 2 5 2 2 4 3 5" xfId="6360"/>
    <cellStyle name="Normal 2 5 2 2 4 3 5 2" xfId="15187"/>
    <cellStyle name="Normal 2 5 2 2 4 3 5 3" xfId="25438"/>
    <cellStyle name="Normal 2 5 2 2 4 3 6" xfId="7806"/>
    <cellStyle name="Normal 2 5 2 2 4 3 6 2" xfId="20651"/>
    <cellStyle name="Normal 2 5 2 2 4 3 7" xfId="16453"/>
    <cellStyle name="Normal 2 5 2 2 4 4" xfId="2982"/>
    <cellStyle name="Normal 2 5 2 2 4 4 2" xfId="5360"/>
    <cellStyle name="Normal 2 5 2 2 4 4 2 2" xfId="14197"/>
    <cellStyle name="Normal 2 5 2 2 4 4 2 2 2" xfId="24448"/>
    <cellStyle name="Normal 2 5 2 2 4 4 2 3" xfId="10618"/>
    <cellStyle name="Normal 2 5 2 2 4 4 2 4" xfId="19441"/>
    <cellStyle name="Normal 2 5 2 2 4 4 3" xfId="6815"/>
    <cellStyle name="Normal 2 5 2 2 4 4 3 2" xfId="15642"/>
    <cellStyle name="Normal 2 5 2 2 4 4 3 3" xfId="25893"/>
    <cellStyle name="Normal 2 5 2 2 4 4 4" xfId="8261"/>
    <cellStyle name="Normal 2 5 2 2 4 4 4 2" xfId="22343"/>
    <cellStyle name="Normal 2 5 2 2 4 4 5" xfId="17336"/>
    <cellStyle name="Normal 2 5 2 2 4 5" xfId="4316"/>
    <cellStyle name="Normal 2 5 2 2 4 5 2" xfId="13154"/>
    <cellStyle name="Normal 2 5 2 2 4 5 2 2" xfId="23405"/>
    <cellStyle name="Normal 2 5 2 2 4 5 3" xfId="9575"/>
    <cellStyle name="Normal 2 5 2 2 4 5 4" xfId="18398"/>
    <cellStyle name="Normal 2 5 2 2 4 6" xfId="1588"/>
    <cellStyle name="Normal 2 5 2 2 4 6 2" xfId="10965"/>
    <cellStyle name="Normal 2 5 2 2 4 6 3" xfId="20969"/>
    <cellStyle name="Normal 2 5 2 2 4 7" xfId="5772"/>
    <cellStyle name="Normal 2 5 2 2 4 7 2" xfId="14599"/>
    <cellStyle name="Normal 2 5 2 2 4 7 3" xfId="24850"/>
    <cellStyle name="Normal 2 5 2 2 4 8" xfId="7216"/>
    <cellStyle name="Normal 2 5 2 2 4 8 2" xfId="19942"/>
    <cellStyle name="Normal 2 5 2 2 4 9" xfId="15962"/>
    <cellStyle name="Normal 2 5 2 2 4_Degree data" xfId="3853"/>
    <cellStyle name="Normal 2 5 2 2 5" xfId="339"/>
    <cellStyle name="Normal 2 5 2 2 5 2" xfId="742"/>
    <cellStyle name="Normal 2 5 2 2 5 2 2" xfId="3228"/>
    <cellStyle name="Normal 2 5 2 2 5 2 2 2" xfId="12370"/>
    <cellStyle name="Normal 2 5 2 2 5 2 2 2 2" xfId="22589"/>
    <cellStyle name="Normal 2 5 2 2 5 2 2 3" xfId="8792"/>
    <cellStyle name="Normal 2 5 2 2 5 2 2 4" xfId="17582"/>
    <cellStyle name="Normal 2 5 2 2 5 2 3" xfId="4557"/>
    <cellStyle name="Normal 2 5 2 2 5 2 3 2" xfId="13395"/>
    <cellStyle name="Normal 2 5 2 2 5 2 3 2 2" xfId="23646"/>
    <cellStyle name="Normal 2 5 2 2 5 2 3 3" xfId="9816"/>
    <cellStyle name="Normal 2 5 2 2 5 2 3 4" xfId="18639"/>
    <cellStyle name="Normal 2 5 2 2 5 2 4" xfId="2337"/>
    <cellStyle name="Normal 2 5 2 2 5 2 4 2" xfId="11702"/>
    <cellStyle name="Normal 2 5 2 2 5 2 4 3" xfId="21706"/>
    <cellStyle name="Normal 2 5 2 2 5 2 5" xfId="6013"/>
    <cellStyle name="Normal 2 5 2 2 5 2 5 2" xfId="14840"/>
    <cellStyle name="Normal 2 5 2 2 5 2 5 3" xfId="25091"/>
    <cellStyle name="Normal 2 5 2 2 5 2 6" xfId="7457"/>
    <cellStyle name="Normal 2 5 2 2 5 2 6 2" xfId="20188"/>
    <cellStyle name="Normal 2 5 2 2 5 2 7" xfId="16699"/>
    <cellStyle name="Normal 2 5 2 2 5 3" xfId="1111"/>
    <cellStyle name="Normal 2 5 2 2 5 3 2" xfId="3540"/>
    <cellStyle name="Normal 2 5 2 2 5 3 2 2" xfId="12676"/>
    <cellStyle name="Normal 2 5 2 2 5 3 2 2 2" xfId="22895"/>
    <cellStyle name="Normal 2 5 2 2 5 3 2 3" xfId="9097"/>
    <cellStyle name="Normal 2 5 2 2 5 3 2 4" xfId="17888"/>
    <cellStyle name="Normal 2 5 2 2 5 3 3" xfId="4906"/>
    <cellStyle name="Normal 2 5 2 2 5 3 3 2" xfId="13743"/>
    <cellStyle name="Normal 2 5 2 2 5 3 3 2 2" xfId="23994"/>
    <cellStyle name="Normal 2 5 2 2 5 3 3 3" xfId="10164"/>
    <cellStyle name="Normal 2 5 2 2 5 3 3 4" xfId="18987"/>
    <cellStyle name="Normal 2 5 2 2 5 3 4" xfId="2592"/>
    <cellStyle name="Normal 2 5 2 2 5 3 4 2" xfId="11956"/>
    <cellStyle name="Normal 2 5 2 2 5 3 4 3" xfId="21960"/>
    <cellStyle name="Normal 2 5 2 2 5 3 5" xfId="6361"/>
    <cellStyle name="Normal 2 5 2 2 5 3 5 2" xfId="15188"/>
    <cellStyle name="Normal 2 5 2 2 5 3 5 3" xfId="25439"/>
    <cellStyle name="Normal 2 5 2 2 5 3 6" xfId="7807"/>
    <cellStyle name="Normal 2 5 2 2 5 3 6 2" xfId="20494"/>
    <cellStyle name="Normal 2 5 2 2 5 3 7" xfId="16953"/>
    <cellStyle name="Normal 2 5 2 2 5 4" xfId="2825"/>
    <cellStyle name="Normal 2 5 2 2 5 4 2" xfId="5203"/>
    <cellStyle name="Normal 2 5 2 2 5 4 2 2" xfId="14040"/>
    <cellStyle name="Normal 2 5 2 2 5 4 2 2 2" xfId="24291"/>
    <cellStyle name="Normal 2 5 2 2 5 4 2 3" xfId="10461"/>
    <cellStyle name="Normal 2 5 2 2 5 4 2 4" xfId="19284"/>
    <cellStyle name="Normal 2 5 2 2 5 4 3" xfId="6658"/>
    <cellStyle name="Normal 2 5 2 2 5 4 3 2" xfId="15485"/>
    <cellStyle name="Normal 2 5 2 2 5 4 3 3" xfId="25736"/>
    <cellStyle name="Normal 2 5 2 2 5 4 4" xfId="8104"/>
    <cellStyle name="Normal 2 5 2 2 5 4 4 2" xfId="22186"/>
    <cellStyle name="Normal 2 5 2 2 5 4 5" xfId="17179"/>
    <cellStyle name="Normal 2 5 2 2 5 5" xfId="4157"/>
    <cellStyle name="Normal 2 5 2 2 5 5 2" xfId="12995"/>
    <cellStyle name="Normal 2 5 2 2 5 5 2 2" xfId="23246"/>
    <cellStyle name="Normal 2 5 2 2 5 5 3" xfId="9416"/>
    <cellStyle name="Normal 2 5 2 2 5 5 4" xfId="18239"/>
    <cellStyle name="Normal 2 5 2 2 5 6" xfId="1934"/>
    <cellStyle name="Normal 2 5 2 2 5 6 2" xfId="11299"/>
    <cellStyle name="Normal 2 5 2 2 5 6 3" xfId="21303"/>
    <cellStyle name="Normal 2 5 2 2 5 7" xfId="5615"/>
    <cellStyle name="Normal 2 5 2 2 5 7 2" xfId="14442"/>
    <cellStyle name="Normal 2 5 2 2 5 7 3" xfId="24693"/>
    <cellStyle name="Normal 2 5 2 2 5 8" xfId="7059"/>
    <cellStyle name="Normal 2 5 2 2 5 8 2" xfId="19785"/>
    <cellStyle name="Normal 2 5 2 2 5 9" xfId="16296"/>
    <cellStyle name="Normal 2 5 2 2 5_Degree data" xfId="3823"/>
    <cellStyle name="Normal 2 5 2 2 6" xfId="736"/>
    <cellStyle name="Normal 2 5 2 2 6 2" xfId="3222"/>
    <cellStyle name="Normal 2 5 2 2 6 2 2" xfId="12364"/>
    <cellStyle name="Normal 2 5 2 2 6 2 2 2" xfId="22583"/>
    <cellStyle name="Normal 2 5 2 2 6 2 3" xfId="8786"/>
    <cellStyle name="Normal 2 5 2 2 6 2 4" xfId="17576"/>
    <cellStyle name="Normal 2 5 2 2 6 3" xfId="4551"/>
    <cellStyle name="Normal 2 5 2 2 6 3 2" xfId="13389"/>
    <cellStyle name="Normal 2 5 2 2 6 3 2 2" xfId="23640"/>
    <cellStyle name="Normal 2 5 2 2 6 3 3" xfId="9810"/>
    <cellStyle name="Normal 2 5 2 2 6 3 4" xfId="18633"/>
    <cellStyle name="Normal 2 5 2 2 6 4" xfId="2331"/>
    <cellStyle name="Normal 2 5 2 2 6 4 2" xfId="11696"/>
    <cellStyle name="Normal 2 5 2 2 6 4 3" xfId="21700"/>
    <cellStyle name="Normal 2 5 2 2 6 5" xfId="6007"/>
    <cellStyle name="Normal 2 5 2 2 6 5 2" xfId="14834"/>
    <cellStyle name="Normal 2 5 2 2 6 5 3" xfId="25085"/>
    <cellStyle name="Normal 2 5 2 2 6 6" xfId="7451"/>
    <cellStyle name="Normal 2 5 2 2 6 6 2" xfId="20182"/>
    <cellStyle name="Normal 2 5 2 2 6 7" xfId="16693"/>
    <cellStyle name="Normal 2 5 2 2 7" xfId="1066"/>
    <cellStyle name="Normal 2 5 2 2 7 2" xfId="3495"/>
    <cellStyle name="Normal 2 5 2 2 7 2 2" xfId="12631"/>
    <cellStyle name="Normal 2 5 2 2 7 2 2 2" xfId="22850"/>
    <cellStyle name="Normal 2 5 2 2 7 2 3" xfId="9053"/>
    <cellStyle name="Normal 2 5 2 2 7 2 4" xfId="17843"/>
    <cellStyle name="Normal 2 5 2 2 7 3" xfId="4900"/>
    <cellStyle name="Normal 2 5 2 2 7 3 2" xfId="13737"/>
    <cellStyle name="Normal 2 5 2 2 7 3 2 2" xfId="23988"/>
    <cellStyle name="Normal 2 5 2 2 7 3 3" xfId="10158"/>
    <cellStyle name="Normal 2 5 2 2 7 3 4" xfId="18981"/>
    <cellStyle name="Normal 2 5 2 2 7 4" xfId="1768"/>
    <cellStyle name="Normal 2 5 2 2 7 4 2" xfId="11139"/>
    <cellStyle name="Normal 2 5 2 2 7 4 3" xfId="21143"/>
    <cellStyle name="Normal 2 5 2 2 7 5" xfId="6355"/>
    <cellStyle name="Normal 2 5 2 2 7 5 2" xfId="15182"/>
    <cellStyle name="Normal 2 5 2 2 7 5 3" xfId="25433"/>
    <cellStyle name="Normal 2 5 2 2 7 6" xfId="7801"/>
    <cellStyle name="Normal 2 5 2 2 7 6 2" xfId="20449"/>
    <cellStyle name="Normal 2 5 2 2 7 7" xfId="16136"/>
    <cellStyle name="Normal 2 5 2 2 8" xfId="2665"/>
    <cellStyle name="Normal 2 5 2 2 8 2" xfId="5158"/>
    <cellStyle name="Normal 2 5 2 2 8 2 2" xfId="13995"/>
    <cellStyle name="Normal 2 5 2 2 8 2 2 2" xfId="24246"/>
    <cellStyle name="Normal 2 5 2 2 8 2 3" xfId="10416"/>
    <cellStyle name="Normal 2 5 2 2 8 2 4" xfId="19239"/>
    <cellStyle name="Normal 2 5 2 2 8 3" xfId="6613"/>
    <cellStyle name="Normal 2 5 2 2 8 3 2" xfId="15440"/>
    <cellStyle name="Normal 2 5 2 2 8 3 3" xfId="25691"/>
    <cellStyle name="Normal 2 5 2 2 8 4" xfId="8059"/>
    <cellStyle name="Normal 2 5 2 2 8 4 2" xfId="22026"/>
    <cellStyle name="Normal 2 5 2 2 8 5" xfId="17019"/>
    <cellStyle name="Normal 2 5 2 2 9" xfId="4112"/>
    <cellStyle name="Normal 2 5 2 2 9 2" xfId="5570"/>
    <cellStyle name="Normal 2 5 2 2 9 2 2" xfId="14397"/>
    <cellStyle name="Normal 2 5 2 2 9 2 3" xfId="24648"/>
    <cellStyle name="Normal 2 5 2 2 9 3" xfId="7014"/>
    <cellStyle name="Normal 2 5 2 2 9 3 2" xfId="23201"/>
    <cellStyle name="Normal 2 5 2 2 9 4" xfId="18194"/>
    <cellStyle name="Normal 2 5 2 2_Degree data" xfId="3928"/>
    <cellStyle name="Normal 2 5 2 3" xfId="149"/>
    <cellStyle name="Normal 2 5 2 3 10" xfId="1417"/>
    <cellStyle name="Normal 2 5 2 3 10 2" xfId="10794"/>
    <cellStyle name="Normal 2 5 2 3 10 3" xfId="20798"/>
    <cellStyle name="Normal 2 5 2 3 11" xfId="5528"/>
    <cellStyle name="Normal 2 5 2 3 11 2" xfId="14355"/>
    <cellStyle name="Normal 2 5 2 3 11 3" xfId="24606"/>
    <cellStyle name="Normal 2 5 2 3 12" xfId="6968"/>
    <cellStyle name="Normal 2 5 2 3 12 2" xfId="19613"/>
    <cellStyle name="Normal 2 5 2 3 13" xfId="15791"/>
    <cellStyle name="Normal 2 5 2 3 2" xfId="199"/>
    <cellStyle name="Normal 2 5 2 3 2 10" xfId="7147"/>
    <cellStyle name="Normal 2 5 2 3 2 10 2" xfId="19656"/>
    <cellStyle name="Normal 2 5 2 3 2 11" xfId="15893"/>
    <cellStyle name="Normal 2 5 2 3 2 2" xfId="527"/>
    <cellStyle name="Normal 2 5 2 3 2 2 2" xfId="745"/>
    <cellStyle name="Normal 2 5 2 3 2 2 2 2" xfId="3231"/>
    <cellStyle name="Normal 2 5 2 3 2 2 2 2 2" xfId="12373"/>
    <cellStyle name="Normal 2 5 2 3 2 2 2 2 2 2" xfId="22592"/>
    <cellStyle name="Normal 2 5 2 3 2 2 2 2 3" xfId="8795"/>
    <cellStyle name="Normal 2 5 2 3 2 2 2 2 4" xfId="17585"/>
    <cellStyle name="Normal 2 5 2 3 2 2 2 3" xfId="4560"/>
    <cellStyle name="Normal 2 5 2 3 2 2 2 3 2" xfId="13398"/>
    <cellStyle name="Normal 2 5 2 3 2 2 2 3 2 2" xfId="23649"/>
    <cellStyle name="Normal 2 5 2 3 2 2 2 3 3" xfId="9819"/>
    <cellStyle name="Normal 2 5 2 3 2 2 2 3 4" xfId="18642"/>
    <cellStyle name="Normal 2 5 2 3 2 2 2 4" xfId="2340"/>
    <cellStyle name="Normal 2 5 2 3 2 2 2 4 2" xfId="11705"/>
    <cellStyle name="Normal 2 5 2 3 2 2 2 4 3" xfId="21709"/>
    <cellStyle name="Normal 2 5 2 3 2 2 2 5" xfId="6016"/>
    <cellStyle name="Normal 2 5 2 3 2 2 2 5 2" xfId="14843"/>
    <cellStyle name="Normal 2 5 2 3 2 2 2 5 3" xfId="25094"/>
    <cellStyle name="Normal 2 5 2 3 2 2 2 6" xfId="7460"/>
    <cellStyle name="Normal 2 5 2 3 2 2 2 6 2" xfId="20191"/>
    <cellStyle name="Normal 2 5 2 3 2 2 2 7" xfId="16702"/>
    <cellStyle name="Normal 2 5 2 3 2 2 3" xfId="1299"/>
    <cellStyle name="Normal 2 5 2 3 2 2 3 2" xfId="3728"/>
    <cellStyle name="Normal 2 5 2 3 2 2 3 2 2" xfId="12864"/>
    <cellStyle name="Normal 2 5 2 3 2 2 3 2 2 2" xfId="23083"/>
    <cellStyle name="Normal 2 5 2 3 2 2 3 2 3" xfId="9285"/>
    <cellStyle name="Normal 2 5 2 3 2 2 3 2 4" xfId="18076"/>
    <cellStyle name="Normal 2 5 2 3 2 2 3 3" xfId="4909"/>
    <cellStyle name="Normal 2 5 2 3 2 2 3 3 2" xfId="13746"/>
    <cellStyle name="Normal 2 5 2 3 2 2 3 3 2 2" xfId="23997"/>
    <cellStyle name="Normal 2 5 2 3 2 2 3 3 3" xfId="10167"/>
    <cellStyle name="Normal 2 5 2 3 2 2 3 3 4" xfId="18990"/>
    <cellStyle name="Normal 2 5 2 3 2 2 3 4" xfId="2122"/>
    <cellStyle name="Normal 2 5 2 3 2 2 3 4 2" xfId="11487"/>
    <cellStyle name="Normal 2 5 2 3 2 2 3 4 3" xfId="21491"/>
    <cellStyle name="Normal 2 5 2 3 2 2 3 5" xfId="6364"/>
    <cellStyle name="Normal 2 5 2 3 2 2 3 5 2" xfId="15191"/>
    <cellStyle name="Normal 2 5 2 3 2 2 3 5 3" xfId="25442"/>
    <cellStyle name="Normal 2 5 2 3 2 2 3 6" xfId="7810"/>
    <cellStyle name="Normal 2 5 2 3 2 2 3 6 2" xfId="20682"/>
    <cellStyle name="Normal 2 5 2 3 2 2 3 7" xfId="16484"/>
    <cellStyle name="Normal 2 5 2 3 2 2 4" xfId="3013"/>
    <cellStyle name="Normal 2 5 2 3 2 2 4 2" xfId="5391"/>
    <cellStyle name="Normal 2 5 2 3 2 2 4 2 2" xfId="14228"/>
    <cellStyle name="Normal 2 5 2 3 2 2 4 2 2 2" xfId="24479"/>
    <cellStyle name="Normal 2 5 2 3 2 2 4 2 3" xfId="10649"/>
    <cellStyle name="Normal 2 5 2 3 2 2 4 2 4" xfId="19472"/>
    <cellStyle name="Normal 2 5 2 3 2 2 4 3" xfId="6846"/>
    <cellStyle name="Normal 2 5 2 3 2 2 4 3 2" xfId="15673"/>
    <cellStyle name="Normal 2 5 2 3 2 2 4 3 3" xfId="25924"/>
    <cellStyle name="Normal 2 5 2 3 2 2 4 4" xfId="8292"/>
    <cellStyle name="Normal 2 5 2 3 2 2 4 4 2" xfId="22374"/>
    <cellStyle name="Normal 2 5 2 3 2 2 4 5" xfId="17367"/>
    <cellStyle name="Normal 2 5 2 3 2 2 5" xfId="4347"/>
    <cellStyle name="Normal 2 5 2 3 2 2 5 2" xfId="13185"/>
    <cellStyle name="Normal 2 5 2 3 2 2 5 2 2" xfId="23436"/>
    <cellStyle name="Normal 2 5 2 3 2 2 5 3" xfId="9606"/>
    <cellStyle name="Normal 2 5 2 3 2 2 5 4" xfId="18429"/>
    <cellStyle name="Normal 2 5 2 3 2 2 6" xfId="1619"/>
    <cellStyle name="Normal 2 5 2 3 2 2 6 2" xfId="10996"/>
    <cellStyle name="Normal 2 5 2 3 2 2 6 3" xfId="21000"/>
    <cellStyle name="Normal 2 5 2 3 2 2 7" xfId="5803"/>
    <cellStyle name="Normal 2 5 2 3 2 2 7 2" xfId="14630"/>
    <cellStyle name="Normal 2 5 2 3 2 2 7 3" xfId="24881"/>
    <cellStyle name="Normal 2 5 2 3 2 2 8" xfId="7247"/>
    <cellStyle name="Normal 2 5 2 3 2 2 8 2" xfId="19973"/>
    <cellStyle name="Normal 2 5 2 3 2 2 9" xfId="15993"/>
    <cellStyle name="Normal 2 5 2 3 2 2_Degree data" xfId="3857"/>
    <cellStyle name="Normal 2 5 2 3 2 3" xfId="427"/>
    <cellStyle name="Normal 2 5 2 3 2 3 2" xfId="2913"/>
    <cellStyle name="Normal 2 5 2 3 2 3 2 2" xfId="12201"/>
    <cellStyle name="Normal 2 5 2 3 2 3 2 2 2" xfId="22274"/>
    <cellStyle name="Normal 2 5 2 3 2 3 2 3" xfId="8438"/>
    <cellStyle name="Normal 2 5 2 3 2 3 2 4" xfId="17267"/>
    <cellStyle name="Normal 2 5 2 3 2 3 3" xfId="4559"/>
    <cellStyle name="Normal 2 5 2 3 2 3 3 2" xfId="13397"/>
    <cellStyle name="Normal 2 5 2 3 2 3 3 2 2" xfId="23648"/>
    <cellStyle name="Normal 2 5 2 3 2 3 3 3" xfId="9818"/>
    <cellStyle name="Normal 2 5 2 3 2 3 3 4" xfId="18641"/>
    <cellStyle name="Normal 2 5 2 3 2 3 4" xfId="2022"/>
    <cellStyle name="Normal 2 5 2 3 2 3 4 2" xfId="11387"/>
    <cellStyle name="Normal 2 5 2 3 2 3 4 3" xfId="21391"/>
    <cellStyle name="Normal 2 5 2 3 2 3 5" xfId="6015"/>
    <cellStyle name="Normal 2 5 2 3 2 3 5 2" xfId="14842"/>
    <cellStyle name="Normal 2 5 2 3 2 3 5 3" xfId="25093"/>
    <cellStyle name="Normal 2 5 2 3 2 3 6" xfId="7459"/>
    <cellStyle name="Normal 2 5 2 3 2 3 6 2" xfId="19873"/>
    <cellStyle name="Normal 2 5 2 3 2 3 7" xfId="16384"/>
    <cellStyle name="Normal 2 5 2 3 2 4" xfId="744"/>
    <cellStyle name="Normal 2 5 2 3 2 4 2" xfId="3230"/>
    <cellStyle name="Normal 2 5 2 3 2 4 2 2" xfId="12372"/>
    <cellStyle name="Normal 2 5 2 3 2 4 2 2 2" xfId="22591"/>
    <cellStyle name="Normal 2 5 2 3 2 4 2 3" xfId="8794"/>
    <cellStyle name="Normal 2 5 2 3 2 4 2 4" xfId="17584"/>
    <cellStyle name="Normal 2 5 2 3 2 4 3" xfId="4908"/>
    <cellStyle name="Normal 2 5 2 3 2 4 3 2" xfId="13745"/>
    <cellStyle name="Normal 2 5 2 3 2 4 3 2 2" xfId="23996"/>
    <cellStyle name="Normal 2 5 2 3 2 4 3 3" xfId="10166"/>
    <cellStyle name="Normal 2 5 2 3 2 4 3 4" xfId="18989"/>
    <cellStyle name="Normal 2 5 2 3 2 4 4" xfId="2339"/>
    <cellStyle name="Normal 2 5 2 3 2 4 4 2" xfId="11704"/>
    <cellStyle name="Normal 2 5 2 3 2 4 4 3" xfId="21708"/>
    <cellStyle name="Normal 2 5 2 3 2 4 5" xfId="6363"/>
    <cellStyle name="Normal 2 5 2 3 2 4 5 2" xfId="15190"/>
    <cellStyle name="Normal 2 5 2 3 2 4 5 3" xfId="25441"/>
    <cellStyle name="Normal 2 5 2 3 2 4 6" xfId="7809"/>
    <cellStyle name="Normal 2 5 2 3 2 4 6 2" xfId="20190"/>
    <cellStyle name="Normal 2 5 2 3 2 4 7" xfId="16701"/>
    <cellStyle name="Normal 2 5 2 3 2 5" xfId="1199"/>
    <cellStyle name="Normal 2 5 2 3 2 5 2" xfId="3628"/>
    <cellStyle name="Normal 2 5 2 3 2 5 2 2" xfId="12764"/>
    <cellStyle name="Normal 2 5 2 3 2 5 2 2 2" xfId="22983"/>
    <cellStyle name="Normal 2 5 2 3 2 5 2 3" xfId="9185"/>
    <cellStyle name="Normal 2 5 2 3 2 5 2 4" xfId="17976"/>
    <cellStyle name="Normal 2 5 2 3 2 5 3" xfId="5291"/>
    <cellStyle name="Normal 2 5 2 3 2 5 3 2" xfId="14128"/>
    <cellStyle name="Normal 2 5 2 3 2 5 3 2 2" xfId="24379"/>
    <cellStyle name="Normal 2 5 2 3 2 5 3 3" xfId="10549"/>
    <cellStyle name="Normal 2 5 2 3 2 5 3 4" xfId="19372"/>
    <cellStyle name="Normal 2 5 2 3 2 5 4" xfId="1801"/>
    <cellStyle name="Normal 2 5 2 3 2 5 4 2" xfId="11170"/>
    <cellStyle name="Normal 2 5 2 3 2 5 4 3" xfId="21174"/>
    <cellStyle name="Normal 2 5 2 3 2 5 5" xfId="6746"/>
    <cellStyle name="Normal 2 5 2 3 2 5 5 2" xfId="15573"/>
    <cellStyle name="Normal 2 5 2 3 2 5 5 3" xfId="25824"/>
    <cellStyle name="Normal 2 5 2 3 2 5 6" xfId="8192"/>
    <cellStyle name="Normal 2 5 2 3 2 5 6 2" xfId="20582"/>
    <cellStyle name="Normal 2 5 2 3 2 5 7" xfId="16167"/>
    <cellStyle name="Normal 2 5 2 3 2 6" xfId="2696"/>
    <cellStyle name="Normal 2 5 2 3 2 6 2" xfId="12013"/>
    <cellStyle name="Normal 2 5 2 3 2 6 2 2" xfId="22057"/>
    <cellStyle name="Normal 2 5 2 3 2 6 3" xfId="8564"/>
    <cellStyle name="Normal 2 5 2 3 2 6 4" xfId="17050"/>
    <cellStyle name="Normal 2 5 2 3 2 7" xfId="4247"/>
    <cellStyle name="Normal 2 5 2 3 2 7 2" xfId="13085"/>
    <cellStyle name="Normal 2 5 2 3 2 7 2 2" xfId="23336"/>
    <cellStyle name="Normal 2 5 2 3 2 7 3" xfId="9506"/>
    <cellStyle name="Normal 2 5 2 3 2 7 4" xfId="18329"/>
    <cellStyle name="Normal 2 5 2 3 2 8" xfId="1519"/>
    <cellStyle name="Normal 2 5 2 3 2 8 2" xfId="10896"/>
    <cellStyle name="Normal 2 5 2 3 2 8 3" xfId="20900"/>
    <cellStyle name="Normal 2 5 2 3 2 9" xfId="5703"/>
    <cellStyle name="Normal 2 5 2 3 2 9 2" xfId="14530"/>
    <cellStyle name="Normal 2 5 2 3 2 9 3" xfId="24781"/>
    <cellStyle name="Normal 2 5 2 3 2_Degree data" xfId="3921"/>
    <cellStyle name="Normal 2 5 2 3 3" xfId="266"/>
    <cellStyle name="Normal 2 5 2 3 3 10" xfId="7104"/>
    <cellStyle name="Normal 2 5 2 3 3 10 2" xfId="19718"/>
    <cellStyle name="Normal 2 5 2 3 3 11" xfId="15850"/>
    <cellStyle name="Normal 2 5 2 3 3 2" xfId="589"/>
    <cellStyle name="Normal 2 5 2 3 3 2 2" xfId="747"/>
    <cellStyle name="Normal 2 5 2 3 3 2 2 2" xfId="3233"/>
    <cellStyle name="Normal 2 5 2 3 3 2 2 2 2" xfId="12375"/>
    <cellStyle name="Normal 2 5 2 3 3 2 2 2 2 2" xfId="22594"/>
    <cellStyle name="Normal 2 5 2 3 3 2 2 2 3" xfId="8797"/>
    <cellStyle name="Normal 2 5 2 3 3 2 2 2 4" xfId="17587"/>
    <cellStyle name="Normal 2 5 2 3 3 2 2 3" xfId="4562"/>
    <cellStyle name="Normal 2 5 2 3 3 2 2 3 2" xfId="13400"/>
    <cellStyle name="Normal 2 5 2 3 3 2 2 3 2 2" xfId="23651"/>
    <cellStyle name="Normal 2 5 2 3 3 2 2 3 3" xfId="9821"/>
    <cellStyle name="Normal 2 5 2 3 3 2 2 3 4" xfId="18644"/>
    <cellStyle name="Normal 2 5 2 3 3 2 2 4" xfId="2342"/>
    <cellStyle name="Normal 2 5 2 3 3 2 2 4 2" xfId="11707"/>
    <cellStyle name="Normal 2 5 2 3 3 2 2 4 3" xfId="21711"/>
    <cellStyle name="Normal 2 5 2 3 3 2 2 5" xfId="6018"/>
    <cellStyle name="Normal 2 5 2 3 3 2 2 5 2" xfId="14845"/>
    <cellStyle name="Normal 2 5 2 3 3 2 2 5 3" xfId="25096"/>
    <cellStyle name="Normal 2 5 2 3 3 2 2 6" xfId="7462"/>
    <cellStyle name="Normal 2 5 2 3 3 2 2 6 2" xfId="20193"/>
    <cellStyle name="Normal 2 5 2 3 3 2 2 7" xfId="16704"/>
    <cellStyle name="Normal 2 5 2 3 3 2 3" xfId="1361"/>
    <cellStyle name="Normal 2 5 2 3 3 2 3 2" xfId="3790"/>
    <cellStyle name="Normal 2 5 2 3 3 2 3 2 2" xfId="12926"/>
    <cellStyle name="Normal 2 5 2 3 3 2 3 2 2 2" xfId="23145"/>
    <cellStyle name="Normal 2 5 2 3 3 2 3 2 3" xfId="9347"/>
    <cellStyle name="Normal 2 5 2 3 3 2 3 2 4" xfId="18138"/>
    <cellStyle name="Normal 2 5 2 3 3 2 3 3" xfId="4911"/>
    <cellStyle name="Normal 2 5 2 3 3 2 3 3 2" xfId="13748"/>
    <cellStyle name="Normal 2 5 2 3 3 2 3 3 2 2" xfId="23999"/>
    <cellStyle name="Normal 2 5 2 3 3 2 3 3 3" xfId="10169"/>
    <cellStyle name="Normal 2 5 2 3 3 2 3 3 4" xfId="18992"/>
    <cellStyle name="Normal 2 5 2 3 3 2 3 4" xfId="2184"/>
    <cellStyle name="Normal 2 5 2 3 3 2 3 4 2" xfId="11549"/>
    <cellStyle name="Normal 2 5 2 3 3 2 3 4 3" xfId="21553"/>
    <cellStyle name="Normal 2 5 2 3 3 2 3 5" xfId="6366"/>
    <cellStyle name="Normal 2 5 2 3 3 2 3 5 2" xfId="15193"/>
    <cellStyle name="Normal 2 5 2 3 3 2 3 5 3" xfId="25444"/>
    <cellStyle name="Normal 2 5 2 3 3 2 3 6" xfId="7812"/>
    <cellStyle name="Normal 2 5 2 3 3 2 3 6 2" xfId="20744"/>
    <cellStyle name="Normal 2 5 2 3 3 2 3 7" xfId="16546"/>
    <cellStyle name="Normal 2 5 2 3 3 2 4" xfId="3075"/>
    <cellStyle name="Normal 2 5 2 3 3 2 4 2" xfId="5453"/>
    <cellStyle name="Normal 2 5 2 3 3 2 4 2 2" xfId="14290"/>
    <cellStyle name="Normal 2 5 2 3 3 2 4 2 2 2" xfId="24541"/>
    <cellStyle name="Normal 2 5 2 3 3 2 4 2 3" xfId="10711"/>
    <cellStyle name="Normal 2 5 2 3 3 2 4 2 4" xfId="19534"/>
    <cellStyle name="Normal 2 5 2 3 3 2 4 3" xfId="6908"/>
    <cellStyle name="Normal 2 5 2 3 3 2 4 3 2" xfId="15735"/>
    <cellStyle name="Normal 2 5 2 3 3 2 4 3 3" xfId="25986"/>
    <cellStyle name="Normal 2 5 2 3 3 2 4 4" xfId="8354"/>
    <cellStyle name="Normal 2 5 2 3 3 2 4 4 2" xfId="22436"/>
    <cellStyle name="Normal 2 5 2 3 3 2 4 5" xfId="17429"/>
    <cellStyle name="Normal 2 5 2 3 3 2 5" xfId="4409"/>
    <cellStyle name="Normal 2 5 2 3 3 2 5 2" xfId="13247"/>
    <cellStyle name="Normal 2 5 2 3 3 2 5 2 2" xfId="23498"/>
    <cellStyle name="Normal 2 5 2 3 3 2 5 3" xfId="9668"/>
    <cellStyle name="Normal 2 5 2 3 3 2 5 4" xfId="18491"/>
    <cellStyle name="Normal 2 5 2 3 3 2 6" xfId="1681"/>
    <cellStyle name="Normal 2 5 2 3 3 2 6 2" xfId="11058"/>
    <cellStyle name="Normal 2 5 2 3 3 2 6 3" xfId="21062"/>
    <cellStyle name="Normal 2 5 2 3 3 2 7" xfId="5865"/>
    <cellStyle name="Normal 2 5 2 3 3 2 7 2" xfId="14692"/>
    <cellStyle name="Normal 2 5 2 3 3 2 7 3" xfId="24943"/>
    <cellStyle name="Normal 2 5 2 3 3 2 8" xfId="7309"/>
    <cellStyle name="Normal 2 5 2 3 3 2 8 2" xfId="20035"/>
    <cellStyle name="Normal 2 5 2 3 3 2 9" xfId="16055"/>
    <cellStyle name="Normal 2 5 2 3 3 2_Degree data" xfId="3922"/>
    <cellStyle name="Normal 2 5 2 3 3 3" xfId="384"/>
    <cellStyle name="Normal 2 5 2 3 3 3 2" xfId="2870"/>
    <cellStyle name="Normal 2 5 2 3 3 3 2 2" xfId="12158"/>
    <cellStyle name="Normal 2 5 2 3 3 3 2 2 2" xfId="22231"/>
    <cellStyle name="Normal 2 5 2 3 3 3 2 3" xfId="8469"/>
    <cellStyle name="Normal 2 5 2 3 3 3 2 4" xfId="17224"/>
    <cellStyle name="Normal 2 5 2 3 3 3 3" xfId="4561"/>
    <cellStyle name="Normal 2 5 2 3 3 3 3 2" xfId="13399"/>
    <cellStyle name="Normal 2 5 2 3 3 3 3 2 2" xfId="23650"/>
    <cellStyle name="Normal 2 5 2 3 3 3 3 3" xfId="9820"/>
    <cellStyle name="Normal 2 5 2 3 3 3 3 4" xfId="18643"/>
    <cellStyle name="Normal 2 5 2 3 3 3 4" xfId="1979"/>
    <cellStyle name="Normal 2 5 2 3 3 3 4 2" xfId="11344"/>
    <cellStyle name="Normal 2 5 2 3 3 3 4 3" xfId="21348"/>
    <cellStyle name="Normal 2 5 2 3 3 3 5" xfId="6017"/>
    <cellStyle name="Normal 2 5 2 3 3 3 5 2" xfId="14844"/>
    <cellStyle name="Normal 2 5 2 3 3 3 5 3" xfId="25095"/>
    <cellStyle name="Normal 2 5 2 3 3 3 6" xfId="7461"/>
    <cellStyle name="Normal 2 5 2 3 3 3 6 2" xfId="19830"/>
    <cellStyle name="Normal 2 5 2 3 3 3 7" xfId="16341"/>
    <cellStyle name="Normal 2 5 2 3 3 4" xfId="746"/>
    <cellStyle name="Normal 2 5 2 3 3 4 2" xfId="3232"/>
    <cellStyle name="Normal 2 5 2 3 3 4 2 2" xfId="12374"/>
    <cellStyle name="Normal 2 5 2 3 3 4 2 2 2" xfId="22593"/>
    <cellStyle name="Normal 2 5 2 3 3 4 2 3" xfId="8796"/>
    <cellStyle name="Normal 2 5 2 3 3 4 2 4" xfId="17586"/>
    <cellStyle name="Normal 2 5 2 3 3 4 3" xfId="4910"/>
    <cellStyle name="Normal 2 5 2 3 3 4 3 2" xfId="13747"/>
    <cellStyle name="Normal 2 5 2 3 3 4 3 2 2" xfId="23998"/>
    <cellStyle name="Normal 2 5 2 3 3 4 3 3" xfId="10168"/>
    <cellStyle name="Normal 2 5 2 3 3 4 3 4" xfId="18991"/>
    <cellStyle name="Normal 2 5 2 3 3 4 4" xfId="2341"/>
    <cellStyle name="Normal 2 5 2 3 3 4 4 2" xfId="11706"/>
    <cellStyle name="Normal 2 5 2 3 3 4 4 3" xfId="21710"/>
    <cellStyle name="Normal 2 5 2 3 3 4 5" xfId="6365"/>
    <cellStyle name="Normal 2 5 2 3 3 4 5 2" xfId="15192"/>
    <cellStyle name="Normal 2 5 2 3 3 4 5 3" xfId="25443"/>
    <cellStyle name="Normal 2 5 2 3 3 4 6" xfId="7811"/>
    <cellStyle name="Normal 2 5 2 3 3 4 6 2" xfId="20192"/>
    <cellStyle name="Normal 2 5 2 3 3 4 7" xfId="16703"/>
    <cellStyle name="Normal 2 5 2 3 3 5" xfId="1156"/>
    <cellStyle name="Normal 2 5 2 3 3 5 2" xfId="3585"/>
    <cellStyle name="Normal 2 5 2 3 3 5 2 2" xfId="12721"/>
    <cellStyle name="Normal 2 5 2 3 3 5 2 2 2" xfId="22940"/>
    <cellStyle name="Normal 2 5 2 3 3 5 2 3" xfId="9142"/>
    <cellStyle name="Normal 2 5 2 3 3 5 2 4" xfId="17933"/>
    <cellStyle name="Normal 2 5 2 3 3 5 3" xfId="5248"/>
    <cellStyle name="Normal 2 5 2 3 3 5 3 2" xfId="14085"/>
    <cellStyle name="Normal 2 5 2 3 3 5 3 2 2" xfId="24336"/>
    <cellStyle name="Normal 2 5 2 3 3 5 3 3" xfId="10506"/>
    <cellStyle name="Normal 2 5 2 3 3 5 3 4" xfId="19329"/>
    <cellStyle name="Normal 2 5 2 3 3 5 4" xfId="1864"/>
    <cellStyle name="Normal 2 5 2 3 3 5 4 2" xfId="11232"/>
    <cellStyle name="Normal 2 5 2 3 3 5 4 3" xfId="21236"/>
    <cellStyle name="Normal 2 5 2 3 3 5 5" xfId="6703"/>
    <cellStyle name="Normal 2 5 2 3 3 5 5 2" xfId="15530"/>
    <cellStyle name="Normal 2 5 2 3 3 5 5 3" xfId="25781"/>
    <cellStyle name="Normal 2 5 2 3 3 5 6" xfId="8149"/>
    <cellStyle name="Normal 2 5 2 3 3 5 6 2" xfId="20539"/>
    <cellStyle name="Normal 2 5 2 3 3 5 7" xfId="16229"/>
    <cellStyle name="Normal 2 5 2 3 3 6" xfId="2758"/>
    <cellStyle name="Normal 2 5 2 3 3 6 2" xfId="12075"/>
    <cellStyle name="Normal 2 5 2 3 3 6 2 2" xfId="22119"/>
    <cellStyle name="Normal 2 5 2 3 3 6 3" xfId="8490"/>
    <cellStyle name="Normal 2 5 2 3 3 6 4" xfId="17112"/>
    <cellStyle name="Normal 2 5 2 3 3 7" xfId="4204"/>
    <cellStyle name="Normal 2 5 2 3 3 7 2" xfId="13042"/>
    <cellStyle name="Normal 2 5 2 3 3 7 2 2" xfId="23293"/>
    <cellStyle name="Normal 2 5 2 3 3 7 3" xfId="9463"/>
    <cellStyle name="Normal 2 5 2 3 3 7 4" xfId="18286"/>
    <cellStyle name="Normal 2 5 2 3 3 8" xfId="1476"/>
    <cellStyle name="Normal 2 5 2 3 3 8 2" xfId="10853"/>
    <cellStyle name="Normal 2 5 2 3 3 8 3" xfId="20857"/>
    <cellStyle name="Normal 2 5 2 3 3 9" xfId="5660"/>
    <cellStyle name="Normal 2 5 2 3 3 9 2" xfId="14487"/>
    <cellStyle name="Normal 2 5 2 3 3 9 3" xfId="24738"/>
    <cellStyle name="Normal 2 5 2 3 3_Degree data" xfId="3469"/>
    <cellStyle name="Normal 2 5 2 3 4" xfId="484"/>
    <cellStyle name="Normal 2 5 2 3 4 2" xfId="748"/>
    <cellStyle name="Normal 2 5 2 3 4 2 2" xfId="3234"/>
    <cellStyle name="Normal 2 5 2 3 4 2 2 2" xfId="12376"/>
    <cellStyle name="Normal 2 5 2 3 4 2 2 2 2" xfId="22595"/>
    <cellStyle name="Normal 2 5 2 3 4 2 2 3" xfId="8798"/>
    <cellStyle name="Normal 2 5 2 3 4 2 2 4" xfId="17588"/>
    <cellStyle name="Normal 2 5 2 3 4 2 3" xfId="4563"/>
    <cellStyle name="Normal 2 5 2 3 4 2 3 2" xfId="13401"/>
    <cellStyle name="Normal 2 5 2 3 4 2 3 2 2" xfId="23652"/>
    <cellStyle name="Normal 2 5 2 3 4 2 3 3" xfId="9822"/>
    <cellStyle name="Normal 2 5 2 3 4 2 3 4" xfId="18645"/>
    <cellStyle name="Normal 2 5 2 3 4 2 4" xfId="2343"/>
    <cellStyle name="Normal 2 5 2 3 4 2 4 2" xfId="11708"/>
    <cellStyle name="Normal 2 5 2 3 4 2 4 3" xfId="21712"/>
    <cellStyle name="Normal 2 5 2 3 4 2 5" xfId="6019"/>
    <cellStyle name="Normal 2 5 2 3 4 2 5 2" xfId="14846"/>
    <cellStyle name="Normal 2 5 2 3 4 2 5 3" xfId="25097"/>
    <cellStyle name="Normal 2 5 2 3 4 2 6" xfId="7463"/>
    <cellStyle name="Normal 2 5 2 3 4 2 6 2" xfId="20194"/>
    <cellStyle name="Normal 2 5 2 3 4 2 7" xfId="16705"/>
    <cellStyle name="Normal 2 5 2 3 4 3" xfId="1256"/>
    <cellStyle name="Normal 2 5 2 3 4 3 2" xfId="3685"/>
    <cellStyle name="Normal 2 5 2 3 4 3 2 2" xfId="12821"/>
    <cellStyle name="Normal 2 5 2 3 4 3 2 2 2" xfId="23040"/>
    <cellStyle name="Normal 2 5 2 3 4 3 2 3" xfId="9242"/>
    <cellStyle name="Normal 2 5 2 3 4 3 2 4" xfId="18033"/>
    <cellStyle name="Normal 2 5 2 3 4 3 3" xfId="4912"/>
    <cellStyle name="Normal 2 5 2 3 4 3 3 2" xfId="13749"/>
    <cellStyle name="Normal 2 5 2 3 4 3 3 2 2" xfId="24000"/>
    <cellStyle name="Normal 2 5 2 3 4 3 3 3" xfId="10170"/>
    <cellStyle name="Normal 2 5 2 3 4 3 3 4" xfId="18993"/>
    <cellStyle name="Normal 2 5 2 3 4 3 4" xfId="2079"/>
    <cellStyle name="Normal 2 5 2 3 4 3 4 2" xfId="11444"/>
    <cellStyle name="Normal 2 5 2 3 4 3 4 3" xfId="21448"/>
    <cellStyle name="Normal 2 5 2 3 4 3 5" xfId="6367"/>
    <cellStyle name="Normal 2 5 2 3 4 3 5 2" xfId="15194"/>
    <cellStyle name="Normal 2 5 2 3 4 3 5 3" xfId="25445"/>
    <cellStyle name="Normal 2 5 2 3 4 3 6" xfId="7813"/>
    <cellStyle name="Normal 2 5 2 3 4 3 6 2" xfId="20639"/>
    <cellStyle name="Normal 2 5 2 3 4 3 7" xfId="16441"/>
    <cellStyle name="Normal 2 5 2 3 4 4" xfId="2970"/>
    <cellStyle name="Normal 2 5 2 3 4 4 2" xfId="5348"/>
    <cellStyle name="Normal 2 5 2 3 4 4 2 2" xfId="14185"/>
    <cellStyle name="Normal 2 5 2 3 4 4 2 2 2" xfId="24436"/>
    <cellStyle name="Normal 2 5 2 3 4 4 2 3" xfId="10606"/>
    <cellStyle name="Normal 2 5 2 3 4 4 2 4" xfId="19429"/>
    <cellStyle name="Normal 2 5 2 3 4 4 3" xfId="6803"/>
    <cellStyle name="Normal 2 5 2 3 4 4 3 2" xfId="15630"/>
    <cellStyle name="Normal 2 5 2 3 4 4 3 3" xfId="25881"/>
    <cellStyle name="Normal 2 5 2 3 4 4 4" xfId="8249"/>
    <cellStyle name="Normal 2 5 2 3 4 4 4 2" xfId="22331"/>
    <cellStyle name="Normal 2 5 2 3 4 4 5" xfId="17324"/>
    <cellStyle name="Normal 2 5 2 3 4 5" xfId="4304"/>
    <cellStyle name="Normal 2 5 2 3 4 5 2" xfId="13142"/>
    <cellStyle name="Normal 2 5 2 3 4 5 2 2" xfId="23393"/>
    <cellStyle name="Normal 2 5 2 3 4 5 3" xfId="9563"/>
    <cellStyle name="Normal 2 5 2 3 4 5 4" xfId="18386"/>
    <cellStyle name="Normal 2 5 2 3 4 6" xfId="1576"/>
    <cellStyle name="Normal 2 5 2 3 4 6 2" xfId="10953"/>
    <cellStyle name="Normal 2 5 2 3 4 6 3" xfId="20957"/>
    <cellStyle name="Normal 2 5 2 3 4 7" xfId="5760"/>
    <cellStyle name="Normal 2 5 2 3 4 7 2" xfId="14587"/>
    <cellStyle name="Normal 2 5 2 3 4 7 3" xfId="24838"/>
    <cellStyle name="Normal 2 5 2 3 4 8" xfId="7204"/>
    <cellStyle name="Normal 2 5 2 3 4 8 2" xfId="19930"/>
    <cellStyle name="Normal 2 5 2 3 4 9" xfId="15950"/>
    <cellStyle name="Normal 2 5 2 3 4_Degree data" xfId="3916"/>
    <cellStyle name="Normal 2 5 2 3 5" xfId="325"/>
    <cellStyle name="Normal 2 5 2 3 5 2" xfId="2811"/>
    <cellStyle name="Normal 2 5 2 3 5 2 2" xfId="12115"/>
    <cellStyle name="Normal 2 5 2 3 5 2 2 2" xfId="22172"/>
    <cellStyle name="Normal 2 5 2 3 5 2 3" xfId="8413"/>
    <cellStyle name="Normal 2 5 2 3 5 2 4" xfId="17165"/>
    <cellStyle name="Normal 2 5 2 3 5 3" xfId="4558"/>
    <cellStyle name="Normal 2 5 2 3 5 3 2" xfId="13396"/>
    <cellStyle name="Normal 2 5 2 3 5 3 2 2" xfId="23647"/>
    <cellStyle name="Normal 2 5 2 3 5 3 3" xfId="9817"/>
    <cellStyle name="Normal 2 5 2 3 5 3 4" xfId="18640"/>
    <cellStyle name="Normal 2 5 2 3 5 4" xfId="1920"/>
    <cellStyle name="Normal 2 5 2 3 5 4 2" xfId="11285"/>
    <cellStyle name="Normal 2 5 2 3 5 4 3" xfId="21289"/>
    <cellStyle name="Normal 2 5 2 3 5 5" xfId="6014"/>
    <cellStyle name="Normal 2 5 2 3 5 5 2" xfId="14841"/>
    <cellStyle name="Normal 2 5 2 3 5 5 3" xfId="25092"/>
    <cellStyle name="Normal 2 5 2 3 5 6" xfId="7458"/>
    <cellStyle name="Normal 2 5 2 3 5 6 2" xfId="19771"/>
    <cellStyle name="Normal 2 5 2 3 5 7" xfId="16282"/>
    <cellStyle name="Normal 2 5 2 3 6" xfId="743"/>
    <cellStyle name="Normal 2 5 2 3 6 2" xfId="3229"/>
    <cellStyle name="Normal 2 5 2 3 6 2 2" xfId="12371"/>
    <cellStyle name="Normal 2 5 2 3 6 2 2 2" xfId="22590"/>
    <cellStyle name="Normal 2 5 2 3 6 2 3" xfId="8793"/>
    <cellStyle name="Normal 2 5 2 3 6 2 4" xfId="17583"/>
    <cellStyle name="Normal 2 5 2 3 6 3" xfId="4907"/>
    <cellStyle name="Normal 2 5 2 3 6 3 2" xfId="13744"/>
    <cellStyle name="Normal 2 5 2 3 6 3 2 2" xfId="23995"/>
    <cellStyle name="Normal 2 5 2 3 6 3 3" xfId="10165"/>
    <cellStyle name="Normal 2 5 2 3 6 3 4" xfId="18988"/>
    <cellStyle name="Normal 2 5 2 3 6 4" xfId="2338"/>
    <cellStyle name="Normal 2 5 2 3 6 4 2" xfId="11703"/>
    <cellStyle name="Normal 2 5 2 3 6 4 3" xfId="21707"/>
    <cellStyle name="Normal 2 5 2 3 6 5" xfId="6362"/>
    <cellStyle name="Normal 2 5 2 3 6 5 2" xfId="15189"/>
    <cellStyle name="Normal 2 5 2 3 6 5 3" xfId="25440"/>
    <cellStyle name="Normal 2 5 2 3 6 6" xfId="7808"/>
    <cellStyle name="Normal 2 5 2 3 6 6 2" xfId="20189"/>
    <cellStyle name="Normal 2 5 2 3 6 7" xfId="16700"/>
    <cellStyle name="Normal 2 5 2 3 7" xfId="1097"/>
    <cellStyle name="Normal 2 5 2 3 7 2" xfId="3526"/>
    <cellStyle name="Normal 2 5 2 3 7 2 2" xfId="12662"/>
    <cellStyle name="Normal 2 5 2 3 7 2 2 2" xfId="22881"/>
    <cellStyle name="Normal 2 5 2 3 7 2 3" xfId="9084"/>
    <cellStyle name="Normal 2 5 2 3 7 2 4" xfId="17874"/>
    <cellStyle name="Normal 2 5 2 3 7 3" xfId="5189"/>
    <cellStyle name="Normal 2 5 2 3 7 3 2" xfId="14026"/>
    <cellStyle name="Normal 2 5 2 3 7 3 2 2" xfId="24277"/>
    <cellStyle name="Normal 2 5 2 3 7 3 3" xfId="10447"/>
    <cellStyle name="Normal 2 5 2 3 7 3 4" xfId="19270"/>
    <cellStyle name="Normal 2 5 2 3 7 4" xfId="1755"/>
    <cellStyle name="Normal 2 5 2 3 7 4 2" xfId="11126"/>
    <cellStyle name="Normal 2 5 2 3 7 4 3" xfId="21130"/>
    <cellStyle name="Normal 2 5 2 3 7 5" xfId="6644"/>
    <cellStyle name="Normal 2 5 2 3 7 5 2" xfId="15471"/>
    <cellStyle name="Normal 2 5 2 3 7 5 3" xfId="25722"/>
    <cellStyle name="Normal 2 5 2 3 7 6" xfId="8090"/>
    <cellStyle name="Normal 2 5 2 3 7 6 2" xfId="20480"/>
    <cellStyle name="Normal 2 5 2 3 7 7" xfId="16123"/>
    <cellStyle name="Normal 2 5 2 3 8" xfId="2653"/>
    <cellStyle name="Normal 2 5 2 3 8 2" xfId="5601"/>
    <cellStyle name="Normal 2 5 2 3 8 2 2" xfId="14428"/>
    <cellStyle name="Normal 2 5 2 3 8 2 3" xfId="24679"/>
    <cellStyle name="Normal 2 5 2 3 8 3" xfId="7045"/>
    <cellStyle name="Normal 2 5 2 3 8 3 2" xfId="22014"/>
    <cellStyle name="Normal 2 5 2 3 8 4" xfId="17007"/>
    <cellStyle name="Normal 2 5 2 3 9" xfId="4143"/>
    <cellStyle name="Normal 2 5 2 3 9 2" xfId="12981"/>
    <cellStyle name="Normal 2 5 2 3 9 2 2" xfId="23232"/>
    <cellStyle name="Normal 2 5 2 3 9 3" xfId="9402"/>
    <cellStyle name="Normal 2 5 2 3 9 4" xfId="18225"/>
    <cellStyle name="Normal 2 5 2 3_Degree data" xfId="3826"/>
    <cellStyle name="Normal 2 5 2 4" xfId="189"/>
    <cellStyle name="Normal 2 5 2 4 10" xfId="7137"/>
    <cellStyle name="Normal 2 5 2 4 10 2" xfId="19646"/>
    <cellStyle name="Normal 2 5 2 4 11" xfId="15883"/>
    <cellStyle name="Normal 2 5 2 4 2" xfId="517"/>
    <cellStyle name="Normal 2 5 2 4 2 2" xfId="750"/>
    <cellStyle name="Normal 2 5 2 4 2 2 2" xfId="3236"/>
    <cellStyle name="Normal 2 5 2 4 2 2 2 2" xfId="12378"/>
    <cellStyle name="Normal 2 5 2 4 2 2 2 2 2" xfId="22597"/>
    <cellStyle name="Normal 2 5 2 4 2 2 2 3" xfId="8800"/>
    <cellStyle name="Normal 2 5 2 4 2 2 2 4" xfId="17590"/>
    <cellStyle name="Normal 2 5 2 4 2 2 3" xfId="4565"/>
    <cellStyle name="Normal 2 5 2 4 2 2 3 2" xfId="13403"/>
    <cellStyle name="Normal 2 5 2 4 2 2 3 2 2" xfId="23654"/>
    <cellStyle name="Normal 2 5 2 4 2 2 3 3" xfId="9824"/>
    <cellStyle name="Normal 2 5 2 4 2 2 3 4" xfId="18647"/>
    <cellStyle name="Normal 2 5 2 4 2 2 4" xfId="2345"/>
    <cellStyle name="Normal 2 5 2 4 2 2 4 2" xfId="11710"/>
    <cellStyle name="Normal 2 5 2 4 2 2 4 3" xfId="21714"/>
    <cellStyle name="Normal 2 5 2 4 2 2 5" xfId="6021"/>
    <cellStyle name="Normal 2 5 2 4 2 2 5 2" xfId="14848"/>
    <cellStyle name="Normal 2 5 2 4 2 2 5 3" xfId="25099"/>
    <cellStyle name="Normal 2 5 2 4 2 2 6" xfId="7465"/>
    <cellStyle name="Normal 2 5 2 4 2 2 6 2" xfId="20196"/>
    <cellStyle name="Normal 2 5 2 4 2 2 7" xfId="16707"/>
    <cellStyle name="Normal 2 5 2 4 2 3" xfId="1289"/>
    <cellStyle name="Normal 2 5 2 4 2 3 2" xfId="3718"/>
    <cellStyle name="Normal 2 5 2 4 2 3 2 2" xfId="12854"/>
    <cellStyle name="Normal 2 5 2 4 2 3 2 2 2" xfId="23073"/>
    <cellStyle name="Normal 2 5 2 4 2 3 2 3" xfId="9275"/>
    <cellStyle name="Normal 2 5 2 4 2 3 2 4" xfId="18066"/>
    <cellStyle name="Normal 2 5 2 4 2 3 3" xfId="4914"/>
    <cellStyle name="Normal 2 5 2 4 2 3 3 2" xfId="13751"/>
    <cellStyle name="Normal 2 5 2 4 2 3 3 2 2" xfId="24002"/>
    <cellStyle name="Normal 2 5 2 4 2 3 3 3" xfId="10172"/>
    <cellStyle name="Normal 2 5 2 4 2 3 3 4" xfId="18995"/>
    <cellStyle name="Normal 2 5 2 4 2 3 4" xfId="2112"/>
    <cellStyle name="Normal 2 5 2 4 2 3 4 2" xfId="11477"/>
    <cellStyle name="Normal 2 5 2 4 2 3 4 3" xfId="21481"/>
    <cellStyle name="Normal 2 5 2 4 2 3 5" xfId="6369"/>
    <cellStyle name="Normal 2 5 2 4 2 3 5 2" xfId="15196"/>
    <cellStyle name="Normal 2 5 2 4 2 3 5 3" xfId="25447"/>
    <cellStyle name="Normal 2 5 2 4 2 3 6" xfId="7815"/>
    <cellStyle name="Normal 2 5 2 4 2 3 6 2" xfId="20672"/>
    <cellStyle name="Normal 2 5 2 4 2 3 7" xfId="16474"/>
    <cellStyle name="Normal 2 5 2 4 2 4" xfId="3003"/>
    <cellStyle name="Normal 2 5 2 4 2 4 2" xfId="5381"/>
    <cellStyle name="Normal 2 5 2 4 2 4 2 2" xfId="14218"/>
    <cellStyle name="Normal 2 5 2 4 2 4 2 2 2" xfId="24469"/>
    <cellStyle name="Normal 2 5 2 4 2 4 2 3" xfId="10639"/>
    <cellStyle name="Normal 2 5 2 4 2 4 2 4" xfId="19462"/>
    <cellStyle name="Normal 2 5 2 4 2 4 3" xfId="6836"/>
    <cellStyle name="Normal 2 5 2 4 2 4 3 2" xfId="15663"/>
    <cellStyle name="Normal 2 5 2 4 2 4 3 3" xfId="25914"/>
    <cellStyle name="Normal 2 5 2 4 2 4 4" xfId="8282"/>
    <cellStyle name="Normal 2 5 2 4 2 4 4 2" xfId="22364"/>
    <cellStyle name="Normal 2 5 2 4 2 4 5" xfId="17357"/>
    <cellStyle name="Normal 2 5 2 4 2 5" xfId="4337"/>
    <cellStyle name="Normal 2 5 2 4 2 5 2" xfId="13175"/>
    <cellStyle name="Normal 2 5 2 4 2 5 2 2" xfId="23426"/>
    <cellStyle name="Normal 2 5 2 4 2 5 3" xfId="9596"/>
    <cellStyle name="Normal 2 5 2 4 2 5 4" xfId="18419"/>
    <cellStyle name="Normal 2 5 2 4 2 6" xfId="1609"/>
    <cellStyle name="Normal 2 5 2 4 2 6 2" xfId="10986"/>
    <cellStyle name="Normal 2 5 2 4 2 6 3" xfId="20990"/>
    <cellStyle name="Normal 2 5 2 4 2 7" xfId="5793"/>
    <cellStyle name="Normal 2 5 2 4 2 7 2" xfId="14620"/>
    <cellStyle name="Normal 2 5 2 4 2 7 3" xfId="24871"/>
    <cellStyle name="Normal 2 5 2 4 2 8" xfId="7237"/>
    <cellStyle name="Normal 2 5 2 4 2 8 2" xfId="19963"/>
    <cellStyle name="Normal 2 5 2 4 2 9" xfId="15983"/>
    <cellStyle name="Normal 2 5 2 4 2_Degree data" xfId="3881"/>
    <cellStyle name="Normal 2 5 2 4 3" xfId="417"/>
    <cellStyle name="Normal 2 5 2 4 3 2" xfId="2903"/>
    <cellStyle name="Normal 2 5 2 4 3 2 2" xfId="12191"/>
    <cellStyle name="Normal 2 5 2 4 3 2 2 2" xfId="22264"/>
    <cellStyle name="Normal 2 5 2 4 3 2 3" xfId="8648"/>
    <cellStyle name="Normal 2 5 2 4 3 2 4" xfId="17257"/>
    <cellStyle name="Normal 2 5 2 4 3 3" xfId="4564"/>
    <cellStyle name="Normal 2 5 2 4 3 3 2" xfId="13402"/>
    <cellStyle name="Normal 2 5 2 4 3 3 2 2" xfId="23653"/>
    <cellStyle name="Normal 2 5 2 4 3 3 3" xfId="9823"/>
    <cellStyle name="Normal 2 5 2 4 3 3 4" xfId="18646"/>
    <cellStyle name="Normal 2 5 2 4 3 4" xfId="2012"/>
    <cellStyle name="Normal 2 5 2 4 3 4 2" xfId="11377"/>
    <cellStyle name="Normal 2 5 2 4 3 4 3" xfId="21381"/>
    <cellStyle name="Normal 2 5 2 4 3 5" xfId="6020"/>
    <cellStyle name="Normal 2 5 2 4 3 5 2" xfId="14847"/>
    <cellStyle name="Normal 2 5 2 4 3 5 3" xfId="25098"/>
    <cellStyle name="Normal 2 5 2 4 3 6" xfId="7464"/>
    <cellStyle name="Normal 2 5 2 4 3 6 2" xfId="19863"/>
    <cellStyle name="Normal 2 5 2 4 3 7" xfId="16374"/>
    <cellStyle name="Normal 2 5 2 4 4" xfId="749"/>
    <cellStyle name="Normal 2 5 2 4 4 2" xfId="3235"/>
    <cellStyle name="Normal 2 5 2 4 4 2 2" xfId="12377"/>
    <cellStyle name="Normal 2 5 2 4 4 2 2 2" xfId="22596"/>
    <cellStyle name="Normal 2 5 2 4 4 2 3" xfId="8799"/>
    <cellStyle name="Normal 2 5 2 4 4 2 4" xfId="17589"/>
    <cellStyle name="Normal 2 5 2 4 4 3" xfId="4913"/>
    <cellStyle name="Normal 2 5 2 4 4 3 2" xfId="13750"/>
    <cellStyle name="Normal 2 5 2 4 4 3 2 2" xfId="24001"/>
    <cellStyle name="Normal 2 5 2 4 4 3 3" xfId="10171"/>
    <cellStyle name="Normal 2 5 2 4 4 3 4" xfId="18994"/>
    <cellStyle name="Normal 2 5 2 4 4 4" xfId="2344"/>
    <cellStyle name="Normal 2 5 2 4 4 4 2" xfId="11709"/>
    <cellStyle name="Normal 2 5 2 4 4 4 3" xfId="21713"/>
    <cellStyle name="Normal 2 5 2 4 4 5" xfId="6368"/>
    <cellStyle name="Normal 2 5 2 4 4 5 2" xfId="15195"/>
    <cellStyle name="Normal 2 5 2 4 4 5 3" xfId="25446"/>
    <cellStyle name="Normal 2 5 2 4 4 6" xfId="7814"/>
    <cellStyle name="Normal 2 5 2 4 4 6 2" xfId="20195"/>
    <cellStyle name="Normal 2 5 2 4 4 7" xfId="16706"/>
    <cellStyle name="Normal 2 5 2 4 5" xfId="1189"/>
    <cellStyle name="Normal 2 5 2 4 5 2" xfId="3618"/>
    <cellStyle name="Normal 2 5 2 4 5 2 2" xfId="12754"/>
    <cellStyle name="Normal 2 5 2 4 5 2 2 2" xfId="22973"/>
    <cellStyle name="Normal 2 5 2 4 5 2 3" xfId="9175"/>
    <cellStyle name="Normal 2 5 2 4 5 2 4" xfId="17966"/>
    <cellStyle name="Normal 2 5 2 4 5 3" xfId="5281"/>
    <cellStyle name="Normal 2 5 2 4 5 3 2" xfId="14118"/>
    <cellStyle name="Normal 2 5 2 4 5 3 2 2" xfId="24369"/>
    <cellStyle name="Normal 2 5 2 4 5 3 3" xfId="10539"/>
    <cellStyle name="Normal 2 5 2 4 5 3 4" xfId="19362"/>
    <cellStyle name="Normal 2 5 2 4 5 4" xfId="1791"/>
    <cellStyle name="Normal 2 5 2 4 5 4 2" xfId="11160"/>
    <cellStyle name="Normal 2 5 2 4 5 4 3" xfId="21164"/>
    <cellStyle name="Normal 2 5 2 4 5 5" xfId="6736"/>
    <cellStyle name="Normal 2 5 2 4 5 5 2" xfId="15563"/>
    <cellStyle name="Normal 2 5 2 4 5 5 3" xfId="25814"/>
    <cellStyle name="Normal 2 5 2 4 5 6" xfId="8182"/>
    <cellStyle name="Normal 2 5 2 4 5 6 2" xfId="20572"/>
    <cellStyle name="Normal 2 5 2 4 5 7" xfId="16157"/>
    <cellStyle name="Normal 2 5 2 4 6" xfId="2686"/>
    <cellStyle name="Normal 2 5 2 4 6 2" xfId="12003"/>
    <cellStyle name="Normal 2 5 2 4 6 2 2" xfId="22047"/>
    <cellStyle name="Normal 2 5 2 4 6 3" xfId="8625"/>
    <cellStyle name="Normal 2 5 2 4 6 4" xfId="17040"/>
    <cellStyle name="Normal 2 5 2 4 7" xfId="4237"/>
    <cellStyle name="Normal 2 5 2 4 7 2" xfId="13075"/>
    <cellStyle name="Normal 2 5 2 4 7 2 2" xfId="23326"/>
    <cellStyle name="Normal 2 5 2 4 7 3" xfId="9496"/>
    <cellStyle name="Normal 2 5 2 4 7 4" xfId="18319"/>
    <cellStyle name="Normal 2 5 2 4 8" xfId="1509"/>
    <cellStyle name="Normal 2 5 2 4 8 2" xfId="10886"/>
    <cellStyle name="Normal 2 5 2 4 8 3" xfId="20890"/>
    <cellStyle name="Normal 2 5 2 4 9" xfId="5693"/>
    <cellStyle name="Normal 2 5 2 4 9 2" xfId="14520"/>
    <cellStyle name="Normal 2 5 2 4 9 3" xfId="24771"/>
    <cellStyle name="Normal 2 5 2 4_Degree data" xfId="3847"/>
    <cellStyle name="Normal 2 5 2 5" xfId="248"/>
    <cellStyle name="Normal 2 5 2 5 10" xfId="7086"/>
    <cellStyle name="Normal 2 5 2 5 10 2" xfId="19700"/>
    <cellStyle name="Normal 2 5 2 5 11" xfId="15832"/>
    <cellStyle name="Normal 2 5 2 5 2" xfId="571"/>
    <cellStyle name="Normal 2 5 2 5 2 2" xfId="752"/>
    <cellStyle name="Normal 2 5 2 5 2 2 2" xfId="3238"/>
    <cellStyle name="Normal 2 5 2 5 2 2 2 2" xfId="12380"/>
    <cellStyle name="Normal 2 5 2 5 2 2 2 2 2" xfId="22599"/>
    <cellStyle name="Normal 2 5 2 5 2 2 2 3" xfId="8802"/>
    <cellStyle name="Normal 2 5 2 5 2 2 2 4" xfId="17592"/>
    <cellStyle name="Normal 2 5 2 5 2 2 3" xfId="4567"/>
    <cellStyle name="Normal 2 5 2 5 2 2 3 2" xfId="13405"/>
    <cellStyle name="Normal 2 5 2 5 2 2 3 2 2" xfId="23656"/>
    <cellStyle name="Normal 2 5 2 5 2 2 3 3" xfId="9826"/>
    <cellStyle name="Normal 2 5 2 5 2 2 3 4" xfId="18649"/>
    <cellStyle name="Normal 2 5 2 5 2 2 4" xfId="2347"/>
    <cellStyle name="Normal 2 5 2 5 2 2 4 2" xfId="11712"/>
    <cellStyle name="Normal 2 5 2 5 2 2 4 3" xfId="21716"/>
    <cellStyle name="Normal 2 5 2 5 2 2 5" xfId="6023"/>
    <cellStyle name="Normal 2 5 2 5 2 2 5 2" xfId="14850"/>
    <cellStyle name="Normal 2 5 2 5 2 2 5 3" xfId="25101"/>
    <cellStyle name="Normal 2 5 2 5 2 2 6" xfId="7467"/>
    <cellStyle name="Normal 2 5 2 5 2 2 6 2" xfId="20198"/>
    <cellStyle name="Normal 2 5 2 5 2 2 7" xfId="16709"/>
    <cellStyle name="Normal 2 5 2 5 2 3" xfId="1343"/>
    <cellStyle name="Normal 2 5 2 5 2 3 2" xfId="3772"/>
    <cellStyle name="Normal 2 5 2 5 2 3 2 2" xfId="12908"/>
    <cellStyle name="Normal 2 5 2 5 2 3 2 2 2" xfId="23127"/>
    <cellStyle name="Normal 2 5 2 5 2 3 2 3" xfId="9329"/>
    <cellStyle name="Normal 2 5 2 5 2 3 2 4" xfId="18120"/>
    <cellStyle name="Normal 2 5 2 5 2 3 3" xfId="4916"/>
    <cellStyle name="Normal 2 5 2 5 2 3 3 2" xfId="13753"/>
    <cellStyle name="Normal 2 5 2 5 2 3 3 2 2" xfId="24004"/>
    <cellStyle name="Normal 2 5 2 5 2 3 3 3" xfId="10174"/>
    <cellStyle name="Normal 2 5 2 5 2 3 3 4" xfId="18997"/>
    <cellStyle name="Normal 2 5 2 5 2 3 4" xfId="2166"/>
    <cellStyle name="Normal 2 5 2 5 2 3 4 2" xfId="11531"/>
    <cellStyle name="Normal 2 5 2 5 2 3 4 3" xfId="21535"/>
    <cellStyle name="Normal 2 5 2 5 2 3 5" xfId="6371"/>
    <cellStyle name="Normal 2 5 2 5 2 3 5 2" xfId="15198"/>
    <cellStyle name="Normal 2 5 2 5 2 3 5 3" xfId="25449"/>
    <cellStyle name="Normal 2 5 2 5 2 3 6" xfId="7817"/>
    <cellStyle name="Normal 2 5 2 5 2 3 6 2" xfId="20726"/>
    <cellStyle name="Normal 2 5 2 5 2 3 7" xfId="16528"/>
    <cellStyle name="Normal 2 5 2 5 2 4" xfId="3057"/>
    <cellStyle name="Normal 2 5 2 5 2 4 2" xfId="5435"/>
    <cellStyle name="Normal 2 5 2 5 2 4 2 2" xfId="14272"/>
    <cellStyle name="Normal 2 5 2 5 2 4 2 2 2" xfId="24523"/>
    <cellStyle name="Normal 2 5 2 5 2 4 2 3" xfId="10693"/>
    <cellStyle name="Normal 2 5 2 5 2 4 2 4" xfId="19516"/>
    <cellStyle name="Normal 2 5 2 5 2 4 3" xfId="6890"/>
    <cellStyle name="Normal 2 5 2 5 2 4 3 2" xfId="15717"/>
    <cellStyle name="Normal 2 5 2 5 2 4 3 3" xfId="25968"/>
    <cellStyle name="Normal 2 5 2 5 2 4 4" xfId="8336"/>
    <cellStyle name="Normal 2 5 2 5 2 4 4 2" xfId="22418"/>
    <cellStyle name="Normal 2 5 2 5 2 4 5" xfId="17411"/>
    <cellStyle name="Normal 2 5 2 5 2 5" xfId="4391"/>
    <cellStyle name="Normal 2 5 2 5 2 5 2" xfId="13229"/>
    <cellStyle name="Normal 2 5 2 5 2 5 2 2" xfId="23480"/>
    <cellStyle name="Normal 2 5 2 5 2 5 3" xfId="9650"/>
    <cellStyle name="Normal 2 5 2 5 2 5 4" xfId="18473"/>
    <cellStyle name="Normal 2 5 2 5 2 6" xfId="1663"/>
    <cellStyle name="Normal 2 5 2 5 2 6 2" xfId="11040"/>
    <cellStyle name="Normal 2 5 2 5 2 6 3" xfId="21044"/>
    <cellStyle name="Normal 2 5 2 5 2 7" xfId="5847"/>
    <cellStyle name="Normal 2 5 2 5 2 7 2" xfId="14674"/>
    <cellStyle name="Normal 2 5 2 5 2 7 3" xfId="24925"/>
    <cellStyle name="Normal 2 5 2 5 2 8" xfId="7291"/>
    <cellStyle name="Normal 2 5 2 5 2 8 2" xfId="20017"/>
    <cellStyle name="Normal 2 5 2 5 2 9" xfId="16037"/>
    <cellStyle name="Normal 2 5 2 5 2_Degree data" xfId="3822"/>
    <cellStyle name="Normal 2 5 2 5 3" xfId="366"/>
    <cellStyle name="Normal 2 5 2 5 3 2" xfId="2852"/>
    <cellStyle name="Normal 2 5 2 5 3 2 2" xfId="12140"/>
    <cellStyle name="Normal 2 5 2 5 3 2 2 2" xfId="22213"/>
    <cellStyle name="Normal 2 5 2 5 3 2 3" xfId="8390"/>
    <cellStyle name="Normal 2 5 2 5 3 2 4" xfId="17206"/>
    <cellStyle name="Normal 2 5 2 5 3 3" xfId="4566"/>
    <cellStyle name="Normal 2 5 2 5 3 3 2" xfId="13404"/>
    <cellStyle name="Normal 2 5 2 5 3 3 2 2" xfId="23655"/>
    <cellStyle name="Normal 2 5 2 5 3 3 3" xfId="9825"/>
    <cellStyle name="Normal 2 5 2 5 3 3 4" xfId="18648"/>
    <cellStyle name="Normal 2 5 2 5 3 4" xfId="1961"/>
    <cellStyle name="Normal 2 5 2 5 3 4 2" xfId="11326"/>
    <cellStyle name="Normal 2 5 2 5 3 4 3" xfId="21330"/>
    <cellStyle name="Normal 2 5 2 5 3 5" xfId="6022"/>
    <cellStyle name="Normal 2 5 2 5 3 5 2" xfId="14849"/>
    <cellStyle name="Normal 2 5 2 5 3 5 3" xfId="25100"/>
    <cellStyle name="Normal 2 5 2 5 3 6" xfId="7466"/>
    <cellStyle name="Normal 2 5 2 5 3 6 2" xfId="19812"/>
    <cellStyle name="Normal 2 5 2 5 3 7" xfId="16323"/>
    <cellStyle name="Normal 2 5 2 5 4" xfId="751"/>
    <cellStyle name="Normal 2 5 2 5 4 2" xfId="3237"/>
    <cellStyle name="Normal 2 5 2 5 4 2 2" xfId="12379"/>
    <cellStyle name="Normal 2 5 2 5 4 2 2 2" xfId="22598"/>
    <cellStyle name="Normal 2 5 2 5 4 2 3" xfId="8801"/>
    <cellStyle name="Normal 2 5 2 5 4 2 4" xfId="17591"/>
    <cellStyle name="Normal 2 5 2 5 4 3" xfId="4915"/>
    <cellStyle name="Normal 2 5 2 5 4 3 2" xfId="13752"/>
    <cellStyle name="Normal 2 5 2 5 4 3 2 2" xfId="24003"/>
    <cellStyle name="Normal 2 5 2 5 4 3 3" xfId="10173"/>
    <cellStyle name="Normal 2 5 2 5 4 3 4" xfId="18996"/>
    <cellStyle name="Normal 2 5 2 5 4 4" xfId="2346"/>
    <cellStyle name="Normal 2 5 2 5 4 4 2" xfId="11711"/>
    <cellStyle name="Normal 2 5 2 5 4 4 3" xfId="21715"/>
    <cellStyle name="Normal 2 5 2 5 4 5" xfId="6370"/>
    <cellStyle name="Normal 2 5 2 5 4 5 2" xfId="15197"/>
    <cellStyle name="Normal 2 5 2 5 4 5 3" xfId="25448"/>
    <cellStyle name="Normal 2 5 2 5 4 6" xfId="7816"/>
    <cellStyle name="Normal 2 5 2 5 4 6 2" xfId="20197"/>
    <cellStyle name="Normal 2 5 2 5 4 7" xfId="16708"/>
    <cellStyle name="Normal 2 5 2 5 5" xfId="1138"/>
    <cellStyle name="Normal 2 5 2 5 5 2" xfId="3567"/>
    <cellStyle name="Normal 2 5 2 5 5 2 2" xfId="12703"/>
    <cellStyle name="Normal 2 5 2 5 5 2 2 2" xfId="22922"/>
    <cellStyle name="Normal 2 5 2 5 5 2 3" xfId="9124"/>
    <cellStyle name="Normal 2 5 2 5 5 2 4" xfId="17915"/>
    <cellStyle name="Normal 2 5 2 5 5 3" xfId="5230"/>
    <cellStyle name="Normal 2 5 2 5 5 3 2" xfId="14067"/>
    <cellStyle name="Normal 2 5 2 5 5 3 2 2" xfId="24318"/>
    <cellStyle name="Normal 2 5 2 5 5 3 3" xfId="10488"/>
    <cellStyle name="Normal 2 5 2 5 5 3 4" xfId="19311"/>
    <cellStyle name="Normal 2 5 2 5 5 4" xfId="1846"/>
    <cellStyle name="Normal 2 5 2 5 5 4 2" xfId="11214"/>
    <cellStyle name="Normal 2 5 2 5 5 4 3" xfId="21218"/>
    <cellStyle name="Normal 2 5 2 5 5 5" xfId="6685"/>
    <cellStyle name="Normal 2 5 2 5 5 5 2" xfId="15512"/>
    <cellStyle name="Normal 2 5 2 5 5 5 3" xfId="25763"/>
    <cellStyle name="Normal 2 5 2 5 5 6" xfId="8131"/>
    <cellStyle name="Normal 2 5 2 5 5 6 2" xfId="20521"/>
    <cellStyle name="Normal 2 5 2 5 5 7" xfId="16211"/>
    <cellStyle name="Normal 2 5 2 5 6" xfId="2740"/>
    <cellStyle name="Normal 2 5 2 5 6 2" xfId="12057"/>
    <cellStyle name="Normal 2 5 2 5 6 2 2" xfId="22101"/>
    <cellStyle name="Normal 2 5 2 5 6 3" xfId="8432"/>
    <cellStyle name="Normal 2 5 2 5 6 4" xfId="17094"/>
    <cellStyle name="Normal 2 5 2 5 7" xfId="4186"/>
    <cellStyle name="Normal 2 5 2 5 7 2" xfId="13024"/>
    <cellStyle name="Normal 2 5 2 5 7 2 2" xfId="23275"/>
    <cellStyle name="Normal 2 5 2 5 7 3" xfId="9445"/>
    <cellStyle name="Normal 2 5 2 5 7 4" xfId="18268"/>
    <cellStyle name="Normal 2 5 2 5 8" xfId="1458"/>
    <cellStyle name="Normal 2 5 2 5 8 2" xfId="10835"/>
    <cellStyle name="Normal 2 5 2 5 8 3" xfId="20839"/>
    <cellStyle name="Normal 2 5 2 5 9" xfId="5642"/>
    <cellStyle name="Normal 2 5 2 5 9 2" xfId="14469"/>
    <cellStyle name="Normal 2 5 2 5 9 3" xfId="24720"/>
    <cellStyle name="Normal 2 5 2 5_Degree data" xfId="3913"/>
    <cellStyle name="Normal 2 5 2 6" xfId="466"/>
    <cellStyle name="Normal 2 5 2 6 2" xfId="753"/>
    <cellStyle name="Normal 2 5 2 6 2 2" xfId="3239"/>
    <cellStyle name="Normal 2 5 2 6 2 2 2" xfId="12381"/>
    <cellStyle name="Normal 2 5 2 6 2 2 2 2" xfId="22600"/>
    <cellStyle name="Normal 2 5 2 6 2 2 3" xfId="8803"/>
    <cellStyle name="Normal 2 5 2 6 2 2 4" xfId="17593"/>
    <cellStyle name="Normal 2 5 2 6 2 3" xfId="4568"/>
    <cellStyle name="Normal 2 5 2 6 2 3 2" xfId="13406"/>
    <cellStyle name="Normal 2 5 2 6 2 3 2 2" xfId="23657"/>
    <cellStyle name="Normal 2 5 2 6 2 3 3" xfId="9827"/>
    <cellStyle name="Normal 2 5 2 6 2 3 4" xfId="18650"/>
    <cellStyle name="Normal 2 5 2 6 2 4" xfId="2348"/>
    <cellStyle name="Normal 2 5 2 6 2 4 2" xfId="11713"/>
    <cellStyle name="Normal 2 5 2 6 2 4 3" xfId="21717"/>
    <cellStyle name="Normal 2 5 2 6 2 5" xfId="6024"/>
    <cellStyle name="Normal 2 5 2 6 2 5 2" xfId="14851"/>
    <cellStyle name="Normal 2 5 2 6 2 5 3" xfId="25102"/>
    <cellStyle name="Normal 2 5 2 6 2 6" xfId="7468"/>
    <cellStyle name="Normal 2 5 2 6 2 6 2" xfId="20199"/>
    <cellStyle name="Normal 2 5 2 6 2 7" xfId="16710"/>
    <cellStyle name="Normal 2 5 2 6 3" xfId="1238"/>
    <cellStyle name="Normal 2 5 2 6 3 2" xfId="3667"/>
    <cellStyle name="Normal 2 5 2 6 3 2 2" xfId="12803"/>
    <cellStyle name="Normal 2 5 2 6 3 2 2 2" xfId="23022"/>
    <cellStyle name="Normal 2 5 2 6 3 2 3" xfId="9224"/>
    <cellStyle name="Normal 2 5 2 6 3 2 4" xfId="18015"/>
    <cellStyle name="Normal 2 5 2 6 3 3" xfId="4917"/>
    <cellStyle name="Normal 2 5 2 6 3 3 2" xfId="13754"/>
    <cellStyle name="Normal 2 5 2 6 3 3 2 2" xfId="24005"/>
    <cellStyle name="Normal 2 5 2 6 3 3 3" xfId="10175"/>
    <cellStyle name="Normal 2 5 2 6 3 3 4" xfId="18998"/>
    <cellStyle name="Normal 2 5 2 6 3 4" xfId="2061"/>
    <cellStyle name="Normal 2 5 2 6 3 4 2" xfId="11426"/>
    <cellStyle name="Normal 2 5 2 6 3 4 3" xfId="21430"/>
    <cellStyle name="Normal 2 5 2 6 3 5" xfId="6372"/>
    <cellStyle name="Normal 2 5 2 6 3 5 2" xfId="15199"/>
    <cellStyle name="Normal 2 5 2 6 3 5 3" xfId="25450"/>
    <cellStyle name="Normal 2 5 2 6 3 6" xfId="7818"/>
    <cellStyle name="Normal 2 5 2 6 3 6 2" xfId="20621"/>
    <cellStyle name="Normal 2 5 2 6 3 7" xfId="16423"/>
    <cellStyle name="Normal 2 5 2 6 4" xfId="2952"/>
    <cellStyle name="Normal 2 5 2 6 4 2" xfId="5330"/>
    <cellStyle name="Normal 2 5 2 6 4 2 2" xfId="14167"/>
    <cellStyle name="Normal 2 5 2 6 4 2 2 2" xfId="24418"/>
    <cellStyle name="Normal 2 5 2 6 4 2 3" xfId="10588"/>
    <cellStyle name="Normal 2 5 2 6 4 2 4" xfId="19411"/>
    <cellStyle name="Normal 2 5 2 6 4 3" xfId="6785"/>
    <cellStyle name="Normal 2 5 2 6 4 3 2" xfId="15612"/>
    <cellStyle name="Normal 2 5 2 6 4 3 3" xfId="25863"/>
    <cellStyle name="Normal 2 5 2 6 4 4" xfId="8231"/>
    <cellStyle name="Normal 2 5 2 6 4 4 2" xfId="22313"/>
    <cellStyle name="Normal 2 5 2 6 4 5" xfId="17306"/>
    <cellStyle name="Normal 2 5 2 6 5" xfId="4286"/>
    <cellStyle name="Normal 2 5 2 6 5 2" xfId="13124"/>
    <cellStyle name="Normal 2 5 2 6 5 2 2" xfId="23375"/>
    <cellStyle name="Normal 2 5 2 6 5 3" xfId="9545"/>
    <cellStyle name="Normal 2 5 2 6 5 4" xfId="18368"/>
    <cellStyle name="Normal 2 5 2 6 6" xfId="1558"/>
    <cellStyle name="Normal 2 5 2 6 6 2" xfId="10935"/>
    <cellStyle name="Normal 2 5 2 6 6 3" xfId="20939"/>
    <cellStyle name="Normal 2 5 2 6 7" xfId="5742"/>
    <cellStyle name="Normal 2 5 2 6 7 2" xfId="14569"/>
    <cellStyle name="Normal 2 5 2 6 7 3" xfId="24820"/>
    <cellStyle name="Normal 2 5 2 6 8" xfId="7186"/>
    <cellStyle name="Normal 2 5 2 6 8 2" xfId="19912"/>
    <cellStyle name="Normal 2 5 2 6 9" xfId="15932"/>
    <cellStyle name="Normal 2 5 2 6_Degree data" xfId="3891"/>
    <cellStyle name="Normal 2 5 2 7" xfId="314"/>
    <cellStyle name="Normal 2 5 2 7 2" xfId="754"/>
    <cellStyle name="Normal 2 5 2 7 2 2" xfId="3240"/>
    <cellStyle name="Normal 2 5 2 7 2 2 2" xfId="12382"/>
    <cellStyle name="Normal 2 5 2 7 2 2 2 2" xfId="22601"/>
    <cellStyle name="Normal 2 5 2 7 2 2 3" xfId="8804"/>
    <cellStyle name="Normal 2 5 2 7 2 2 4" xfId="17594"/>
    <cellStyle name="Normal 2 5 2 7 2 3" xfId="4569"/>
    <cellStyle name="Normal 2 5 2 7 2 3 2" xfId="13407"/>
    <cellStyle name="Normal 2 5 2 7 2 3 2 2" xfId="23658"/>
    <cellStyle name="Normal 2 5 2 7 2 3 3" xfId="9828"/>
    <cellStyle name="Normal 2 5 2 7 2 3 4" xfId="18651"/>
    <cellStyle name="Normal 2 5 2 7 2 4" xfId="2349"/>
    <cellStyle name="Normal 2 5 2 7 2 4 2" xfId="11714"/>
    <cellStyle name="Normal 2 5 2 7 2 4 3" xfId="21718"/>
    <cellStyle name="Normal 2 5 2 7 2 5" xfId="6025"/>
    <cellStyle name="Normal 2 5 2 7 2 5 2" xfId="14852"/>
    <cellStyle name="Normal 2 5 2 7 2 5 3" xfId="25103"/>
    <cellStyle name="Normal 2 5 2 7 2 6" xfId="7469"/>
    <cellStyle name="Normal 2 5 2 7 2 6 2" xfId="20200"/>
    <cellStyle name="Normal 2 5 2 7 2 7" xfId="16711"/>
    <cellStyle name="Normal 2 5 2 7 3" xfId="1086"/>
    <cellStyle name="Normal 2 5 2 7 3 2" xfId="3515"/>
    <cellStyle name="Normal 2 5 2 7 3 2 2" xfId="12651"/>
    <cellStyle name="Normal 2 5 2 7 3 2 2 2" xfId="22870"/>
    <cellStyle name="Normal 2 5 2 7 3 2 3" xfId="9073"/>
    <cellStyle name="Normal 2 5 2 7 3 2 4" xfId="17863"/>
    <cellStyle name="Normal 2 5 2 7 3 3" xfId="4918"/>
    <cellStyle name="Normal 2 5 2 7 3 3 2" xfId="13755"/>
    <cellStyle name="Normal 2 5 2 7 3 3 2 2" xfId="24006"/>
    <cellStyle name="Normal 2 5 2 7 3 3 3" xfId="10176"/>
    <cellStyle name="Normal 2 5 2 7 3 3 4" xfId="18999"/>
    <cellStyle name="Normal 2 5 2 7 3 4" xfId="1761"/>
    <cellStyle name="Normal 2 5 2 7 3 4 2" xfId="11132"/>
    <cellStyle name="Normal 2 5 2 7 3 4 3" xfId="21136"/>
    <cellStyle name="Normal 2 5 2 7 3 5" xfId="6373"/>
    <cellStyle name="Normal 2 5 2 7 3 5 2" xfId="15200"/>
    <cellStyle name="Normal 2 5 2 7 3 5 3" xfId="25451"/>
    <cellStyle name="Normal 2 5 2 7 3 6" xfId="7819"/>
    <cellStyle name="Normal 2 5 2 7 3 6 2" xfId="20469"/>
    <cellStyle name="Normal 2 5 2 7 3 7" xfId="16129"/>
    <cellStyle name="Normal 2 5 2 7 4" xfId="2800"/>
    <cellStyle name="Normal 2 5 2 7 4 2" xfId="5178"/>
    <cellStyle name="Normal 2 5 2 7 4 2 2" xfId="14015"/>
    <cellStyle name="Normal 2 5 2 7 4 2 2 2" xfId="24266"/>
    <cellStyle name="Normal 2 5 2 7 4 2 3" xfId="10436"/>
    <cellStyle name="Normal 2 5 2 7 4 2 4" xfId="19259"/>
    <cellStyle name="Normal 2 5 2 7 4 3" xfId="6633"/>
    <cellStyle name="Normal 2 5 2 7 4 3 2" xfId="15460"/>
    <cellStyle name="Normal 2 5 2 7 4 3 3" xfId="25711"/>
    <cellStyle name="Normal 2 5 2 7 4 4" xfId="8079"/>
    <cellStyle name="Normal 2 5 2 7 4 4 2" xfId="22161"/>
    <cellStyle name="Normal 2 5 2 7 4 5" xfId="17154"/>
    <cellStyle name="Normal 2 5 2 7 5" xfId="4132"/>
    <cellStyle name="Normal 2 5 2 7 5 2" xfId="12970"/>
    <cellStyle name="Normal 2 5 2 7 5 2 2" xfId="23221"/>
    <cellStyle name="Normal 2 5 2 7 5 3" xfId="9391"/>
    <cellStyle name="Normal 2 5 2 7 5 4" xfId="18214"/>
    <cellStyle name="Normal 2 5 2 7 6" xfId="1909"/>
    <cellStyle name="Normal 2 5 2 7 6 2" xfId="11274"/>
    <cellStyle name="Normal 2 5 2 7 6 3" xfId="21278"/>
    <cellStyle name="Normal 2 5 2 7 7" xfId="5590"/>
    <cellStyle name="Normal 2 5 2 7 7 2" xfId="14417"/>
    <cellStyle name="Normal 2 5 2 7 7 3" xfId="24668"/>
    <cellStyle name="Normal 2 5 2 7 8" xfId="7034"/>
    <cellStyle name="Normal 2 5 2 7 8 2" xfId="19760"/>
    <cellStyle name="Normal 2 5 2 7 9" xfId="16271"/>
    <cellStyle name="Normal 2 5 2 7_Degree data" xfId="3931"/>
    <cellStyle name="Normal 2 5 2 8" xfId="735"/>
    <cellStyle name="Normal 2 5 2 8 2" xfId="3221"/>
    <cellStyle name="Normal 2 5 2 8 2 2" xfId="12363"/>
    <cellStyle name="Normal 2 5 2 8 2 2 2" xfId="22582"/>
    <cellStyle name="Normal 2 5 2 8 2 3" xfId="8785"/>
    <cellStyle name="Normal 2 5 2 8 2 4" xfId="17575"/>
    <cellStyle name="Normal 2 5 2 8 3" xfId="4550"/>
    <cellStyle name="Normal 2 5 2 8 3 2" xfId="13388"/>
    <cellStyle name="Normal 2 5 2 8 3 2 2" xfId="23639"/>
    <cellStyle name="Normal 2 5 2 8 3 3" xfId="9809"/>
    <cellStyle name="Normal 2 5 2 8 3 4" xfId="18632"/>
    <cellStyle name="Normal 2 5 2 8 4" xfId="2330"/>
    <cellStyle name="Normal 2 5 2 8 4 2" xfId="11695"/>
    <cellStyle name="Normal 2 5 2 8 4 3" xfId="21699"/>
    <cellStyle name="Normal 2 5 2 8 5" xfId="6006"/>
    <cellStyle name="Normal 2 5 2 8 5 2" xfId="14833"/>
    <cellStyle name="Normal 2 5 2 8 5 3" xfId="25084"/>
    <cellStyle name="Normal 2 5 2 8 6" xfId="7450"/>
    <cellStyle name="Normal 2 5 2 8 6 2" xfId="20181"/>
    <cellStyle name="Normal 2 5 2 8 7" xfId="16692"/>
    <cellStyle name="Normal 2 5 2 9" xfId="1054"/>
    <cellStyle name="Normal 2 5 2 9 2" xfId="3483"/>
    <cellStyle name="Normal 2 5 2 9 2 2" xfId="12619"/>
    <cellStyle name="Normal 2 5 2 9 2 2 2" xfId="22838"/>
    <cellStyle name="Normal 2 5 2 9 2 3" xfId="9041"/>
    <cellStyle name="Normal 2 5 2 9 2 4" xfId="17831"/>
    <cellStyle name="Normal 2 5 2 9 3" xfId="4899"/>
    <cellStyle name="Normal 2 5 2 9 3 2" xfId="13736"/>
    <cellStyle name="Normal 2 5 2 9 3 2 2" xfId="23987"/>
    <cellStyle name="Normal 2 5 2 9 3 3" xfId="10157"/>
    <cellStyle name="Normal 2 5 2 9 3 4" xfId="18980"/>
    <cellStyle name="Normal 2 5 2 9 4" xfId="1734"/>
    <cellStyle name="Normal 2 5 2 9 4 2" xfId="11108"/>
    <cellStyle name="Normal 2 5 2 9 4 3" xfId="21112"/>
    <cellStyle name="Normal 2 5 2 9 5" xfId="6354"/>
    <cellStyle name="Normal 2 5 2 9 5 2" xfId="15181"/>
    <cellStyle name="Normal 2 5 2 9 5 3" xfId="25432"/>
    <cellStyle name="Normal 2 5 2 9 6" xfId="7800"/>
    <cellStyle name="Normal 2 5 2 9 6 2" xfId="20437"/>
    <cellStyle name="Normal 2 5 2 9 7" xfId="16105"/>
    <cellStyle name="Normal 2 5 2_Degree data" xfId="3927"/>
    <cellStyle name="Normal 2 5 3" xfId="112"/>
    <cellStyle name="Normal 2 5 3 10" xfId="4104"/>
    <cellStyle name="Normal 2 5 3 10 2" xfId="5562"/>
    <cellStyle name="Normal 2 5 3 10 2 2" xfId="14389"/>
    <cellStyle name="Normal 2 5 3 10 2 3" xfId="24640"/>
    <cellStyle name="Normal 2 5 3 10 3" xfId="7006"/>
    <cellStyle name="Normal 2 5 3 10 3 2" xfId="23193"/>
    <cellStyle name="Normal 2 5 3 10 4" xfId="18186"/>
    <cellStyle name="Normal 2 5 3 11" xfId="1421"/>
    <cellStyle name="Normal 2 5 3 11 2" xfId="10798"/>
    <cellStyle name="Normal 2 5 3 11 3" xfId="20802"/>
    <cellStyle name="Normal 2 5 3 12" xfId="5532"/>
    <cellStyle name="Normal 2 5 3 12 2" xfId="14359"/>
    <cellStyle name="Normal 2 5 3 12 3" xfId="24610"/>
    <cellStyle name="Normal 2 5 3 13" xfId="6973"/>
    <cellStyle name="Normal 2 5 3 13 2" xfId="19587"/>
    <cellStyle name="Normal 2 5 3 14" xfId="15795"/>
    <cellStyle name="Normal 2 5 3 2" xfId="153"/>
    <cellStyle name="Normal 2 5 3 2 10" xfId="5664"/>
    <cellStyle name="Normal 2 5 3 2 10 2" xfId="14491"/>
    <cellStyle name="Normal 2 5 3 2 10 3" xfId="24742"/>
    <cellStyle name="Normal 2 5 3 2 11" xfId="7108"/>
    <cellStyle name="Normal 2 5 3 2 11 2" xfId="19617"/>
    <cellStyle name="Normal 2 5 3 2 12" xfId="15854"/>
    <cellStyle name="Normal 2 5 3 2 2" xfId="269"/>
    <cellStyle name="Normal 2 5 3 2 2 10" xfId="16058"/>
    <cellStyle name="Normal 2 5 3 2 2 2" xfId="592"/>
    <cellStyle name="Normal 2 5 3 2 2 2 2" xfId="3078"/>
    <cellStyle name="Normal 2 5 3 2 2 2 2 2" xfId="12229"/>
    <cellStyle name="Normal 2 5 3 2 2 2 2 2 2" xfId="22439"/>
    <cellStyle name="Normal 2 5 3 2 2 2 2 3" xfId="8651"/>
    <cellStyle name="Normal 2 5 3 2 2 2 2 4" xfId="17432"/>
    <cellStyle name="Normal 2 5 3 2 2 2 3" xfId="4572"/>
    <cellStyle name="Normal 2 5 3 2 2 2 3 2" xfId="13410"/>
    <cellStyle name="Normal 2 5 3 2 2 2 3 2 2" xfId="23661"/>
    <cellStyle name="Normal 2 5 3 2 2 2 3 3" xfId="9831"/>
    <cellStyle name="Normal 2 5 3 2 2 2 3 4" xfId="18654"/>
    <cellStyle name="Normal 2 5 3 2 2 2 4" xfId="2187"/>
    <cellStyle name="Normal 2 5 3 2 2 2 4 2" xfId="11552"/>
    <cellStyle name="Normal 2 5 3 2 2 2 4 3" xfId="21556"/>
    <cellStyle name="Normal 2 5 3 2 2 2 5" xfId="6028"/>
    <cellStyle name="Normal 2 5 3 2 2 2 5 2" xfId="14855"/>
    <cellStyle name="Normal 2 5 3 2 2 2 5 3" xfId="25106"/>
    <cellStyle name="Normal 2 5 3 2 2 2 6" xfId="7472"/>
    <cellStyle name="Normal 2 5 3 2 2 2 6 2" xfId="20038"/>
    <cellStyle name="Normal 2 5 3 2 2 2 7" xfId="16549"/>
    <cellStyle name="Normal 2 5 3 2 2 3" xfId="757"/>
    <cellStyle name="Normal 2 5 3 2 2 3 2" xfId="3243"/>
    <cellStyle name="Normal 2 5 3 2 2 3 2 2" xfId="12385"/>
    <cellStyle name="Normal 2 5 3 2 2 3 2 2 2" xfId="22604"/>
    <cellStyle name="Normal 2 5 3 2 2 3 2 3" xfId="8807"/>
    <cellStyle name="Normal 2 5 3 2 2 3 2 4" xfId="17597"/>
    <cellStyle name="Normal 2 5 3 2 2 3 3" xfId="4921"/>
    <cellStyle name="Normal 2 5 3 2 2 3 3 2" xfId="13758"/>
    <cellStyle name="Normal 2 5 3 2 2 3 3 2 2" xfId="24009"/>
    <cellStyle name="Normal 2 5 3 2 2 3 3 3" xfId="10179"/>
    <cellStyle name="Normal 2 5 3 2 2 3 3 4" xfId="19002"/>
    <cellStyle name="Normal 2 5 3 2 2 3 4" xfId="2352"/>
    <cellStyle name="Normal 2 5 3 2 2 3 4 2" xfId="11717"/>
    <cellStyle name="Normal 2 5 3 2 2 3 4 3" xfId="21721"/>
    <cellStyle name="Normal 2 5 3 2 2 3 5" xfId="6376"/>
    <cellStyle name="Normal 2 5 3 2 2 3 5 2" xfId="15203"/>
    <cellStyle name="Normal 2 5 3 2 2 3 5 3" xfId="25454"/>
    <cellStyle name="Normal 2 5 3 2 2 3 6" xfId="7822"/>
    <cellStyle name="Normal 2 5 3 2 2 3 6 2" xfId="20203"/>
    <cellStyle name="Normal 2 5 3 2 2 3 7" xfId="16714"/>
    <cellStyle name="Normal 2 5 3 2 2 4" xfId="1364"/>
    <cellStyle name="Normal 2 5 3 2 2 4 2" xfId="3793"/>
    <cellStyle name="Normal 2 5 3 2 2 4 2 2" xfId="12929"/>
    <cellStyle name="Normal 2 5 3 2 2 4 2 2 2" xfId="23148"/>
    <cellStyle name="Normal 2 5 3 2 2 4 2 3" xfId="9350"/>
    <cellStyle name="Normal 2 5 3 2 2 4 2 4" xfId="18141"/>
    <cellStyle name="Normal 2 5 3 2 2 4 3" xfId="5456"/>
    <cellStyle name="Normal 2 5 3 2 2 4 3 2" xfId="14293"/>
    <cellStyle name="Normal 2 5 3 2 2 4 3 2 2" xfId="24544"/>
    <cellStyle name="Normal 2 5 3 2 2 4 3 3" xfId="10714"/>
    <cellStyle name="Normal 2 5 3 2 2 4 3 4" xfId="19537"/>
    <cellStyle name="Normal 2 5 3 2 2 4 4" xfId="1867"/>
    <cellStyle name="Normal 2 5 3 2 2 4 4 2" xfId="11235"/>
    <cellStyle name="Normal 2 5 3 2 2 4 4 3" xfId="21239"/>
    <cellStyle name="Normal 2 5 3 2 2 4 5" xfId="6911"/>
    <cellStyle name="Normal 2 5 3 2 2 4 5 2" xfId="15738"/>
    <cellStyle name="Normal 2 5 3 2 2 4 5 3" xfId="25989"/>
    <cellStyle name="Normal 2 5 3 2 2 4 6" xfId="8357"/>
    <cellStyle name="Normal 2 5 3 2 2 4 6 2" xfId="20747"/>
    <cellStyle name="Normal 2 5 3 2 2 4 7" xfId="16232"/>
    <cellStyle name="Normal 2 5 3 2 2 5" xfId="2761"/>
    <cellStyle name="Normal 2 5 3 2 2 5 2" xfId="12078"/>
    <cellStyle name="Normal 2 5 3 2 2 5 2 2" xfId="22122"/>
    <cellStyle name="Normal 2 5 3 2 2 5 3" xfId="8395"/>
    <cellStyle name="Normal 2 5 3 2 2 5 4" xfId="17115"/>
    <cellStyle name="Normal 2 5 3 2 2 6" xfId="4412"/>
    <cellStyle name="Normal 2 5 3 2 2 6 2" xfId="13250"/>
    <cellStyle name="Normal 2 5 3 2 2 6 2 2" xfId="23501"/>
    <cellStyle name="Normal 2 5 3 2 2 6 3" xfId="9671"/>
    <cellStyle name="Normal 2 5 3 2 2 6 4" xfId="18494"/>
    <cellStyle name="Normal 2 5 3 2 2 7" xfId="1684"/>
    <cellStyle name="Normal 2 5 3 2 2 7 2" xfId="11061"/>
    <cellStyle name="Normal 2 5 3 2 2 7 3" xfId="21065"/>
    <cellStyle name="Normal 2 5 3 2 2 8" xfId="5868"/>
    <cellStyle name="Normal 2 5 3 2 2 8 2" xfId="14695"/>
    <cellStyle name="Normal 2 5 3 2 2 8 3" xfId="24946"/>
    <cellStyle name="Normal 2 5 3 2 2 9" xfId="7312"/>
    <cellStyle name="Normal 2 5 3 2 2 9 2" xfId="19721"/>
    <cellStyle name="Normal 2 5 3 2 2_Degree data" xfId="3919"/>
    <cellStyle name="Normal 2 5 3 2 3" xfId="488"/>
    <cellStyle name="Normal 2 5 3 2 3 2" xfId="758"/>
    <cellStyle name="Normal 2 5 3 2 3 2 2" xfId="3244"/>
    <cellStyle name="Normal 2 5 3 2 3 2 2 2" xfId="12386"/>
    <cellStyle name="Normal 2 5 3 2 3 2 2 2 2" xfId="22605"/>
    <cellStyle name="Normal 2 5 3 2 3 2 2 3" xfId="8808"/>
    <cellStyle name="Normal 2 5 3 2 3 2 2 4" xfId="17598"/>
    <cellStyle name="Normal 2 5 3 2 3 2 3" xfId="4573"/>
    <cellStyle name="Normal 2 5 3 2 3 2 3 2" xfId="13411"/>
    <cellStyle name="Normal 2 5 3 2 3 2 3 2 2" xfId="23662"/>
    <cellStyle name="Normal 2 5 3 2 3 2 3 3" xfId="9832"/>
    <cellStyle name="Normal 2 5 3 2 3 2 3 4" xfId="18655"/>
    <cellStyle name="Normal 2 5 3 2 3 2 4" xfId="2353"/>
    <cellStyle name="Normal 2 5 3 2 3 2 4 2" xfId="11718"/>
    <cellStyle name="Normal 2 5 3 2 3 2 4 3" xfId="21722"/>
    <cellStyle name="Normal 2 5 3 2 3 2 5" xfId="6029"/>
    <cellStyle name="Normal 2 5 3 2 3 2 5 2" xfId="14856"/>
    <cellStyle name="Normal 2 5 3 2 3 2 5 3" xfId="25107"/>
    <cellStyle name="Normal 2 5 3 2 3 2 6" xfId="7473"/>
    <cellStyle name="Normal 2 5 3 2 3 2 6 2" xfId="20204"/>
    <cellStyle name="Normal 2 5 3 2 3 2 7" xfId="16715"/>
    <cellStyle name="Normal 2 5 3 2 3 3" xfId="1260"/>
    <cellStyle name="Normal 2 5 3 2 3 3 2" xfId="3689"/>
    <cellStyle name="Normal 2 5 3 2 3 3 2 2" xfId="12825"/>
    <cellStyle name="Normal 2 5 3 2 3 3 2 2 2" xfId="23044"/>
    <cellStyle name="Normal 2 5 3 2 3 3 2 3" xfId="9246"/>
    <cellStyle name="Normal 2 5 3 2 3 3 2 4" xfId="18037"/>
    <cellStyle name="Normal 2 5 3 2 3 3 3" xfId="4922"/>
    <cellStyle name="Normal 2 5 3 2 3 3 3 2" xfId="13759"/>
    <cellStyle name="Normal 2 5 3 2 3 3 3 2 2" xfId="24010"/>
    <cellStyle name="Normal 2 5 3 2 3 3 3 3" xfId="10180"/>
    <cellStyle name="Normal 2 5 3 2 3 3 3 4" xfId="19003"/>
    <cellStyle name="Normal 2 5 3 2 3 3 4" xfId="2083"/>
    <cellStyle name="Normal 2 5 3 2 3 3 4 2" xfId="11448"/>
    <cellStyle name="Normal 2 5 3 2 3 3 4 3" xfId="21452"/>
    <cellStyle name="Normal 2 5 3 2 3 3 5" xfId="6377"/>
    <cellStyle name="Normal 2 5 3 2 3 3 5 2" xfId="15204"/>
    <cellStyle name="Normal 2 5 3 2 3 3 5 3" xfId="25455"/>
    <cellStyle name="Normal 2 5 3 2 3 3 6" xfId="7823"/>
    <cellStyle name="Normal 2 5 3 2 3 3 6 2" xfId="20643"/>
    <cellStyle name="Normal 2 5 3 2 3 3 7" xfId="16445"/>
    <cellStyle name="Normal 2 5 3 2 3 4" xfId="2974"/>
    <cellStyle name="Normal 2 5 3 2 3 4 2" xfId="5352"/>
    <cellStyle name="Normal 2 5 3 2 3 4 2 2" xfId="14189"/>
    <cellStyle name="Normal 2 5 3 2 3 4 2 2 2" xfId="24440"/>
    <cellStyle name="Normal 2 5 3 2 3 4 2 3" xfId="10610"/>
    <cellStyle name="Normal 2 5 3 2 3 4 2 4" xfId="19433"/>
    <cellStyle name="Normal 2 5 3 2 3 4 3" xfId="6807"/>
    <cellStyle name="Normal 2 5 3 2 3 4 3 2" xfId="15634"/>
    <cellStyle name="Normal 2 5 3 2 3 4 3 3" xfId="25885"/>
    <cellStyle name="Normal 2 5 3 2 3 4 4" xfId="8253"/>
    <cellStyle name="Normal 2 5 3 2 3 4 4 2" xfId="22335"/>
    <cellStyle name="Normal 2 5 3 2 3 4 5" xfId="17328"/>
    <cellStyle name="Normal 2 5 3 2 3 5" xfId="4308"/>
    <cellStyle name="Normal 2 5 3 2 3 5 2" xfId="13146"/>
    <cellStyle name="Normal 2 5 3 2 3 5 2 2" xfId="23397"/>
    <cellStyle name="Normal 2 5 3 2 3 5 3" xfId="9567"/>
    <cellStyle name="Normal 2 5 3 2 3 5 4" xfId="18390"/>
    <cellStyle name="Normal 2 5 3 2 3 6" xfId="1580"/>
    <cellStyle name="Normal 2 5 3 2 3 6 2" xfId="10957"/>
    <cellStyle name="Normal 2 5 3 2 3 6 3" xfId="20961"/>
    <cellStyle name="Normal 2 5 3 2 3 7" xfId="5764"/>
    <cellStyle name="Normal 2 5 3 2 3 7 2" xfId="14591"/>
    <cellStyle name="Normal 2 5 3 2 3 7 3" xfId="24842"/>
    <cellStyle name="Normal 2 5 3 2 3 8" xfId="7208"/>
    <cellStyle name="Normal 2 5 3 2 3 8 2" xfId="19934"/>
    <cellStyle name="Normal 2 5 3 2 3 9" xfId="15954"/>
    <cellStyle name="Normal 2 5 3 2 3_Degree data" xfId="3860"/>
    <cellStyle name="Normal 2 5 3 2 4" xfId="388"/>
    <cellStyle name="Normal 2 5 3 2 4 2" xfId="2874"/>
    <cellStyle name="Normal 2 5 3 2 4 2 2" xfId="12162"/>
    <cellStyle name="Normal 2 5 3 2 4 2 2 2" xfId="22235"/>
    <cellStyle name="Normal 2 5 3 2 4 2 3" xfId="8528"/>
    <cellStyle name="Normal 2 5 3 2 4 2 4" xfId="17228"/>
    <cellStyle name="Normal 2 5 3 2 4 3" xfId="4571"/>
    <cellStyle name="Normal 2 5 3 2 4 3 2" xfId="13409"/>
    <cellStyle name="Normal 2 5 3 2 4 3 2 2" xfId="23660"/>
    <cellStyle name="Normal 2 5 3 2 4 3 3" xfId="9830"/>
    <cellStyle name="Normal 2 5 3 2 4 3 4" xfId="18653"/>
    <cellStyle name="Normal 2 5 3 2 4 4" xfId="1983"/>
    <cellStyle name="Normal 2 5 3 2 4 4 2" xfId="11348"/>
    <cellStyle name="Normal 2 5 3 2 4 4 3" xfId="21352"/>
    <cellStyle name="Normal 2 5 3 2 4 5" xfId="6027"/>
    <cellStyle name="Normal 2 5 3 2 4 5 2" xfId="14854"/>
    <cellStyle name="Normal 2 5 3 2 4 5 3" xfId="25105"/>
    <cellStyle name="Normal 2 5 3 2 4 6" xfId="7471"/>
    <cellStyle name="Normal 2 5 3 2 4 6 2" xfId="19834"/>
    <cellStyle name="Normal 2 5 3 2 4 7" xfId="16345"/>
    <cellStyle name="Normal 2 5 3 2 5" xfId="756"/>
    <cellStyle name="Normal 2 5 3 2 5 2" xfId="3242"/>
    <cellStyle name="Normal 2 5 3 2 5 2 2" xfId="12384"/>
    <cellStyle name="Normal 2 5 3 2 5 2 2 2" xfId="22603"/>
    <cellStyle name="Normal 2 5 3 2 5 2 3" xfId="8806"/>
    <cellStyle name="Normal 2 5 3 2 5 2 4" xfId="17596"/>
    <cellStyle name="Normal 2 5 3 2 5 3" xfId="4920"/>
    <cellStyle name="Normal 2 5 3 2 5 3 2" xfId="13757"/>
    <cellStyle name="Normal 2 5 3 2 5 3 2 2" xfId="24008"/>
    <cellStyle name="Normal 2 5 3 2 5 3 3" xfId="10178"/>
    <cellStyle name="Normal 2 5 3 2 5 3 4" xfId="19001"/>
    <cellStyle name="Normal 2 5 3 2 5 4" xfId="2351"/>
    <cellStyle name="Normal 2 5 3 2 5 4 2" xfId="11716"/>
    <cellStyle name="Normal 2 5 3 2 5 4 3" xfId="21720"/>
    <cellStyle name="Normal 2 5 3 2 5 5" xfId="6375"/>
    <cellStyle name="Normal 2 5 3 2 5 5 2" xfId="15202"/>
    <cellStyle name="Normal 2 5 3 2 5 5 3" xfId="25453"/>
    <cellStyle name="Normal 2 5 3 2 5 6" xfId="7821"/>
    <cellStyle name="Normal 2 5 3 2 5 6 2" xfId="20202"/>
    <cellStyle name="Normal 2 5 3 2 5 7" xfId="16713"/>
    <cellStyle name="Normal 2 5 3 2 6" xfId="1160"/>
    <cellStyle name="Normal 2 5 3 2 6 2" xfId="3589"/>
    <cellStyle name="Normal 2 5 3 2 6 2 2" xfId="12725"/>
    <cellStyle name="Normal 2 5 3 2 6 2 2 2" xfId="22944"/>
    <cellStyle name="Normal 2 5 3 2 6 2 3" xfId="9146"/>
    <cellStyle name="Normal 2 5 3 2 6 2 4" xfId="17937"/>
    <cellStyle name="Normal 2 5 3 2 6 3" xfId="5252"/>
    <cellStyle name="Normal 2 5 3 2 6 3 2" xfId="14089"/>
    <cellStyle name="Normal 2 5 3 2 6 3 2 2" xfId="24340"/>
    <cellStyle name="Normal 2 5 3 2 6 3 3" xfId="10510"/>
    <cellStyle name="Normal 2 5 3 2 6 3 4" xfId="19333"/>
    <cellStyle name="Normal 2 5 3 2 6 4" xfId="1759"/>
    <cellStyle name="Normal 2 5 3 2 6 4 2" xfId="11130"/>
    <cellStyle name="Normal 2 5 3 2 6 4 3" xfId="21134"/>
    <cellStyle name="Normal 2 5 3 2 6 5" xfId="6707"/>
    <cellStyle name="Normal 2 5 3 2 6 5 2" xfId="15534"/>
    <cellStyle name="Normal 2 5 3 2 6 5 3" xfId="25785"/>
    <cellStyle name="Normal 2 5 3 2 6 6" xfId="8153"/>
    <cellStyle name="Normal 2 5 3 2 6 6 2" xfId="20543"/>
    <cellStyle name="Normal 2 5 3 2 6 7" xfId="16127"/>
    <cellStyle name="Normal 2 5 3 2 7" xfId="2657"/>
    <cellStyle name="Normal 2 5 3 2 7 2" xfId="11979"/>
    <cellStyle name="Normal 2 5 3 2 7 2 2" xfId="22018"/>
    <cellStyle name="Normal 2 5 3 2 7 3" xfId="8569"/>
    <cellStyle name="Normal 2 5 3 2 7 4" xfId="17011"/>
    <cellStyle name="Normal 2 5 3 2 8" xfId="4208"/>
    <cellStyle name="Normal 2 5 3 2 8 2" xfId="13046"/>
    <cellStyle name="Normal 2 5 3 2 8 2 2" xfId="23297"/>
    <cellStyle name="Normal 2 5 3 2 8 3" xfId="9467"/>
    <cellStyle name="Normal 2 5 3 2 8 4" xfId="18290"/>
    <cellStyle name="Normal 2 5 3 2 9" xfId="1480"/>
    <cellStyle name="Normal 2 5 3 2 9 2" xfId="10857"/>
    <cellStyle name="Normal 2 5 3 2 9 3" xfId="20861"/>
    <cellStyle name="Normal 2 5 3 2_Degree data" xfId="3895"/>
    <cellStyle name="Normal 2 5 3 3" xfId="203"/>
    <cellStyle name="Normal 2 5 3 3 10" xfId="7151"/>
    <cellStyle name="Normal 2 5 3 3 10 2" xfId="19660"/>
    <cellStyle name="Normal 2 5 3 3 11" xfId="15897"/>
    <cellStyle name="Normal 2 5 3 3 2" xfId="531"/>
    <cellStyle name="Normal 2 5 3 3 2 2" xfId="760"/>
    <cellStyle name="Normal 2 5 3 3 2 2 2" xfId="3246"/>
    <cellStyle name="Normal 2 5 3 3 2 2 2 2" xfId="12388"/>
    <cellStyle name="Normal 2 5 3 3 2 2 2 2 2" xfId="22607"/>
    <cellStyle name="Normal 2 5 3 3 2 2 2 3" xfId="8810"/>
    <cellStyle name="Normal 2 5 3 3 2 2 2 4" xfId="17600"/>
    <cellStyle name="Normal 2 5 3 3 2 2 3" xfId="4575"/>
    <cellStyle name="Normal 2 5 3 3 2 2 3 2" xfId="13413"/>
    <cellStyle name="Normal 2 5 3 3 2 2 3 2 2" xfId="23664"/>
    <cellStyle name="Normal 2 5 3 3 2 2 3 3" xfId="9834"/>
    <cellStyle name="Normal 2 5 3 3 2 2 3 4" xfId="18657"/>
    <cellStyle name="Normal 2 5 3 3 2 2 4" xfId="2355"/>
    <cellStyle name="Normal 2 5 3 3 2 2 4 2" xfId="11720"/>
    <cellStyle name="Normal 2 5 3 3 2 2 4 3" xfId="21724"/>
    <cellStyle name="Normal 2 5 3 3 2 2 5" xfId="6031"/>
    <cellStyle name="Normal 2 5 3 3 2 2 5 2" xfId="14858"/>
    <cellStyle name="Normal 2 5 3 3 2 2 5 3" xfId="25109"/>
    <cellStyle name="Normal 2 5 3 3 2 2 6" xfId="7475"/>
    <cellStyle name="Normal 2 5 3 3 2 2 6 2" xfId="20206"/>
    <cellStyle name="Normal 2 5 3 3 2 2 7" xfId="16717"/>
    <cellStyle name="Normal 2 5 3 3 2 3" xfId="1303"/>
    <cellStyle name="Normal 2 5 3 3 2 3 2" xfId="3732"/>
    <cellStyle name="Normal 2 5 3 3 2 3 2 2" xfId="12868"/>
    <cellStyle name="Normal 2 5 3 3 2 3 2 2 2" xfId="23087"/>
    <cellStyle name="Normal 2 5 3 3 2 3 2 3" xfId="9289"/>
    <cellStyle name="Normal 2 5 3 3 2 3 2 4" xfId="18080"/>
    <cellStyle name="Normal 2 5 3 3 2 3 3" xfId="4924"/>
    <cellStyle name="Normal 2 5 3 3 2 3 3 2" xfId="13761"/>
    <cellStyle name="Normal 2 5 3 3 2 3 3 2 2" xfId="24012"/>
    <cellStyle name="Normal 2 5 3 3 2 3 3 3" xfId="10182"/>
    <cellStyle name="Normal 2 5 3 3 2 3 3 4" xfId="19005"/>
    <cellStyle name="Normal 2 5 3 3 2 3 4" xfId="2126"/>
    <cellStyle name="Normal 2 5 3 3 2 3 4 2" xfId="11491"/>
    <cellStyle name="Normal 2 5 3 3 2 3 4 3" xfId="21495"/>
    <cellStyle name="Normal 2 5 3 3 2 3 5" xfId="6379"/>
    <cellStyle name="Normal 2 5 3 3 2 3 5 2" xfId="15206"/>
    <cellStyle name="Normal 2 5 3 3 2 3 5 3" xfId="25457"/>
    <cellStyle name="Normal 2 5 3 3 2 3 6" xfId="7825"/>
    <cellStyle name="Normal 2 5 3 3 2 3 6 2" xfId="20686"/>
    <cellStyle name="Normal 2 5 3 3 2 3 7" xfId="16488"/>
    <cellStyle name="Normal 2 5 3 3 2 4" xfId="3017"/>
    <cellStyle name="Normal 2 5 3 3 2 4 2" xfId="5395"/>
    <cellStyle name="Normal 2 5 3 3 2 4 2 2" xfId="14232"/>
    <cellStyle name="Normal 2 5 3 3 2 4 2 2 2" xfId="24483"/>
    <cellStyle name="Normal 2 5 3 3 2 4 2 3" xfId="10653"/>
    <cellStyle name="Normal 2 5 3 3 2 4 2 4" xfId="19476"/>
    <cellStyle name="Normal 2 5 3 3 2 4 3" xfId="6850"/>
    <cellStyle name="Normal 2 5 3 3 2 4 3 2" xfId="15677"/>
    <cellStyle name="Normal 2 5 3 3 2 4 3 3" xfId="25928"/>
    <cellStyle name="Normal 2 5 3 3 2 4 4" xfId="8296"/>
    <cellStyle name="Normal 2 5 3 3 2 4 4 2" xfId="22378"/>
    <cellStyle name="Normal 2 5 3 3 2 4 5" xfId="17371"/>
    <cellStyle name="Normal 2 5 3 3 2 5" xfId="4351"/>
    <cellStyle name="Normal 2 5 3 3 2 5 2" xfId="13189"/>
    <cellStyle name="Normal 2 5 3 3 2 5 2 2" xfId="23440"/>
    <cellStyle name="Normal 2 5 3 3 2 5 3" xfId="9610"/>
    <cellStyle name="Normal 2 5 3 3 2 5 4" xfId="18433"/>
    <cellStyle name="Normal 2 5 3 3 2 6" xfId="1623"/>
    <cellStyle name="Normal 2 5 3 3 2 6 2" xfId="11000"/>
    <cellStyle name="Normal 2 5 3 3 2 6 3" xfId="21004"/>
    <cellStyle name="Normal 2 5 3 3 2 7" xfId="5807"/>
    <cellStyle name="Normal 2 5 3 3 2 7 2" xfId="14634"/>
    <cellStyle name="Normal 2 5 3 3 2 7 3" xfId="24885"/>
    <cellStyle name="Normal 2 5 3 3 2 8" xfId="7251"/>
    <cellStyle name="Normal 2 5 3 3 2 8 2" xfId="19977"/>
    <cellStyle name="Normal 2 5 3 3 2 9" xfId="15997"/>
    <cellStyle name="Normal 2 5 3 3 2_Degree data" xfId="3901"/>
    <cellStyle name="Normal 2 5 3 3 3" xfId="431"/>
    <cellStyle name="Normal 2 5 3 3 3 2" xfId="2917"/>
    <cellStyle name="Normal 2 5 3 3 3 2 2" xfId="12205"/>
    <cellStyle name="Normal 2 5 3 3 3 2 2 2" xfId="22278"/>
    <cellStyle name="Normal 2 5 3 3 3 2 3" xfId="8455"/>
    <cellStyle name="Normal 2 5 3 3 3 2 4" xfId="17271"/>
    <cellStyle name="Normal 2 5 3 3 3 3" xfId="4574"/>
    <cellStyle name="Normal 2 5 3 3 3 3 2" xfId="13412"/>
    <cellStyle name="Normal 2 5 3 3 3 3 2 2" xfId="23663"/>
    <cellStyle name="Normal 2 5 3 3 3 3 3" xfId="9833"/>
    <cellStyle name="Normal 2 5 3 3 3 3 4" xfId="18656"/>
    <cellStyle name="Normal 2 5 3 3 3 4" xfId="2026"/>
    <cellStyle name="Normal 2 5 3 3 3 4 2" xfId="11391"/>
    <cellStyle name="Normal 2 5 3 3 3 4 3" xfId="21395"/>
    <cellStyle name="Normal 2 5 3 3 3 5" xfId="6030"/>
    <cellStyle name="Normal 2 5 3 3 3 5 2" xfId="14857"/>
    <cellStyle name="Normal 2 5 3 3 3 5 3" xfId="25108"/>
    <cellStyle name="Normal 2 5 3 3 3 6" xfId="7474"/>
    <cellStyle name="Normal 2 5 3 3 3 6 2" xfId="19877"/>
    <cellStyle name="Normal 2 5 3 3 3 7" xfId="16388"/>
    <cellStyle name="Normal 2 5 3 3 4" xfId="759"/>
    <cellStyle name="Normal 2 5 3 3 4 2" xfId="3245"/>
    <cellStyle name="Normal 2 5 3 3 4 2 2" xfId="12387"/>
    <cellStyle name="Normal 2 5 3 3 4 2 2 2" xfId="22606"/>
    <cellStyle name="Normal 2 5 3 3 4 2 3" xfId="8809"/>
    <cellStyle name="Normal 2 5 3 3 4 2 4" xfId="17599"/>
    <cellStyle name="Normal 2 5 3 3 4 3" xfId="4923"/>
    <cellStyle name="Normal 2 5 3 3 4 3 2" xfId="13760"/>
    <cellStyle name="Normal 2 5 3 3 4 3 2 2" xfId="24011"/>
    <cellStyle name="Normal 2 5 3 3 4 3 3" xfId="10181"/>
    <cellStyle name="Normal 2 5 3 3 4 3 4" xfId="19004"/>
    <cellStyle name="Normal 2 5 3 3 4 4" xfId="2354"/>
    <cellStyle name="Normal 2 5 3 3 4 4 2" xfId="11719"/>
    <cellStyle name="Normal 2 5 3 3 4 4 3" xfId="21723"/>
    <cellStyle name="Normal 2 5 3 3 4 5" xfId="6378"/>
    <cellStyle name="Normal 2 5 3 3 4 5 2" xfId="15205"/>
    <cellStyle name="Normal 2 5 3 3 4 5 3" xfId="25456"/>
    <cellStyle name="Normal 2 5 3 3 4 6" xfId="7824"/>
    <cellStyle name="Normal 2 5 3 3 4 6 2" xfId="20205"/>
    <cellStyle name="Normal 2 5 3 3 4 7" xfId="16716"/>
    <cellStyle name="Normal 2 5 3 3 5" xfId="1203"/>
    <cellStyle name="Normal 2 5 3 3 5 2" xfId="3632"/>
    <cellStyle name="Normal 2 5 3 3 5 2 2" xfId="12768"/>
    <cellStyle name="Normal 2 5 3 3 5 2 2 2" xfId="22987"/>
    <cellStyle name="Normal 2 5 3 3 5 2 3" xfId="9189"/>
    <cellStyle name="Normal 2 5 3 3 5 2 4" xfId="17980"/>
    <cellStyle name="Normal 2 5 3 3 5 3" xfId="5295"/>
    <cellStyle name="Normal 2 5 3 3 5 3 2" xfId="14132"/>
    <cellStyle name="Normal 2 5 3 3 5 3 2 2" xfId="24383"/>
    <cellStyle name="Normal 2 5 3 3 5 3 3" xfId="10553"/>
    <cellStyle name="Normal 2 5 3 3 5 3 4" xfId="19376"/>
    <cellStyle name="Normal 2 5 3 3 5 4" xfId="1805"/>
    <cellStyle name="Normal 2 5 3 3 5 4 2" xfId="11174"/>
    <cellStyle name="Normal 2 5 3 3 5 4 3" xfId="21178"/>
    <cellStyle name="Normal 2 5 3 3 5 5" xfId="6750"/>
    <cellStyle name="Normal 2 5 3 3 5 5 2" xfId="15577"/>
    <cellStyle name="Normal 2 5 3 3 5 5 3" xfId="25828"/>
    <cellStyle name="Normal 2 5 3 3 5 6" xfId="8196"/>
    <cellStyle name="Normal 2 5 3 3 5 6 2" xfId="20586"/>
    <cellStyle name="Normal 2 5 3 3 5 7" xfId="16171"/>
    <cellStyle name="Normal 2 5 3 3 6" xfId="2700"/>
    <cellStyle name="Normal 2 5 3 3 6 2" xfId="12017"/>
    <cellStyle name="Normal 2 5 3 3 6 2 2" xfId="22061"/>
    <cellStyle name="Normal 2 5 3 3 6 3" xfId="8580"/>
    <cellStyle name="Normal 2 5 3 3 6 4" xfId="17054"/>
    <cellStyle name="Normal 2 5 3 3 7" xfId="4251"/>
    <cellStyle name="Normal 2 5 3 3 7 2" xfId="13089"/>
    <cellStyle name="Normal 2 5 3 3 7 2 2" xfId="23340"/>
    <cellStyle name="Normal 2 5 3 3 7 3" xfId="9510"/>
    <cellStyle name="Normal 2 5 3 3 7 4" xfId="18333"/>
    <cellStyle name="Normal 2 5 3 3 8" xfId="1523"/>
    <cellStyle name="Normal 2 5 3 3 8 2" xfId="10900"/>
    <cellStyle name="Normal 2 5 3 3 8 3" xfId="20904"/>
    <cellStyle name="Normal 2 5 3 3 9" xfId="5707"/>
    <cellStyle name="Normal 2 5 3 3 9 2" xfId="14534"/>
    <cellStyle name="Normal 2 5 3 3 9 3" xfId="24785"/>
    <cellStyle name="Normal 2 5 3 3_Degree data" xfId="3864"/>
    <cellStyle name="Normal 2 5 3 4" xfId="240"/>
    <cellStyle name="Normal 2 5 3 4 10" xfId="7078"/>
    <cellStyle name="Normal 2 5 3 4 10 2" xfId="19692"/>
    <cellStyle name="Normal 2 5 3 4 11" xfId="15824"/>
    <cellStyle name="Normal 2 5 3 4 2" xfId="563"/>
    <cellStyle name="Normal 2 5 3 4 2 2" xfId="762"/>
    <cellStyle name="Normal 2 5 3 4 2 2 2" xfId="3248"/>
    <cellStyle name="Normal 2 5 3 4 2 2 2 2" xfId="12390"/>
    <cellStyle name="Normal 2 5 3 4 2 2 2 2 2" xfId="22609"/>
    <cellStyle name="Normal 2 5 3 4 2 2 2 3" xfId="8812"/>
    <cellStyle name="Normal 2 5 3 4 2 2 2 4" xfId="17602"/>
    <cellStyle name="Normal 2 5 3 4 2 2 3" xfId="4577"/>
    <cellStyle name="Normal 2 5 3 4 2 2 3 2" xfId="13415"/>
    <cellStyle name="Normal 2 5 3 4 2 2 3 2 2" xfId="23666"/>
    <cellStyle name="Normal 2 5 3 4 2 2 3 3" xfId="9836"/>
    <cellStyle name="Normal 2 5 3 4 2 2 3 4" xfId="18659"/>
    <cellStyle name="Normal 2 5 3 4 2 2 4" xfId="2357"/>
    <cellStyle name="Normal 2 5 3 4 2 2 4 2" xfId="11722"/>
    <cellStyle name="Normal 2 5 3 4 2 2 4 3" xfId="21726"/>
    <cellStyle name="Normal 2 5 3 4 2 2 5" xfId="6033"/>
    <cellStyle name="Normal 2 5 3 4 2 2 5 2" xfId="14860"/>
    <cellStyle name="Normal 2 5 3 4 2 2 5 3" xfId="25111"/>
    <cellStyle name="Normal 2 5 3 4 2 2 6" xfId="7477"/>
    <cellStyle name="Normal 2 5 3 4 2 2 6 2" xfId="20208"/>
    <cellStyle name="Normal 2 5 3 4 2 2 7" xfId="16719"/>
    <cellStyle name="Normal 2 5 3 4 2 3" xfId="1335"/>
    <cellStyle name="Normal 2 5 3 4 2 3 2" xfId="3764"/>
    <cellStyle name="Normal 2 5 3 4 2 3 2 2" xfId="12900"/>
    <cellStyle name="Normal 2 5 3 4 2 3 2 2 2" xfId="23119"/>
    <cellStyle name="Normal 2 5 3 4 2 3 2 3" xfId="9321"/>
    <cellStyle name="Normal 2 5 3 4 2 3 2 4" xfId="18112"/>
    <cellStyle name="Normal 2 5 3 4 2 3 3" xfId="4926"/>
    <cellStyle name="Normal 2 5 3 4 2 3 3 2" xfId="13763"/>
    <cellStyle name="Normal 2 5 3 4 2 3 3 2 2" xfId="24014"/>
    <cellStyle name="Normal 2 5 3 4 2 3 3 3" xfId="10184"/>
    <cellStyle name="Normal 2 5 3 4 2 3 3 4" xfId="19007"/>
    <cellStyle name="Normal 2 5 3 4 2 3 4" xfId="2158"/>
    <cellStyle name="Normal 2 5 3 4 2 3 4 2" xfId="11523"/>
    <cellStyle name="Normal 2 5 3 4 2 3 4 3" xfId="21527"/>
    <cellStyle name="Normal 2 5 3 4 2 3 5" xfId="6381"/>
    <cellStyle name="Normal 2 5 3 4 2 3 5 2" xfId="15208"/>
    <cellStyle name="Normal 2 5 3 4 2 3 5 3" xfId="25459"/>
    <cellStyle name="Normal 2 5 3 4 2 3 6" xfId="7827"/>
    <cellStyle name="Normal 2 5 3 4 2 3 6 2" xfId="20718"/>
    <cellStyle name="Normal 2 5 3 4 2 3 7" xfId="16520"/>
    <cellStyle name="Normal 2 5 3 4 2 4" xfId="3049"/>
    <cellStyle name="Normal 2 5 3 4 2 4 2" xfId="5427"/>
    <cellStyle name="Normal 2 5 3 4 2 4 2 2" xfId="14264"/>
    <cellStyle name="Normal 2 5 3 4 2 4 2 2 2" xfId="24515"/>
    <cellStyle name="Normal 2 5 3 4 2 4 2 3" xfId="10685"/>
    <cellStyle name="Normal 2 5 3 4 2 4 2 4" xfId="19508"/>
    <cellStyle name="Normal 2 5 3 4 2 4 3" xfId="6882"/>
    <cellStyle name="Normal 2 5 3 4 2 4 3 2" xfId="15709"/>
    <cellStyle name="Normal 2 5 3 4 2 4 3 3" xfId="25960"/>
    <cellStyle name="Normal 2 5 3 4 2 4 4" xfId="8328"/>
    <cellStyle name="Normal 2 5 3 4 2 4 4 2" xfId="22410"/>
    <cellStyle name="Normal 2 5 3 4 2 4 5" xfId="17403"/>
    <cellStyle name="Normal 2 5 3 4 2 5" xfId="4383"/>
    <cellStyle name="Normal 2 5 3 4 2 5 2" xfId="13221"/>
    <cellStyle name="Normal 2 5 3 4 2 5 2 2" xfId="23472"/>
    <cellStyle name="Normal 2 5 3 4 2 5 3" xfId="9642"/>
    <cellStyle name="Normal 2 5 3 4 2 5 4" xfId="18465"/>
    <cellStyle name="Normal 2 5 3 4 2 6" xfId="1655"/>
    <cellStyle name="Normal 2 5 3 4 2 6 2" xfId="11032"/>
    <cellStyle name="Normal 2 5 3 4 2 6 3" xfId="21036"/>
    <cellStyle name="Normal 2 5 3 4 2 7" xfId="5839"/>
    <cellStyle name="Normal 2 5 3 4 2 7 2" xfId="14666"/>
    <cellStyle name="Normal 2 5 3 4 2 7 3" xfId="24917"/>
    <cellStyle name="Normal 2 5 3 4 2 8" xfId="7283"/>
    <cellStyle name="Normal 2 5 3 4 2 8 2" xfId="20009"/>
    <cellStyle name="Normal 2 5 3 4 2 9" xfId="16029"/>
    <cellStyle name="Normal 2 5 3 4 2_Degree data" xfId="3918"/>
    <cellStyle name="Normal 2 5 3 4 3" xfId="358"/>
    <cellStyle name="Normal 2 5 3 4 3 2" xfId="2844"/>
    <cellStyle name="Normal 2 5 3 4 3 2 2" xfId="12132"/>
    <cellStyle name="Normal 2 5 3 4 3 2 2 2" xfId="22205"/>
    <cellStyle name="Normal 2 5 3 4 3 2 3" xfId="8536"/>
    <cellStyle name="Normal 2 5 3 4 3 2 4" xfId="17198"/>
    <cellStyle name="Normal 2 5 3 4 3 3" xfId="4576"/>
    <cellStyle name="Normal 2 5 3 4 3 3 2" xfId="13414"/>
    <cellStyle name="Normal 2 5 3 4 3 3 2 2" xfId="23665"/>
    <cellStyle name="Normal 2 5 3 4 3 3 3" xfId="9835"/>
    <cellStyle name="Normal 2 5 3 4 3 3 4" xfId="18658"/>
    <cellStyle name="Normal 2 5 3 4 3 4" xfId="1953"/>
    <cellStyle name="Normal 2 5 3 4 3 4 2" xfId="11318"/>
    <cellStyle name="Normal 2 5 3 4 3 4 3" xfId="21322"/>
    <cellStyle name="Normal 2 5 3 4 3 5" xfId="6032"/>
    <cellStyle name="Normal 2 5 3 4 3 5 2" xfId="14859"/>
    <cellStyle name="Normal 2 5 3 4 3 5 3" xfId="25110"/>
    <cellStyle name="Normal 2 5 3 4 3 6" xfId="7476"/>
    <cellStyle name="Normal 2 5 3 4 3 6 2" xfId="19804"/>
    <cellStyle name="Normal 2 5 3 4 3 7" xfId="16315"/>
    <cellStyle name="Normal 2 5 3 4 4" xfId="761"/>
    <cellStyle name="Normal 2 5 3 4 4 2" xfId="3247"/>
    <cellStyle name="Normal 2 5 3 4 4 2 2" xfId="12389"/>
    <cellStyle name="Normal 2 5 3 4 4 2 2 2" xfId="22608"/>
    <cellStyle name="Normal 2 5 3 4 4 2 3" xfId="8811"/>
    <cellStyle name="Normal 2 5 3 4 4 2 4" xfId="17601"/>
    <cellStyle name="Normal 2 5 3 4 4 3" xfId="4925"/>
    <cellStyle name="Normal 2 5 3 4 4 3 2" xfId="13762"/>
    <cellStyle name="Normal 2 5 3 4 4 3 2 2" xfId="24013"/>
    <cellStyle name="Normal 2 5 3 4 4 3 3" xfId="10183"/>
    <cellStyle name="Normal 2 5 3 4 4 3 4" xfId="19006"/>
    <cellStyle name="Normal 2 5 3 4 4 4" xfId="2356"/>
    <cellStyle name="Normal 2 5 3 4 4 4 2" xfId="11721"/>
    <cellStyle name="Normal 2 5 3 4 4 4 3" xfId="21725"/>
    <cellStyle name="Normal 2 5 3 4 4 5" xfId="6380"/>
    <cellStyle name="Normal 2 5 3 4 4 5 2" xfId="15207"/>
    <cellStyle name="Normal 2 5 3 4 4 5 3" xfId="25458"/>
    <cellStyle name="Normal 2 5 3 4 4 6" xfId="7826"/>
    <cellStyle name="Normal 2 5 3 4 4 6 2" xfId="20207"/>
    <cellStyle name="Normal 2 5 3 4 4 7" xfId="16718"/>
    <cellStyle name="Normal 2 5 3 4 5" xfId="1130"/>
    <cellStyle name="Normal 2 5 3 4 5 2" xfId="3559"/>
    <cellStyle name="Normal 2 5 3 4 5 2 2" xfId="12695"/>
    <cellStyle name="Normal 2 5 3 4 5 2 2 2" xfId="22914"/>
    <cellStyle name="Normal 2 5 3 4 5 2 3" xfId="9116"/>
    <cellStyle name="Normal 2 5 3 4 5 2 4" xfId="17907"/>
    <cellStyle name="Normal 2 5 3 4 5 3" xfId="5222"/>
    <cellStyle name="Normal 2 5 3 4 5 3 2" xfId="14059"/>
    <cellStyle name="Normal 2 5 3 4 5 3 2 2" xfId="24310"/>
    <cellStyle name="Normal 2 5 3 4 5 3 3" xfId="10480"/>
    <cellStyle name="Normal 2 5 3 4 5 3 4" xfId="19303"/>
    <cellStyle name="Normal 2 5 3 4 5 4" xfId="1838"/>
    <cellStyle name="Normal 2 5 3 4 5 4 2" xfId="11206"/>
    <cellStyle name="Normal 2 5 3 4 5 4 3" xfId="21210"/>
    <cellStyle name="Normal 2 5 3 4 5 5" xfId="6677"/>
    <cellStyle name="Normal 2 5 3 4 5 5 2" xfId="15504"/>
    <cellStyle name="Normal 2 5 3 4 5 5 3" xfId="25755"/>
    <cellStyle name="Normal 2 5 3 4 5 6" xfId="8123"/>
    <cellStyle name="Normal 2 5 3 4 5 6 2" xfId="20513"/>
    <cellStyle name="Normal 2 5 3 4 5 7" xfId="16203"/>
    <cellStyle name="Normal 2 5 3 4 6" xfId="2732"/>
    <cellStyle name="Normal 2 5 3 4 6 2" xfId="12049"/>
    <cellStyle name="Normal 2 5 3 4 6 2 2" xfId="22093"/>
    <cellStyle name="Normal 2 5 3 4 6 3" xfId="8441"/>
    <cellStyle name="Normal 2 5 3 4 6 4" xfId="17086"/>
    <cellStyle name="Normal 2 5 3 4 7" xfId="4178"/>
    <cellStyle name="Normal 2 5 3 4 7 2" xfId="13016"/>
    <cellStyle name="Normal 2 5 3 4 7 2 2" xfId="23267"/>
    <cellStyle name="Normal 2 5 3 4 7 3" xfId="9437"/>
    <cellStyle name="Normal 2 5 3 4 7 4" xfId="18260"/>
    <cellStyle name="Normal 2 5 3 4 8" xfId="1450"/>
    <cellStyle name="Normal 2 5 3 4 8 2" xfId="10827"/>
    <cellStyle name="Normal 2 5 3 4 8 3" xfId="20831"/>
    <cellStyle name="Normal 2 5 3 4 9" xfId="5634"/>
    <cellStyle name="Normal 2 5 3 4 9 2" xfId="14461"/>
    <cellStyle name="Normal 2 5 3 4 9 3" xfId="24712"/>
    <cellStyle name="Normal 2 5 3 4_Degree data" xfId="2619"/>
    <cellStyle name="Normal 2 5 3 5" xfId="458"/>
    <cellStyle name="Normal 2 5 3 5 2" xfId="763"/>
    <cellStyle name="Normal 2 5 3 5 2 2" xfId="3249"/>
    <cellStyle name="Normal 2 5 3 5 2 2 2" xfId="12391"/>
    <cellStyle name="Normal 2 5 3 5 2 2 2 2" xfId="22610"/>
    <cellStyle name="Normal 2 5 3 5 2 2 3" xfId="8813"/>
    <cellStyle name="Normal 2 5 3 5 2 2 4" xfId="17603"/>
    <cellStyle name="Normal 2 5 3 5 2 3" xfId="4578"/>
    <cellStyle name="Normal 2 5 3 5 2 3 2" xfId="13416"/>
    <cellStyle name="Normal 2 5 3 5 2 3 2 2" xfId="23667"/>
    <cellStyle name="Normal 2 5 3 5 2 3 3" xfId="9837"/>
    <cellStyle name="Normal 2 5 3 5 2 3 4" xfId="18660"/>
    <cellStyle name="Normal 2 5 3 5 2 4" xfId="2358"/>
    <cellStyle name="Normal 2 5 3 5 2 4 2" xfId="11723"/>
    <cellStyle name="Normal 2 5 3 5 2 4 3" xfId="21727"/>
    <cellStyle name="Normal 2 5 3 5 2 5" xfId="6034"/>
    <cellStyle name="Normal 2 5 3 5 2 5 2" xfId="14861"/>
    <cellStyle name="Normal 2 5 3 5 2 5 3" xfId="25112"/>
    <cellStyle name="Normal 2 5 3 5 2 6" xfId="7478"/>
    <cellStyle name="Normal 2 5 3 5 2 6 2" xfId="20209"/>
    <cellStyle name="Normal 2 5 3 5 2 7" xfId="16720"/>
    <cellStyle name="Normal 2 5 3 5 3" xfId="1230"/>
    <cellStyle name="Normal 2 5 3 5 3 2" xfId="3659"/>
    <cellStyle name="Normal 2 5 3 5 3 2 2" xfId="12795"/>
    <cellStyle name="Normal 2 5 3 5 3 2 2 2" xfId="23014"/>
    <cellStyle name="Normal 2 5 3 5 3 2 3" xfId="9216"/>
    <cellStyle name="Normal 2 5 3 5 3 2 4" xfId="18007"/>
    <cellStyle name="Normal 2 5 3 5 3 3" xfId="4927"/>
    <cellStyle name="Normal 2 5 3 5 3 3 2" xfId="13764"/>
    <cellStyle name="Normal 2 5 3 5 3 3 2 2" xfId="24015"/>
    <cellStyle name="Normal 2 5 3 5 3 3 3" xfId="10185"/>
    <cellStyle name="Normal 2 5 3 5 3 3 4" xfId="19008"/>
    <cellStyle name="Normal 2 5 3 5 3 4" xfId="2053"/>
    <cellStyle name="Normal 2 5 3 5 3 4 2" xfId="11418"/>
    <cellStyle name="Normal 2 5 3 5 3 4 3" xfId="21422"/>
    <cellStyle name="Normal 2 5 3 5 3 5" xfId="6382"/>
    <cellStyle name="Normal 2 5 3 5 3 5 2" xfId="15209"/>
    <cellStyle name="Normal 2 5 3 5 3 5 3" xfId="25460"/>
    <cellStyle name="Normal 2 5 3 5 3 6" xfId="7828"/>
    <cellStyle name="Normal 2 5 3 5 3 6 2" xfId="20613"/>
    <cellStyle name="Normal 2 5 3 5 3 7" xfId="16415"/>
    <cellStyle name="Normal 2 5 3 5 4" xfId="2944"/>
    <cellStyle name="Normal 2 5 3 5 4 2" xfId="5322"/>
    <cellStyle name="Normal 2 5 3 5 4 2 2" xfId="14159"/>
    <cellStyle name="Normal 2 5 3 5 4 2 2 2" xfId="24410"/>
    <cellStyle name="Normal 2 5 3 5 4 2 3" xfId="10580"/>
    <cellStyle name="Normal 2 5 3 5 4 2 4" xfId="19403"/>
    <cellStyle name="Normal 2 5 3 5 4 3" xfId="6777"/>
    <cellStyle name="Normal 2 5 3 5 4 3 2" xfId="15604"/>
    <cellStyle name="Normal 2 5 3 5 4 3 3" xfId="25855"/>
    <cellStyle name="Normal 2 5 3 5 4 4" xfId="8223"/>
    <cellStyle name="Normal 2 5 3 5 4 4 2" xfId="22305"/>
    <cellStyle name="Normal 2 5 3 5 4 5" xfId="17298"/>
    <cellStyle name="Normal 2 5 3 5 5" xfId="4278"/>
    <cellStyle name="Normal 2 5 3 5 5 2" xfId="13116"/>
    <cellStyle name="Normal 2 5 3 5 5 2 2" xfId="23367"/>
    <cellStyle name="Normal 2 5 3 5 5 3" xfId="9537"/>
    <cellStyle name="Normal 2 5 3 5 5 4" xfId="18360"/>
    <cellStyle name="Normal 2 5 3 5 6" xfId="1550"/>
    <cellStyle name="Normal 2 5 3 5 6 2" xfId="10927"/>
    <cellStyle name="Normal 2 5 3 5 6 3" xfId="20931"/>
    <cellStyle name="Normal 2 5 3 5 7" xfId="5734"/>
    <cellStyle name="Normal 2 5 3 5 7 2" xfId="14561"/>
    <cellStyle name="Normal 2 5 3 5 7 3" xfId="24812"/>
    <cellStyle name="Normal 2 5 3 5 8" xfId="7178"/>
    <cellStyle name="Normal 2 5 3 5 8 2" xfId="19904"/>
    <cellStyle name="Normal 2 5 3 5 9" xfId="15924"/>
    <cellStyle name="Normal 2 5 3 5_Degree data" xfId="3849"/>
    <cellStyle name="Normal 2 5 3 6" xfId="329"/>
    <cellStyle name="Normal 2 5 3 6 2" xfId="764"/>
    <cellStyle name="Normal 2 5 3 6 2 2" xfId="3250"/>
    <cellStyle name="Normal 2 5 3 6 2 2 2" xfId="12392"/>
    <cellStyle name="Normal 2 5 3 6 2 2 2 2" xfId="22611"/>
    <cellStyle name="Normal 2 5 3 6 2 2 3" xfId="8814"/>
    <cellStyle name="Normal 2 5 3 6 2 2 4" xfId="17604"/>
    <cellStyle name="Normal 2 5 3 6 2 3" xfId="4579"/>
    <cellStyle name="Normal 2 5 3 6 2 3 2" xfId="13417"/>
    <cellStyle name="Normal 2 5 3 6 2 3 2 2" xfId="23668"/>
    <cellStyle name="Normal 2 5 3 6 2 3 3" xfId="9838"/>
    <cellStyle name="Normal 2 5 3 6 2 3 4" xfId="18661"/>
    <cellStyle name="Normal 2 5 3 6 2 4" xfId="2359"/>
    <cellStyle name="Normal 2 5 3 6 2 4 2" xfId="11724"/>
    <cellStyle name="Normal 2 5 3 6 2 4 3" xfId="21728"/>
    <cellStyle name="Normal 2 5 3 6 2 5" xfId="6035"/>
    <cellStyle name="Normal 2 5 3 6 2 5 2" xfId="14862"/>
    <cellStyle name="Normal 2 5 3 6 2 5 3" xfId="25113"/>
    <cellStyle name="Normal 2 5 3 6 2 6" xfId="7479"/>
    <cellStyle name="Normal 2 5 3 6 2 6 2" xfId="20210"/>
    <cellStyle name="Normal 2 5 3 6 2 7" xfId="16721"/>
    <cellStyle name="Normal 2 5 3 6 3" xfId="1101"/>
    <cellStyle name="Normal 2 5 3 6 3 2" xfId="3530"/>
    <cellStyle name="Normal 2 5 3 6 3 2 2" xfId="12666"/>
    <cellStyle name="Normal 2 5 3 6 3 2 2 2" xfId="22885"/>
    <cellStyle name="Normal 2 5 3 6 3 2 3" xfId="9088"/>
    <cellStyle name="Normal 2 5 3 6 3 2 4" xfId="17878"/>
    <cellStyle name="Normal 2 5 3 6 3 3" xfId="4928"/>
    <cellStyle name="Normal 2 5 3 6 3 3 2" xfId="13765"/>
    <cellStyle name="Normal 2 5 3 6 3 3 2 2" xfId="24016"/>
    <cellStyle name="Normal 2 5 3 6 3 3 3" xfId="10186"/>
    <cellStyle name="Normal 2 5 3 6 3 3 4" xfId="19009"/>
    <cellStyle name="Normal 2 5 3 6 3 4" xfId="2594"/>
    <cellStyle name="Normal 2 5 3 6 3 4 2" xfId="11958"/>
    <cellStyle name="Normal 2 5 3 6 3 4 3" xfId="21962"/>
    <cellStyle name="Normal 2 5 3 6 3 5" xfId="6383"/>
    <cellStyle name="Normal 2 5 3 6 3 5 2" xfId="15210"/>
    <cellStyle name="Normal 2 5 3 6 3 5 3" xfId="25461"/>
    <cellStyle name="Normal 2 5 3 6 3 6" xfId="7829"/>
    <cellStyle name="Normal 2 5 3 6 3 6 2" xfId="20484"/>
    <cellStyle name="Normal 2 5 3 6 3 7" xfId="16955"/>
    <cellStyle name="Normal 2 5 3 6 4" xfId="2815"/>
    <cellStyle name="Normal 2 5 3 6 4 2" xfId="5193"/>
    <cellStyle name="Normal 2 5 3 6 4 2 2" xfId="14030"/>
    <cellStyle name="Normal 2 5 3 6 4 2 2 2" xfId="24281"/>
    <cellStyle name="Normal 2 5 3 6 4 2 3" xfId="10451"/>
    <cellStyle name="Normal 2 5 3 6 4 2 4" xfId="19274"/>
    <cellStyle name="Normal 2 5 3 6 4 3" xfId="6648"/>
    <cellStyle name="Normal 2 5 3 6 4 3 2" xfId="15475"/>
    <cellStyle name="Normal 2 5 3 6 4 3 3" xfId="25726"/>
    <cellStyle name="Normal 2 5 3 6 4 4" xfId="8094"/>
    <cellStyle name="Normal 2 5 3 6 4 4 2" xfId="22176"/>
    <cellStyle name="Normal 2 5 3 6 4 5" xfId="17169"/>
    <cellStyle name="Normal 2 5 3 6 5" xfId="4147"/>
    <cellStyle name="Normal 2 5 3 6 5 2" xfId="12985"/>
    <cellStyle name="Normal 2 5 3 6 5 2 2" xfId="23236"/>
    <cellStyle name="Normal 2 5 3 6 5 3" xfId="9406"/>
    <cellStyle name="Normal 2 5 3 6 5 4" xfId="18229"/>
    <cellStyle name="Normal 2 5 3 6 6" xfId="1924"/>
    <cellStyle name="Normal 2 5 3 6 6 2" xfId="11289"/>
    <cellStyle name="Normal 2 5 3 6 6 3" xfId="21293"/>
    <cellStyle name="Normal 2 5 3 6 7" xfId="5605"/>
    <cellStyle name="Normal 2 5 3 6 7 2" xfId="14432"/>
    <cellStyle name="Normal 2 5 3 6 7 3" xfId="24683"/>
    <cellStyle name="Normal 2 5 3 6 8" xfId="7049"/>
    <cellStyle name="Normal 2 5 3 6 8 2" xfId="19775"/>
    <cellStyle name="Normal 2 5 3 6 9" xfId="16286"/>
    <cellStyle name="Normal 2 5 3 6_Degree data" xfId="3876"/>
    <cellStyle name="Normal 2 5 3 7" xfId="755"/>
    <cellStyle name="Normal 2 5 3 7 2" xfId="3241"/>
    <cellStyle name="Normal 2 5 3 7 2 2" xfId="12383"/>
    <cellStyle name="Normal 2 5 3 7 2 2 2" xfId="22602"/>
    <cellStyle name="Normal 2 5 3 7 2 3" xfId="8805"/>
    <cellStyle name="Normal 2 5 3 7 2 4" xfId="17595"/>
    <cellStyle name="Normal 2 5 3 7 3" xfId="4570"/>
    <cellStyle name="Normal 2 5 3 7 3 2" xfId="13408"/>
    <cellStyle name="Normal 2 5 3 7 3 2 2" xfId="23659"/>
    <cellStyle name="Normal 2 5 3 7 3 3" xfId="9829"/>
    <cellStyle name="Normal 2 5 3 7 3 4" xfId="18652"/>
    <cellStyle name="Normal 2 5 3 7 4" xfId="2350"/>
    <cellStyle name="Normal 2 5 3 7 4 2" xfId="11715"/>
    <cellStyle name="Normal 2 5 3 7 4 3" xfId="21719"/>
    <cellStyle name="Normal 2 5 3 7 5" xfId="6026"/>
    <cellStyle name="Normal 2 5 3 7 5 2" xfId="14853"/>
    <cellStyle name="Normal 2 5 3 7 5 3" xfId="25104"/>
    <cellStyle name="Normal 2 5 3 7 6" xfId="7470"/>
    <cellStyle name="Normal 2 5 3 7 6 2" xfId="20201"/>
    <cellStyle name="Normal 2 5 3 7 7" xfId="16712"/>
    <cellStyle name="Normal 2 5 3 8" xfId="1058"/>
    <cellStyle name="Normal 2 5 3 8 2" xfId="3487"/>
    <cellStyle name="Normal 2 5 3 8 2 2" xfId="12623"/>
    <cellStyle name="Normal 2 5 3 8 2 2 2" xfId="22842"/>
    <cellStyle name="Normal 2 5 3 8 2 3" xfId="9045"/>
    <cellStyle name="Normal 2 5 3 8 2 4" xfId="17835"/>
    <cellStyle name="Normal 2 5 3 8 3" xfId="4919"/>
    <cellStyle name="Normal 2 5 3 8 3 2" xfId="13756"/>
    <cellStyle name="Normal 2 5 3 8 3 2 2" xfId="24007"/>
    <cellStyle name="Normal 2 5 3 8 3 3" xfId="10177"/>
    <cellStyle name="Normal 2 5 3 8 3 4" xfId="19000"/>
    <cellStyle name="Normal 2 5 3 8 4" xfId="1726"/>
    <cellStyle name="Normal 2 5 3 8 4 2" xfId="11100"/>
    <cellStyle name="Normal 2 5 3 8 4 3" xfId="21104"/>
    <cellStyle name="Normal 2 5 3 8 5" xfId="6374"/>
    <cellStyle name="Normal 2 5 3 8 5 2" xfId="15201"/>
    <cellStyle name="Normal 2 5 3 8 5 3" xfId="25452"/>
    <cellStyle name="Normal 2 5 3 8 6" xfId="7820"/>
    <cellStyle name="Normal 2 5 3 8 6 2" xfId="20441"/>
    <cellStyle name="Normal 2 5 3 8 7" xfId="16097"/>
    <cellStyle name="Normal 2 5 3 9" xfId="2624"/>
    <cellStyle name="Normal 2 5 3 9 2" xfId="5150"/>
    <cellStyle name="Normal 2 5 3 9 2 2" xfId="13987"/>
    <cellStyle name="Normal 2 5 3 9 2 2 2" xfId="24238"/>
    <cellStyle name="Normal 2 5 3 9 2 3" xfId="10408"/>
    <cellStyle name="Normal 2 5 3 9 2 4" xfId="19231"/>
    <cellStyle name="Normal 2 5 3 9 3" xfId="6605"/>
    <cellStyle name="Normal 2 5 3 9 3 2" xfId="15432"/>
    <cellStyle name="Normal 2 5 3 9 3 3" xfId="25683"/>
    <cellStyle name="Normal 2 5 3 9 4" xfId="8051"/>
    <cellStyle name="Normal 2 5 3 9 4 2" xfId="21987"/>
    <cellStyle name="Normal 2 5 3 9 5" xfId="16980"/>
    <cellStyle name="Normal 2 5 3_Degree data" xfId="3934"/>
    <cellStyle name="Normal 2 5 4" xfId="133"/>
    <cellStyle name="Normal 2 5 4 10" xfId="4120"/>
    <cellStyle name="Normal 2 5 4 10 2" xfId="5578"/>
    <cellStyle name="Normal 2 5 4 10 2 2" xfId="14405"/>
    <cellStyle name="Normal 2 5 4 10 2 3" xfId="24656"/>
    <cellStyle name="Normal 2 5 4 10 3" xfId="7022"/>
    <cellStyle name="Normal 2 5 4 10 3 2" xfId="23209"/>
    <cellStyle name="Normal 2 5 4 10 4" xfId="18202"/>
    <cellStyle name="Normal 2 5 4 11" xfId="1439"/>
    <cellStyle name="Normal 2 5 4 11 2" xfId="10816"/>
    <cellStyle name="Normal 2 5 4 11 3" xfId="20820"/>
    <cellStyle name="Normal 2 5 4 12" xfId="5548"/>
    <cellStyle name="Normal 2 5 4 12 2" xfId="14375"/>
    <cellStyle name="Normal 2 5 4 12 3" xfId="24626"/>
    <cellStyle name="Normal 2 5 4 13" xfId="6992"/>
    <cellStyle name="Normal 2 5 4 13 2" xfId="19600"/>
    <cellStyle name="Normal 2 5 4 14" xfId="15813"/>
    <cellStyle name="Normal 2 5 4 2" xfId="174"/>
    <cellStyle name="Normal 2 5 4 2 10" xfId="5680"/>
    <cellStyle name="Normal 2 5 4 2 10 2" xfId="14507"/>
    <cellStyle name="Normal 2 5 4 2 10 3" xfId="24758"/>
    <cellStyle name="Normal 2 5 4 2 11" xfId="7124"/>
    <cellStyle name="Normal 2 5 4 2 11 2" xfId="19633"/>
    <cellStyle name="Normal 2 5 4 2 12" xfId="15870"/>
    <cellStyle name="Normal 2 5 4 2 2" xfId="286"/>
    <cellStyle name="Normal 2 5 4 2 2 10" xfId="16074"/>
    <cellStyle name="Normal 2 5 4 2 2 2" xfId="608"/>
    <cellStyle name="Normal 2 5 4 2 2 2 2" xfId="3094"/>
    <cellStyle name="Normal 2 5 4 2 2 2 2 2" xfId="12237"/>
    <cellStyle name="Normal 2 5 4 2 2 2 2 2 2" xfId="22455"/>
    <cellStyle name="Normal 2 5 4 2 2 2 2 3" xfId="8659"/>
    <cellStyle name="Normal 2 5 4 2 2 2 2 4" xfId="17448"/>
    <cellStyle name="Normal 2 5 4 2 2 2 3" xfId="4582"/>
    <cellStyle name="Normal 2 5 4 2 2 2 3 2" xfId="13420"/>
    <cellStyle name="Normal 2 5 4 2 2 2 3 2 2" xfId="23671"/>
    <cellStyle name="Normal 2 5 4 2 2 2 3 3" xfId="9841"/>
    <cellStyle name="Normal 2 5 4 2 2 2 3 4" xfId="18664"/>
    <cellStyle name="Normal 2 5 4 2 2 2 4" xfId="2203"/>
    <cellStyle name="Normal 2 5 4 2 2 2 4 2" xfId="11568"/>
    <cellStyle name="Normal 2 5 4 2 2 2 4 3" xfId="21572"/>
    <cellStyle name="Normal 2 5 4 2 2 2 5" xfId="6038"/>
    <cellStyle name="Normal 2 5 4 2 2 2 5 2" xfId="14865"/>
    <cellStyle name="Normal 2 5 4 2 2 2 5 3" xfId="25116"/>
    <cellStyle name="Normal 2 5 4 2 2 2 6" xfId="7482"/>
    <cellStyle name="Normal 2 5 4 2 2 2 6 2" xfId="20054"/>
    <cellStyle name="Normal 2 5 4 2 2 2 7" xfId="16565"/>
    <cellStyle name="Normal 2 5 4 2 2 3" xfId="767"/>
    <cellStyle name="Normal 2 5 4 2 2 3 2" xfId="3253"/>
    <cellStyle name="Normal 2 5 4 2 2 3 2 2" xfId="12395"/>
    <cellStyle name="Normal 2 5 4 2 2 3 2 2 2" xfId="22614"/>
    <cellStyle name="Normal 2 5 4 2 2 3 2 3" xfId="8817"/>
    <cellStyle name="Normal 2 5 4 2 2 3 2 4" xfId="17607"/>
    <cellStyle name="Normal 2 5 4 2 2 3 3" xfId="4931"/>
    <cellStyle name="Normal 2 5 4 2 2 3 3 2" xfId="13768"/>
    <cellStyle name="Normal 2 5 4 2 2 3 3 2 2" xfId="24019"/>
    <cellStyle name="Normal 2 5 4 2 2 3 3 3" xfId="10189"/>
    <cellStyle name="Normal 2 5 4 2 2 3 3 4" xfId="19012"/>
    <cellStyle name="Normal 2 5 4 2 2 3 4" xfId="2362"/>
    <cellStyle name="Normal 2 5 4 2 2 3 4 2" xfId="11727"/>
    <cellStyle name="Normal 2 5 4 2 2 3 4 3" xfId="21731"/>
    <cellStyle name="Normal 2 5 4 2 2 3 5" xfId="6386"/>
    <cellStyle name="Normal 2 5 4 2 2 3 5 2" xfId="15213"/>
    <cellStyle name="Normal 2 5 4 2 2 3 5 3" xfId="25464"/>
    <cellStyle name="Normal 2 5 4 2 2 3 6" xfId="7832"/>
    <cellStyle name="Normal 2 5 4 2 2 3 6 2" xfId="20213"/>
    <cellStyle name="Normal 2 5 4 2 2 3 7" xfId="16724"/>
    <cellStyle name="Normal 2 5 4 2 2 4" xfId="1380"/>
    <cellStyle name="Normal 2 5 4 2 2 4 2" xfId="3809"/>
    <cellStyle name="Normal 2 5 4 2 2 4 2 2" xfId="12945"/>
    <cellStyle name="Normal 2 5 4 2 2 4 2 2 2" xfId="23164"/>
    <cellStyle name="Normal 2 5 4 2 2 4 2 3" xfId="9366"/>
    <cellStyle name="Normal 2 5 4 2 2 4 2 4" xfId="18157"/>
    <cellStyle name="Normal 2 5 4 2 2 4 3" xfId="5472"/>
    <cellStyle name="Normal 2 5 4 2 2 4 3 2" xfId="14309"/>
    <cellStyle name="Normal 2 5 4 2 2 4 3 2 2" xfId="24560"/>
    <cellStyle name="Normal 2 5 4 2 2 4 3 3" xfId="10730"/>
    <cellStyle name="Normal 2 5 4 2 2 4 3 4" xfId="19553"/>
    <cellStyle name="Normal 2 5 4 2 2 4 4" xfId="1883"/>
    <cellStyle name="Normal 2 5 4 2 2 4 4 2" xfId="11251"/>
    <cellStyle name="Normal 2 5 4 2 2 4 4 3" xfId="21255"/>
    <cellStyle name="Normal 2 5 4 2 2 4 5" xfId="6927"/>
    <cellStyle name="Normal 2 5 4 2 2 4 5 2" xfId="15754"/>
    <cellStyle name="Normal 2 5 4 2 2 4 5 3" xfId="26005"/>
    <cellStyle name="Normal 2 5 4 2 2 4 6" xfId="8373"/>
    <cellStyle name="Normal 2 5 4 2 2 4 6 2" xfId="20763"/>
    <cellStyle name="Normal 2 5 4 2 2 4 7" xfId="16248"/>
    <cellStyle name="Normal 2 5 4 2 2 5" xfId="2777"/>
    <cellStyle name="Normal 2 5 4 2 2 5 2" xfId="12094"/>
    <cellStyle name="Normal 2 5 4 2 2 5 2 2" xfId="22138"/>
    <cellStyle name="Normal 2 5 4 2 2 5 3" xfId="8484"/>
    <cellStyle name="Normal 2 5 4 2 2 5 4" xfId="17131"/>
    <cellStyle name="Normal 2 5 4 2 2 6" xfId="4428"/>
    <cellStyle name="Normal 2 5 4 2 2 6 2" xfId="13266"/>
    <cellStyle name="Normal 2 5 4 2 2 6 2 2" xfId="23517"/>
    <cellStyle name="Normal 2 5 4 2 2 6 3" xfId="9687"/>
    <cellStyle name="Normal 2 5 4 2 2 6 4" xfId="18510"/>
    <cellStyle name="Normal 2 5 4 2 2 7" xfId="1700"/>
    <cellStyle name="Normal 2 5 4 2 2 7 2" xfId="11077"/>
    <cellStyle name="Normal 2 5 4 2 2 7 3" xfId="21081"/>
    <cellStyle name="Normal 2 5 4 2 2 8" xfId="5884"/>
    <cellStyle name="Normal 2 5 4 2 2 8 2" xfId="14711"/>
    <cellStyle name="Normal 2 5 4 2 2 8 3" xfId="24962"/>
    <cellStyle name="Normal 2 5 4 2 2 9" xfId="7328"/>
    <cellStyle name="Normal 2 5 4 2 2 9 2" xfId="19737"/>
    <cellStyle name="Normal 2 5 4 2 2_Degree data" xfId="3842"/>
    <cellStyle name="Normal 2 5 4 2 3" xfId="504"/>
    <cellStyle name="Normal 2 5 4 2 3 2" xfId="768"/>
    <cellStyle name="Normal 2 5 4 2 3 2 2" xfId="3254"/>
    <cellStyle name="Normal 2 5 4 2 3 2 2 2" xfId="12396"/>
    <cellStyle name="Normal 2 5 4 2 3 2 2 2 2" xfId="22615"/>
    <cellStyle name="Normal 2 5 4 2 3 2 2 3" xfId="8818"/>
    <cellStyle name="Normal 2 5 4 2 3 2 2 4" xfId="17608"/>
    <cellStyle name="Normal 2 5 4 2 3 2 3" xfId="4583"/>
    <cellStyle name="Normal 2 5 4 2 3 2 3 2" xfId="13421"/>
    <cellStyle name="Normal 2 5 4 2 3 2 3 2 2" xfId="23672"/>
    <cellStyle name="Normal 2 5 4 2 3 2 3 3" xfId="9842"/>
    <cellStyle name="Normal 2 5 4 2 3 2 3 4" xfId="18665"/>
    <cellStyle name="Normal 2 5 4 2 3 2 4" xfId="2363"/>
    <cellStyle name="Normal 2 5 4 2 3 2 4 2" xfId="11728"/>
    <cellStyle name="Normal 2 5 4 2 3 2 4 3" xfId="21732"/>
    <cellStyle name="Normal 2 5 4 2 3 2 5" xfId="6039"/>
    <cellStyle name="Normal 2 5 4 2 3 2 5 2" xfId="14866"/>
    <cellStyle name="Normal 2 5 4 2 3 2 5 3" xfId="25117"/>
    <cellStyle name="Normal 2 5 4 2 3 2 6" xfId="7483"/>
    <cellStyle name="Normal 2 5 4 2 3 2 6 2" xfId="20214"/>
    <cellStyle name="Normal 2 5 4 2 3 2 7" xfId="16725"/>
    <cellStyle name="Normal 2 5 4 2 3 3" xfId="1276"/>
    <cellStyle name="Normal 2 5 4 2 3 3 2" xfId="3705"/>
    <cellStyle name="Normal 2 5 4 2 3 3 2 2" xfId="12841"/>
    <cellStyle name="Normal 2 5 4 2 3 3 2 2 2" xfId="23060"/>
    <cellStyle name="Normal 2 5 4 2 3 3 2 3" xfId="9262"/>
    <cellStyle name="Normal 2 5 4 2 3 3 2 4" xfId="18053"/>
    <cellStyle name="Normal 2 5 4 2 3 3 3" xfId="4932"/>
    <cellStyle name="Normal 2 5 4 2 3 3 3 2" xfId="13769"/>
    <cellStyle name="Normal 2 5 4 2 3 3 3 2 2" xfId="24020"/>
    <cellStyle name="Normal 2 5 4 2 3 3 3 3" xfId="10190"/>
    <cellStyle name="Normal 2 5 4 2 3 3 3 4" xfId="19013"/>
    <cellStyle name="Normal 2 5 4 2 3 3 4" xfId="2099"/>
    <cellStyle name="Normal 2 5 4 2 3 3 4 2" xfId="11464"/>
    <cellStyle name="Normal 2 5 4 2 3 3 4 3" xfId="21468"/>
    <cellStyle name="Normal 2 5 4 2 3 3 5" xfId="6387"/>
    <cellStyle name="Normal 2 5 4 2 3 3 5 2" xfId="15214"/>
    <cellStyle name="Normal 2 5 4 2 3 3 5 3" xfId="25465"/>
    <cellStyle name="Normal 2 5 4 2 3 3 6" xfId="7833"/>
    <cellStyle name="Normal 2 5 4 2 3 3 6 2" xfId="20659"/>
    <cellStyle name="Normal 2 5 4 2 3 3 7" xfId="16461"/>
    <cellStyle name="Normal 2 5 4 2 3 4" xfId="2990"/>
    <cellStyle name="Normal 2 5 4 2 3 4 2" xfId="5368"/>
    <cellStyle name="Normal 2 5 4 2 3 4 2 2" xfId="14205"/>
    <cellStyle name="Normal 2 5 4 2 3 4 2 2 2" xfId="24456"/>
    <cellStyle name="Normal 2 5 4 2 3 4 2 3" xfId="10626"/>
    <cellStyle name="Normal 2 5 4 2 3 4 2 4" xfId="19449"/>
    <cellStyle name="Normal 2 5 4 2 3 4 3" xfId="6823"/>
    <cellStyle name="Normal 2 5 4 2 3 4 3 2" xfId="15650"/>
    <cellStyle name="Normal 2 5 4 2 3 4 3 3" xfId="25901"/>
    <cellStyle name="Normal 2 5 4 2 3 4 4" xfId="8269"/>
    <cellStyle name="Normal 2 5 4 2 3 4 4 2" xfId="22351"/>
    <cellStyle name="Normal 2 5 4 2 3 4 5" xfId="17344"/>
    <cellStyle name="Normal 2 5 4 2 3 5" xfId="4324"/>
    <cellStyle name="Normal 2 5 4 2 3 5 2" xfId="13162"/>
    <cellStyle name="Normal 2 5 4 2 3 5 2 2" xfId="23413"/>
    <cellStyle name="Normal 2 5 4 2 3 5 3" xfId="9583"/>
    <cellStyle name="Normal 2 5 4 2 3 5 4" xfId="18406"/>
    <cellStyle name="Normal 2 5 4 2 3 6" xfId="1596"/>
    <cellStyle name="Normal 2 5 4 2 3 6 2" xfId="10973"/>
    <cellStyle name="Normal 2 5 4 2 3 6 3" xfId="20977"/>
    <cellStyle name="Normal 2 5 4 2 3 7" xfId="5780"/>
    <cellStyle name="Normal 2 5 4 2 3 7 2" xfId="14607"/>
    <cellStyle name="Normal 2 5 4 2 3 7 3" xfId="24858"/>
    <cellStyle name="Normal 2 5 4 2 3 8" xfId="7224"/>
    <cellStyle name="Normal 2 5 4 2 3 8 2" xfId="19950"/>
    <cellStyle name="Normal 2 5 4 2 3 9" xfId="15970"/>
    <cellStyle name="Normal 2 5 4 2 3_Degree data" xfId="2611"/>
    <cellStyle name="Normal 2 5 4 2 4" xfId="404"/>
    <cellStyle name="Normal 2 5 4 2 4 2" xfId="2890"/>
    <cellStyle name="Normal 2 5 4 2 4 2 2" xfId="12178"/>
    <cellStyle name="Normal 2 5 4 2 4 2 2 2" xfId="22251"/>
    <cellStyle name="Normal 2 5 4 2 4 2 3" xfId="8464"/>
    <cellStyle name="Normal 2 5 4 2 4 2 4" xfId="17244"/>
    <cellStyle name="Normal 2 5 4 2 4 3" xfId="4581"/>
    <cellStyle name="Normal 2 5 4 2 4 3 2" xfId="13419"/>
    <cellStyle name="Normal 2 5 4 2 4 3 2 2" xfId="23670"/>
    <cellStyle name="Normal 2 5 4 2 4 3 3" xfId="9840"/>
    <cellStyle name="Normal 2 5 4 2 4 3 4" xfId="18663"/>
    <cellStyle name="Normal 2 5 4 2 4 4" xfId="1999"/>
    <cellStyle name="Normal 2 5 4 2 4 4 2" xfId="11364"/>
    <cellStyle name="Normal 2 5 4 2 4 4 3" xfId="21368"/>
    <cellStyle name="Normal 2 5 4 2 4 5" xfId="6037"/>
    <cellStyle name="Normal 2 5 4 2 4 5 2" xfId="14864"/>
    <cellStyle name="Normal 2 5 4 2 4 5 3" xfId="25115"/>
    <cellStyle name="Normal 2 5 4 2 4 6" xfId="7481"/>
    <cellStyle name="Normal 2 5 4 2 4 6 2" xfId="19850"/>
    <cellStyle name="Normal 2 5 4 2 4 7" xfId="16361"/>
    <cellStyle name="Normal 2 5 4 2 5" xfId="766"/>
    <cellStyle name="Normal 2 5 4 2 5 2" xfId="3252"/>
    <cellStyle name="Normal 2 5 4 2 5 2 2" xfId="12394"/>
    <cellStyle name="Normal 2 5 4 2 5 2 2 2" xfId="22613"/>
    <cellStyle name="Normal 2 5 4 2 5 2 3" xfId="8816"/>
    <cellStyle name="Normal 2 5 4 2 5 2 4" xfId="17606"/>
    <cellStyle name="Normal 2 5 4 2 5 3" xfId="4930"/>
    <cellStyle name="Normal 2 5 4 2 5 3 2" xfId="13767"/>
    <cellStyle name="Normal 2 5 4 2 5 3 2 2" xfId="24018"/>
    <cellStyle name="Normal 2 5 4 2 5 3 3" xfId="10188"/>
    <cellStyle name="Normal 2 5 4 2 5 3 4" xfId="19011"/>
    <cellStyle name="Normal 2 5 4 2 5 4" xfId="2361"/>
    <cellStyle name="Normal 2 5 4 2 5 4 2" xfId="11726"/>
    <cellStyle name="Normal 2 5 4 2 5 4 3" xfId="21730"/>
    <cellStyle name="Normal 2 5 4 2 5 5" xfId="6385"/>
    <cellStyle name="Normal 2 5 4 2 5 5 2" xfId="15212"/>
    <cellStyle name="Normal 2 5 4 2 5 5 3" xfId="25463"/>
    <cellStyle name="Normal 2 5 4 2 5 6" xfId="7831"/>
    <cellStyle name="Normal 2 5 4 2 5 6 2" xfId="20212"/>
    <cellStyle name="Normal 2 5 4 2 5 7" xfId="16723"/>
    <cellStyle name="Normal 2 5 4 2 6" xfId="1176"/>
    <cellStyle name="Normal 2 5 4 2 6 2" xfId="3605"/>
    <cellStyle name="Normal 2 5 4 2 6 2 2" xfId="12741"/>
    <cellStyle name="Normal 2 5 4 2 6 2 2 2" xfId="22960"/>
    <cellStyle name="Normal 2 5 4 2 6 2 3" xfId="9162"/>
    <cellStyle name="Normal 2 5 4 2 6 2 4" xfId="17953"/>
    <cellStyle name="Normal 2 5 4 2 6 3" xfId="5268"/>
    <cellStyle name="Normal 2 5 4 2 6 3 2" xfId="14105"/>
    <cellStyle name="Normal 2 5 4 2 6 3 2 2" xfId="24356"/>
    <cellStyle name="Normal 2 5 4 2 6 3 3" xfId="10526"/>
    <cellStyle name="Normal 2 5 4 2 6 3 4" xfId="19349"/>
    <cellStyle name="Normal 2 5 4 2 6 4" xfId="1776"/>
    <cellStyle name="Normal 2 5 4 2 6 4 2" xfId="11147"/>
    <cellStyle name="Normal 2 5 4 2 6 4 3" xfId="21151"/>
    <cellStyle name="Normal 2 5 4 2 6 5" xfId="6723"/>
    <cellStyle name="Normal 2 5 4 2 6 5 2" xfId="15550"/>
    <cellStyle name="Normal 2 5 4 2 6 5 3" xfId="25801"/>
    <cellStyle name="Normal 2 5 4 2 6 6" xfId="8169"/>
    <cellStyle name="Normal 2 5 4 2 6 6 2" xfId="20559"/>
    <cellStyle name="Normal 2 5 4 2 6 7" xfId="16144"/>
    <cellStyle name="Normal 2 5 4 2 7" xfId="2673"/>
    <cellStyle name="Normal 2 5 4 2 7 2" xfId="11990"/>
    <cellStyle name="Normal 2 5 4 2 7 2 2" xfId="22034"/>
    <cellStyle name="Normal 2 5 4 2 7 3" xfId="8505"/>
    <cellStyle name="Normal 2 5 4 2 7 4" xfId="17027"/>
    <cellStyle name="Normal 2 5 4 2 8" xfId="4224"/>
    <cellStyle name="Normal 2 5 4 2 8 2" xfId="13062"/>
    <cellStyle name="Normal 2 5 4 2 8 2 2" xfId="23313"/>
    <cellStyle name="Normal 2 5 4 2 8 3" xfId="9483"/>
    <cellStyle name="Normal 2 5 4 2 8 4" xfId="18306"/>
    <cellStyle name="Normal 2 5 4 2 9" xfId="1496"/>
    <cellStyle name="Normal 2 5 4 2 9 2" xfId="10873"/>
    <cellStyle name="Normal 2 5 4 2 9 3" xfId="20877"/>
    <cellStyle name="Normal 2 5 4 2_Degree data" xfId="3836"/>
    <cellStyle name="Normal 2 5 4 3" xfId="221"/>
    <cellStyle name="Normal 2 5 4 3 10" xfId="7167"/>
    <cellStyle name="Normal 2 5 4 3 10 2" xfId="19676"/>
    <cellStyle name="Normal 2 5 4 3 11" xfId="15913"/>
    <cellStyle name="Normal 2 5 4 3 2" xfId="547"/>
    <cellStyle name="Normal 2 5 4 3 2 2" xfId="770"/>
    <cellStyle name="Normal 2 5 4 3 2 2 2" xfId="3256"/>
    <cellStyle name="Normal 2 5 4 3 2 2 2 2" xfId="12398"/>
    <cellStyle name="Normal 2 5 4 3 2 2 2 2 2" xfId="22617"/>
    <cellStyle name="Normal 2 5 4 3 2 2 2 3" xfId="8820"/>
    <cellStyle name="Normal 2 5 4 3 2 2 2 4" xfId="17610"/>
    <cellStyle name="Normal 2 5 4 3 2 2 3" xfId="4585"/>
    <cellStyle name="Normal 2 5 4 3 2 2 3 2" xfId="13423"/>
    <cellStyle name="Normal 2 5 4 3 2 2 3 2 2" xfId="23674"/>
    <cellStyle name="Normal 2 5 4 3 2 2 3 3" xfId="9844"/>
    <cellStyle name="Normal 2 5 4 3 2 2 3 4" xfId="18667"/>
    <cellStyle name="Normal 2 5 4 3 2 2 4" xfId="2365"/>
    <cellStyle name="Normal 2 5 4 3 2 2 4 2" xfId="11730"/>
    <cellStyle name="Normal 2 5 4 3 2 2 4 3" xfId="21734"/>
    <cellStyle name="Normal 2 5 4 3 2 2 5" xfId="6041"/>
    <cellStyle name="Normal 2 5 4 3 2 2 5 2" xfId="14868"/>
    <cellStyle name="Normal 2 5 4 3 2 2 5 3" xfId="25119"/>
    <cellStyle name="Normal 2 5 4 3 2 2 6" xfId="7485"/>
    <cellStyle name="Normal 2 5 4 3 2 2 6 2" xfId="20216"/>
    <cellStyle name="Normal 2 5 4 3 2 2 7" xfId="16727"/>
    <cellStyle name="Normal 2 5 4 3 2 3" xfId="1319"/>
    <cellStyle name="Normal 2 5 4 3 2 3 2" xfId="3748"/>
    <cellStyle name="Normal 2 5 4 3 2 3 2 2" xfId="12884"/>
    <cellStyle name="Normal 2 5 4 3 2 3 2 2 2" xfId="23103"/>
    <cellStyle name="Normal 2 5 4 3 2 3 2 3" xfId="9305"/>
    <cellStyle name="Normal 2 5 4 3 2 3 2 4" xfId="18096"/>
    <cellStyle name="Normal 2 5 4 3 2 3 3" xfId="4934"/>
    <cellStyle name="Normal 2 5 4 3 2 3 3 2" xfId="13771"/>
    <cellStyle name="Normal 2 5 4 3 2 3 3 2 2" xfId="24022"/>
    <cellStyle name="Normal 2 5 4 3 2 3 3 3" xfId="10192"/>
    <cellStyle name="Normal 2 5 4 3 2 3 3 4" xfId="19015"/>
    <cellStyle name="Normal 2 5 4 3 2 3 4" xfId="2142"/>
    <cellStyle name="Normal 2 5 4 3 2 3 4 2" xfId="11507"/>
    <cellStyle name="Normal 2 5 4 3 2 3 4 3" xfId="21511"/>
    <cellStyle name="Normal 2 5 4 3 2 3 5" xfId="6389"/>
    <cellStyle name="Normal 2 5 4 3 2 3 5 2" xfId="15216"/>
    <cellStyle name="Normal 2 5 4 3 2 3 5 3" xfId="25467"/>
    <cellStyle name="Normal 2 5 4 3 2 3 6" xfId="7835"/>
    <cellStyle name="Normal 2 5 4 3 2 3 6 2" xfId="20702"/>
    <cellStyle name="Normal 2 5 4 3 2 3 7" xfId="16504"/>
    <cellStyle name="Normal 2 5 4 3 2 4" xfId="3033"/>
    <cellStyle name="Normal 2 5 4 3 2 4 2" xfId="5411"/>
    <cellStyle name="Normal 2 5 4 3 2 4 2 2" xfId="14248"/>
    <cellStyle name="Normal 2 5 4 3 2 4 2 2 2" xfId="24499"/>
    <cellStyle name="Normal 2 5 4 3 2 4 2 3" xfId="10669"/>
    <cellStyle name="Normal 2 5 4 3 2 4 2 4" xfId="19492"/>
    <cellStyle name="Normal 2 5 4 3 2 4 3" xfId="6866"/>
    <cellStyle name="Normal 2 5 4 3 2 4 3 2" xfId="15693"/>
    <cellStyle name="Normal 2 5 4 3 2 4 3 3" xfId="25944"/>
    <cellStyle name="Normal 2 5 4 3 2 4 4" xfId="8312"/>
    <cellStyle name="Normal 2 5 4 3 2 4 4 2" xfId="22394"/>
    <cellStyle name="Normal 2 5 4 3 2 4 5" xfId="17387"/>
    <cellStyle name="Normal 2 5 4 3 2 5" xfId="4367"/>
    <cellStyle name="Normal 2 5 4 3 2 5 2" xfId="13205"/>
    <cellStyle name="Normal 2 5 4 3 2 5 2 2" xfId="23456"/>
    <cellStyle name="Normal 2 5 4 3 2 5 3" xfId="9626"/>
    <cellStyle name="Normal 2 5 4 3 2 5 4" xfId="18449"/>
    <cellStyle name="Normal 2 5 4 3 2 6" xfId="1639"/>
    <cellStyle name="Normal 2 5 4 3 2 6 2" xfId="11016"/>
    <cellStyle name="Normal 2 5 4 3 2 6 3" xfId="21020"/>
    <cellStyle name="Normal 2 5 4 3 2 7" xfId="5823"/>
    <cellStyle name="Normal 2 5 4 3 2 7 2" xfId="14650"/>
    <cellStyle name="Normal 2 5 4 3 2 7 3" xfId="24901"/>
    <cellStyle name="Normal 2 5 4 3 2 8" xfId="7267"/>
    <cellStyle name="Normal 2 5 4 3 2 8 2" xfId="19993"/>
    <cellStyle name="Normal 2 5 4 3 2 9" xfId="16013"/>
    <cellStyle name="Normal 2 5 4 3 2_Degree data" xfId="3854"/>
    <cellStyle name="Normal 2 5 4 3 3" xfId="447"/>
    <cellStyle name="Normal 2 5 4 3 3 2" xfId="2933"/>
    <cellStyle name="Normal 2 5 4 3 3 2 2" xfId="12221"/>
    <cellStyle name="Normal 2 5 4 3 3 2 2 2" xfId="22294"/>
    <cellStyle name="Normal 2 5 4 3 3 2 3" xfId="8453"/>
    <cellStyle name="Normal 2 5 4 3 3 2 4" xfId="17287"/>
    <cellStyle name="Normal 2 5 4 3 3 3" xfId="4584"/>
    <cellStyle name="Normal 2 5 4 3 3 3 2" xfId="13422"/>
    <cellStyle name="Normal 2 5 4 3 3 3 2 2" xfId="23673"/>
    <cellStyle name="Normal 2 5 4 3 3 3 3" xfId="9843"/>
    <cellStyle name="Normal 2 5 4 3 3 3 4" xfId="18666"/>
    <cellStyle name="Normal 2 5 4 3 3 4" xfId="2042"/>
    <cellStyle name="Normal 2 5 4 3 3 4 2" xfId="11407"/>
    <cellStyle name="Normal 2 5 4 3 3 4 3" xfId="21411"/>
    <cellStyle name="Normal 2 5 4 3 3 5" xfId="6040"/>
    <cellStyle name="Normal 2 5 4 3 3 5 2" xfId="14867"/>
    <cellStyle name="Normal 2 5 4 3 3 5 3" xfId="25118"/>
    <cellStyle name="Normal 2 5 4 3 3 6" xfId="7484"/>
    <cellStyle name="Normal 2 5 4 3 3 6 2" xfId="19893"/>
    <cellStyle name="Normal 2 5 4 3 3 7" xfId="16404"/>
    <cellStyle name="Normal 2 5 4 3 4" xfId="769"/>
    <cellStyle name="Normal 2 5 4 3 4 2" xfId="3255"/>
    <cellStyle name="Normal 2 5 4 3 4 2 2" xfId="12397"/>
    <cellStyle name="Normal 2 5 4 3 4 2 2 2" xfId="22616"/>
    <cellStyle name="Normal 2 5 4 3 4 2 3" xfId="8819"/>
    <cellStyle name="Normal 2 5 4 3 4 2 4" xfId="17609"/>
    <cellStyle name="Normal 2 5 4 3 4 3" xfId="4933"/>
    <cellStyle name="Normal 2 5 4 3 4 3 2" xfId="13770"/>
    <cellStyle name="Normal 2 5 4 3 4 3 2 2" xfId="24021"/>
    <cellStyle name="Normal 2 5 4 3 4 3 3" xfId="10191"/>
    <cellStyle name="Normal 2 5 4 3 4 3 4" xfId="19014"/>
    <cellStyle name="Normal 2 5 4 3 4 4" xfId="2364"/>
    <cellStyle name="Normal 2 5 4 3 4 4 2" xfId="11729"/>
    <cellStyle name="Normal 2 5 4 3 4 4 3" xfId="21733"/>
    <cellStyle name="Normal 2 5 4 3 4 5" xfId="6388"/>
    <cellStyle name="Normal 2 5 4 3 4 5 2" xfId="15215"/>
    <cellStyle name="Normal 2 5 4 3 4 5 3" xfId="25466"/>
    <cellStyle name="Normal 2 5 4 3 4 6" xfId="7834"/>
    <cellStyle name="Normal 2 5 4 3 4 6 2" xfId="20215"/>
    <cellStyle name="Normal 2 5 4 3 4 7" xfId="16726"/>
    <cellStyle name="Normal 2 5 4 3 5" xfId="1219"/>
    <cellStyle name="Normal 2 5 4 3 5 2" xfId="3648"/>
    <cellStyle name="Normal 2 5 4 3 5 2 2" xfId="12784"/>
    <cellStyle name="Normal 2 5 4 3 5 2 2 2" xfId="23003"/>
    <cellStyle name="Normal 2 5 4 3 5 2 3" xfId="9205"/>
    <cellStyle name="Normal 2 5 4 3 5 2 4" xfId="17996"/>
    <cellStyle name="Normal 2 5 4 3 5 3" xfId="5311"/>
    <cellStyle name="Normal 2 5 4 3 5 3 2" xfId="14148"/>
    <cellStyle name="Normal 2 5 4 3 5 3 2 2" xfId="24399"/>
    <cellStyle name="Normal 2 5 4 3 5 3 3" xfId="10569"/>
    <cellStyle name="Normal 2 5 4 3 5 3 4" xfId="19392"/>
    <cellStyle name="Normal 2 5 4 3 5 4" xfId="1822"/>
    <cellStyle name="Normal 2 5 4 3 5 4 2" xfId="11190"/>
    <cellStyle name="Normal 2 5 4 3 5 4 3" xfId="21194"/>
    <cellStyle name="Normal 2 5 4 3 5 5" xfId="6766"/>
    <cellStyle name="Normal 2 5 4 3 5 5 2" xfId="15593"/>
    <cellStyle name="Normal 2 5 4 3 5 5 3" xfId="25844"/>
    <cellStyle name="Normal 2 5 4 3 5 6" xfId="8212"/>
    <cellStyle name="Normal 2 5 4 3 5 6 2" xfId="20602"/>
    <cellStyle name="Normal 2 5 4 3 5 7" xfId="16187"/>
    <cellStyle name="Normal 2 5 4 3 6" xfId="2716"/>
    <cellStyle name="Normal 2 5 4 3 6 2" xfId="12033"/>
    <cellStyle name="Normal 2 5 4 3 6 2 2" xfId="22077"/>
    <cellStyle name="Normal 2 5 4 3 6 3" xfId="8548"/>
    <cellStyle name="Normal 2 5 4 3 6 4" xfId="17070"/>
    <cellStyle name="Normal 2 5 4 3 7" xfId="4267"/>
    <cellStyle name="Normal 2 5 4 3 7 2" xfId="13105"/>
    <cellStyle name="Normal 2 5 4 3 7 2 2" xfId="23356"/>
    <cellStyle name="Normal 2 5 4 3 7 3" xfId="9526"/>
    <cellStyle name="Normal 2 5 4 3 7 4" xfId="18349"/>
    <cellStyle name="Normal 2 5 4 3 8" xfId="1539"/>
    <cellStyle name="Normal 2 5 4 3 8 2" xfId="10916"/>
    <cellStyle name="Normal 2 5 4 3 8 3" xfId="20920"/>
    <cellStyle name="Normal 2 5 4 3 9" xfId="5723"/>
    <cellStyle name="Normal 2 5 4 3 9 2" xfId="14550"/>
    <cellStyle name="Normal 2 5 4 3 9 3" xfId="24801"/>
    <cellStyle name="Normal 2 5 4 3_Degree data" xfId="3937"/>
    <cellStyle name="Normal 2 5 4 4" xfId="253"/>
    <cellStyle name="Normal 2 5 4 4 10" xfId="7091"/>
    <cellStyle name="Normal 2 5 4 4 10 2" xfId="19705"/>
    <cellStyle name="Normal 2 5 4 4 11" xfId="15837"/>
    <cellStyle name="Normal 2 5 4 4 2" xfId="576"/>
    <cellStyle name="Normal 2 5 4 4 2 2" xfId="772"/>
    <cellStyle name="Normal 2 5 4 4 2 2 2" xfId="3258"/>
    <cellStyle name="Normal 2 5 4 4 2 2 2 2" xfId="12400"/>
    <cellStyle name="Normal 2 5 4 4 2 2 2 2 2" xfId="22619"/>
    <cellStyle name="Normal 2 5 4 4 2 2 2 3" xfId="8822"/>
    <cellStyle name="Normal 2 5 4 4 2 2 2 4" xfId="17612"/>
    <cellStyle name="Normal 2 5 4 4 2 2 3" xfId="4587"/>
    <cellStyle name="Normal 2 5 4 4 2 2 3 2" xfId="13425"/>
    <cellStyle name="Normal 2 5 4 4 2 2 3 2 2" xfId="23676"/>
    <cellStyle name="Normal 2 5 4 4 2 2 3 3" xfId="9846"/>
    <cellStyle name="Normal 2 5 4 4 2 2 3 4" xfId="18669"/>
    <cellStyle name="Normal 2 5 4 4 2 2 4" xfId="2367"/>
    <cellStyle name="Normal 2 5 4 4 2 2 4 2" xfId="11732"/>
    <cellStyle name="Normal 2 5 4 4 2 2 4 3" xfId="21736"/>
    <cellStyle name="Normal 2 5 4 4 2 2 5" xfId="6043"/>
    <cellStyle name="Normal 2 5 4 4 2 2 5 2" xfId="14870"/>
    <cellStyle name="Normal 2 5 4 4 2 2 5 3" xfId="25121"/>
    <cellStyle name="Normal 2 5 4 4 2 2 6" xfId="7487"/>
    <cellStyle name="Normal 2 5 4 4 2 2 6 2" xfId="20218"/>
    <cellStyle name="Normal 2 5 4 4 2 2 7" xfId="16729"/>
    <cellStyle name="Normal 2 5 4 4 2 3" xfId="1348"/>
    <cellStyle name="Normal 2 5 4 4 2 3 2" xfId="3777"/>
    <cellStyle name="Normal 2 5 4 4 2 3 2 2" xfId="12913"/>
    <cellStyle name="Normal 2 5 4 4 2 3 2 2 2" xfId="23132"/>
    <cellStyle name="Normal 2 5 4 4 2 3 2 3" xfId="9334"/>
    <cellStyle name="Normal 2 5 4 4 2 3 2 4" xfId="18125"/>
    <cellStyle name="Normal 2 5 4 4 2 3 3" xfId="4936"/>
    <cellStyle name="Normal 2 5 4 4 2 3 3 2" xfId="13773"/>
    <cellStyle name="Normal 2 5 4 4 2 3 3 2 2" xfId="24024"/>
    <cellStyle name="Normal 2 5 4 4 2 3 3 3" xfId="10194"/>
    <cellStyle name="Normal 2 5 4 4 2 3 3 4" xfId="19017"/>
    <cellStyle name="Normal 2 5 4 4 2 3 4" xfId="2171"/>
    <cellStyle name="Normal 2 5 4 4 2 3 4 2" xfId="11536"/>
    <cellStyle name="Normal 2 5 4 4 2 3 4 3" xfId="21540"/>
    <cellStyle name="Normal 2 5 4 4 2 3 5" xfId="6391"/>
    <cellStyle name="Normal 2 5 4 4 2 3 5 2" xfId="15218"/>
    <cellStyle name="Normal 2 5 4 4 2 3 5 3" xfId="25469"/>
    <cellStyle name="Normal 2 5 4 4 2 3 6" xfId="7837"/>
    <cellStyle name="Normal 2 5 4 4 2 3 6 2" xfId="20731"/>
    <cellStyle name="Normal 2 5 4 4 2 3 7" xfId="16533"/>
    <cellStyle name="Normal 2 5 4 4 2 4" xfId="3062"/>
    <cellStyle name="Normal 2 5 4 4 2 4 2" xfId="5440"/>
    <cellStyle name="Normal 2 5 4 4 2 4 2 2" xfId="14277"/>
    <cellStyle name="Normal 2 5 4 4 2 4 2 2 2" xfId="24528"/>
    <cellStyle name="Normal 2 5 4 4 2 4 2 3" xfId="10698"/>
    <cellStyle name="Normal 2 5 4 4 2 4 2 4" xfId="19521"/>
    <cellStyle name="Normal 2 5 4 4 2 4 3" xfId="6895"/>
    <cellStyle name="Normal 2 5 4 4 2 4 3 2" xfId="15722"/>
    <cellStyle name="Normal 2 5 4 4 2 4 3 3" xfId="25973"/>
    <cellStyle name="Normal 2 5 4 4 2 4 4" xfId="8341"/>
    <cellStyle name="Normal 2 5 4 4 2 4 4 2" xfId="22423"/>
    <cellStyle name="Normal 2 5 4 4 2 4 5" xfId="17416"/>
    <cellStyle name="Normal 2 5 4 4 2 5" xfId="4396"/>
    <cellStyle name="Normal 2 5 4 4 2 5 2" xfId="13234"/>
    <cellStyle name="Normal 2 5 4 4 2 5 2 2" xfId="23485"/>
    <cellStyle name="Normal 2 5 4 4 2 5 3" xfId="9655"/>
    <cellStyle name="Normal 2 5 4 4 2 5 4" xfId="18478"/>
    <cellStyle name="Normal 2 5 4 4 2 6" xfId="1668"/>
    <cellStyle name="Normal 2 5 4 4 2 6 2" xfId="11045"/>
    <cellStyle name="Normal 2 5 4 4 2 6 3" xfId="21049"/>
    <cellStyle name="Normal 2 5 4 4 2 7" xfId="5852"/>
    <cellStyle name="Normal 2 5 4 4 2 7 2" xfId="14679"/>
    <cellStyle name="Normal 2 5 4 4 2 7 3" xfId="24930"/>
    <cellStyle name="Normal 2 5 4 4 2 8" xfId="7296"/>
    <cellStyle name="Normal 2 5 4 4 2 8 2" xfId="20022"/>
    <cellStyle name="Normal 2 5 4 4 2 9" xfId="16042"/>
    <cellStyle name="Normal 2 5 4 4 2_Degree data" xfId="3834"/>
    <cellStyle name="Normal 2 5 4 4 3" xfId="371"/>
    <cellStyle name="Normal 2 5 4 4 3 2" xfId="2857"/>
    <cellStyle name="Normal 2 5 4 4 3 2 2" xfId="12145"/>
    <cellStyle name="Normal 2 5 4 4 3 2 2 2" xfId="22218"/>
    <cellStyle name="Normal 2 5 4 4 3 2 3" xfId="8592"/>
    <cellStyle name="Normal 2 5 4 4 3 2 4" xfId="17211"/>
    <cellStyle name="Normal 2 5 4 4 3 3" xfId="4586"/>
    <cellStyle name="Normal 2 5 4 4 3 3 2" xfId="13424"/>
    <cellStyle name="Normal 2 5 4 4 3 3 2 2" xfId="23675"/>
    <cellStyle name="Normal 2 5 4 4 3 3 3" xfId="9845"/>
    <cellStyle name="Normal 2 5 4 4 3 3 4" xfId="18668"/>
    <cellStyle name="Normal 2 5 4 4 3 4" xfId="1966"/>
    <cellStyle name="Normal 2 5 4 4 3 4 2" xfId="11331"/>
    <cellStyle name="Normal 2 5 4 4 3 4 3" xfId="21335"/>
    <cellStyle name="Normal 2 5 4 4 3 5" xfId="6042"/>
    <cellStyle name="Normal 2 5 4 4 3 5 2" xfId="14869"/>
    <cellStyle name="Normal 2 5 4 4 3 5 3" xfId="25120"/>
    <cellStyle name="Normal 2 5 4 4 3 6" xfId="7486"/>
    <cellStyle name="Normal 2 5 4 4 3 6 2" xfId="19817"/>
    <cellStyle name="Normal 2 5 4 4 3 7" xfId="16328"/>
    <cellStyle name="Normal 2 5 4 4 4" xfId="771"/>
    <cellStyle name="Normal 2 5 4 4 4 2" xfId="3257"/>
    <cellStyle name="Normal 2 5 4 4 4 2 2" xfId="12399"/>
    <cellStyle name="Normal 2 5 4 4 4 2 2 2" xfId="22618"/>
    <cellStyle name="Normal 2 5 4 4 4 2 3" xfId="8821"/>
    <cellStyle name="Normal 2 5 4 4 4 2 4" xfId="17611"/>
    <cellStyle name="Normal 2 5 4 4 4 3" xfId="4935"/>
    <cellStyle name="Normal 2 5 4 4 4 3 2" xfId="13772"/>
    <cellStyle name="Normal 2 5 4 4 4 3 2 2" xfId="24023"/>
    <cellStyle name="Normal 2 5 4 4 4 3 3" xfId="10193"/>
    <cellStyle name="Normal 2 5 4 4 4 3 4" xfId="19016"/>
    <cellStyle name="Normal 2 5 4 4 4 4" xfId="2366"/>
    <cellStyle name="Normal 2 5 4 4 4 4 2" xfId="11731"/>
    <cellStyle name="Normal 2 5 4 4 4 4 3" xfId="21735"/>
    <cellStyle name="Normal 2 5 4 4 4 5" xfId="6390"/>
    <cellStyle name="Normal 2 5 4 4 4 5 2" xfId="15217"/>
    <cellStyle name="Normal 2 5 4 4 4 5 3" xfId="25468"/>
    <cellStyle name="Normal 2 5 4 4 4 6" xfId="7836"/>
    <cellStyle name="Normal 2 5 4 4 4 6 2" xfId="20217"/>
    <cellStyle name="Normal 2 5 4 4 4 7" xfId="16728"/>
    <cellStyle name="Normal 2 5 4 4 5" xfId="1143"/>
    <cellStyle name="Normal 2 5 4 4 5 2" xfId="3572"/>
    <cellStyle name="Normal 2 5 4 4 5 2 2" xfId="12708"/>
    <cellStyle name="Normal 2 5 4 4 5 2 2 2" xfId="22927"/>
    <cellStyle name="Normal 2 5 4 4 5 2 3" xfId="9129"/>
    <cellStyle name="Normal 2 5 4 4 5 2 4" xfId="17920"/>
    <cellStyle name="Normal 2 5 4 4 5 3" xfId="5235"/>
    <cellStyle name="Normal 2 5 4 4 5 3 2" xfId="14072"/>
    <cellStyle name="Normal 2 5 4 4 5 3 2 2" xfId="24323"/>
    <cellStyle name="Normal 2 5 4 4 5 3 3" xfId="10493"/>
    <cellStyle name="Normal 2 5 4 4 5 3 4" xfId="19316"/>
    <cellStyle name="Normal 2 5 4 4 5 4" xfId="1851"/>
    <cellStyle name="Normal 2 5 4 4 5 4 2" xfId="11219"/>
    <cellStyle name="Normal 2 5 4 4 5 4 3" xfId="21223"/>
    <cellStyle name="Normal 2 5 4 4 5 5" xfId="6690"/>
    <cellStyle name="Normal 2 5 4 4 5 5 2" xfId="15517"/>
    <cellStyle name="Normal 2 5 4 4 5 5 3" xfId="25768"/>
    <cellStyle name="Normal 2 5 4 4 5 6" xfId="8136"/>
    <cellStyle name="Normal 2 5 4 4 5 6 2" xfId="20526"/>
    <cellStyle name="Normal 2 5 4 4 5 7" xfId="16216"/>
    <cellStyle name="Normal 2 5 4 4 6" xfId="2745"/>
    <cellStyle name="Normal 2 5 4 4 6 2" xfId="12062"/>
    <cellStyle name="Normal 2 5 4 4 6 2 2" xfId="22106"/>
    <cellStyle name="Normal 2 5 4 4 6 3" xfId="8623"/>
    <cellStyle name="Normal 2 5 4 4 6 4" xfId="17099"/>
    <cellStyle name="Normal 2 5 4 4 7" xfId="4191"/>
    <cellStyle name="Normal 2 5 4 4 7 2" xfId="13029"/>
    <cellStyle name="Normal 2 5 4 4 7 2 2" xfId="23280"/>
    <cellStyle name="Normal 2 5 4 4 7 3" xfId="9450"/>
    <cellStyle name="Normal 2 5 4 4 7 4" xfId="18273"/>
    <cellStyle name="Normal 2 5 4 4 8" xfId="1463"/>
    <cellStyle name="Normal 2 5 4 4 8 2" xfId="10840"/>
    <cellStyle name="Normal 2 5 4 4 8 3" xfId="20844"/>
    <cellStyle name="Normal 2 5 4 4 9" xfId="5647"/>
    <cellStyle name="Normal 2 5 4 4 9 2" xfId="14474"/>
    <cellStyle name="Normal 2 5 4 4 9 3" xfId="24725"/>
    <cellStyle name="Normal 2 5 4 4_Degree data" xfId="3907"/>
    <cellStyle name="Normal 2 5 4 5" xfId="471"/>
    <cellStyle name="Normal 2 5 4 5 2" xfId="773"/>
    <cellStyle name="Normal 2 5 4 5 2 2" xfId="3259"/>
    <cellStyle name="Normal 2 5 4 5 2 2 2" xfId="12401"/>
    <cellStyle name="Normal 2 5 4 5 2 2 2 2" xfId="22620"/>
    <cellStyle name="Normal 2 5 4 5 2 2 3" xfId="8823"/>
    <cellStyle name="Normal 2 5 4 5 2 2 4" xfId="17613"/>
    <cellStyle name="Normal 2 5 4 5 2 3" xfId="4588"/>
    <cellStyle name="Normal 2 5 4 5 2 3 2" xfId="13426"/>
    <cellStyle name="Normal 2 5 4 5 2 3 2 2" xfId="23677"/>
    <cellStyle name="Normal 2 5 4 5 2 3 3" xfId="9847"/>
    <cellStyle name="Normal 2 5 4 5 2 3 4" xfId="18670"/>
    <cellStyle name="Normal 2 5 4 5 2 4" xfId="2368"/>
    <cellStyle name="Normal 2 5 4 5 2 4 2" xfId="11733"/>
    <cellStyle name="Normal 2 5 4 5 2 4 3" xfId="21737"/>
    <cellStyle name="Normal 2 5 4 5 2 5" xfId="6044"/>
    <cellStyle name="Normal 2 5 4 5 2 5 2" xfId="14871"/>
    <cellStyle name="Normal 2 5 4 5 2 5 3" xfId="25122"/>
    <cellStyle name="Normal 2 5 4 5 2 6" xfId="7488"/>
    <cellStyle name="Normal 2 5 4 5 2 6 2" xfId="20219"/>
    <cellStyle name="Normal 2 5 4 5 2 7" xfId="16730"/>
    <cellStyle name="Normal 2 5 4 5 3" xfId="1243"/>
    <cellStyle name="Normal 2 5 4 5 3 2" xfId="3672"/>
    <cellStyle name="Normal 2 5 4 5 3 2 2" xfId="12808"/>
    <cellStyle name="Normal 2 5 4 5 3 2 2 2" xfId="23027"/>
    <cellStyle name="Normal 2 5 4 5 3 2 3" xfId="9229"/>
    <cellStyle name="Normal 2 5 4 5 3 2 4" xfId="18020"/>
    <cellStyle name="Normal 2 5 4 5 3 3" xfId="4937"/>
    <cellStyle name="Normal 2 5 4 5 3 3 2" xfId="13774"/>
    <cellStyle name="Normal 2 5 4 5 3 3 2 2" xfId="24025"/>
    <cellStyle name="Normal 2 5 4 5 3 3 3" xfId="10195"/>
    <cellStyle name="Normal 2 5 4 5 3 3 4" xfId="19018"/>
    <cellStyle name="Normal 2 5 4 5 3 4" xfId="2066"/>
    <cellStyle name="Normal 2 5 4 5 3 4 2" xfId="11431"/>
    <cellStyle name="Normal 2 5 4 5 3 4 3" xfId="21435"/>
    <cellStyle name="Normal 2 5 4 5 3 5" xfId="6392"/>
    <cellStyle name="Normal 2 5 4 5 3 5 2" xfId="15219"/>
    <cellStyle name="Normal 2 5 4 5 3 5 3" xfId="25470"/>
    <cellStyle name="Normal 2 5 4 5 3 6" xfId="7838"/>
    <cellStyle name="Normal 2 5 4 5 3 6 2" xfId="20626"/>
    <cellStyle name="Normal 2 5 4 5 3 7" xfId="16428"/>
    <cellStyle name="Normal 2 5 4 5 4" xfId="2957"/>
    <cellStyle name="Normal 2 5 4 5 4 2" xfId="5335"/>
    <cellStyle name="Normal 2 5 4 5 4 2 2" xfId="14172"/>
    <cellStyle name="Normal 2 5 4 5 4 2 2 2" xfId="24423"/>
    <cellStyle name="Normal 2 5 4 5 4 2 3" xfId="10593"/>
    <cellStyle name="Normal 2 5 4 5 4 2 4" xfId="19416"/>
    <cellStyle name="Normal 2 5 4 5 4 3" xfId="6790"/>
    <cellStyle name="Normal 2 5 4 5 4 3 2" xfId="15617"/>
    <cellStyle name="Normal 2 5 4 5 4 3 3" xfId="25868"/>
    <cellStyle name="Normal 2 5 4 5 4 4" xfId="8236"/>
    <cellStyle name="Normal 2 5 4 5 4 4 2" xfId="22318"/>
    <cellStyle name="Normal 2 5 4 5 4 5" xfId="17311"/>
    <cellStyle name="Normal 2 5 4 5 5" xfId="4291"/>
    <cellStyle name="Normal 2 5 4 5 5 2" xfId="13129"/>
    <cellStyle name="Normal 2 5 4 5 5 2 2" xfId="23380"/>
    <cellStyle name="Normal 2 5 4 5 5 3" xfId="9550"/>
    <cellStyle name="Normal 2 5 4 5 5 4" xfId="18373"/>
    <cellStyle name="Normal 2 5 4 5 6" xfId="1563"/>
    <cellStyle name="Normal 2 5 4 5 6 2" xfId="10940"/>
    <cellStyle name="Normal 2 5 4 5 6 3" xfId="20944"/>
    <cellStyle name="Normal 2 5 4 5 7" xfId="5747"/>
    <cellStyle name="Normal 2 5 4 5 7 2" xfId="14574"/>
    <cellStyle name="Normal 2 5 4 5 7 3" xfId="24825"/>
    <cellStyle name="Normal 2 5 4 5 8" xfId="7191"/>
    <cellStyle name="Normal 2 5 4 5 8 2" xfId="19917"/>
    <cellStyle name="Normal 2 5 4 5 9" xfId="15937"/>
    <cellStyle name="Normal 2 5 4 5_Degree data" xfId="3909"/>
    <cellStyle name="Normal 2 5 4 6" xfId="347"/>
    <cellStyle name="Normal 2 5 4 6 2" xfId="774"/>
    <cellStyle name="Normal 2 5 4 6 2 2" xfId="3260"/>
    <cellStyle name="Normal 2 5 4 6 2 2 2" xfId="12402"/>
    <cellStyle name="Normal 2 5 4 6 2 2 2 2" xfId="22621"/>
    <cellStyle name="Normal 2 5 4 6 2 2 3" xfId="8824"/>
    <cellStyle name="Normal 2 5 4 6 2 2 4" xfId="17614"/>
    <cellStyle name="Normal 2 5 4 6 2 3" xfId="4589"/>
    <cellStyle name="Normal 2 5 4 6 2 3 2" xfId="13427"/>
    <cellStyle name="Normal 2 5 4 6 2 3 2 2" xfId="23678"/>
    <cellStyle name="Normal 2 5 4 6 2 3 3" xfId="9848"/>
    <cellStyle name="Normal 2 5 4 6 2 3 4" xfId="18671"/>
    <cellStyle name="Normal 2 5 4 6 2 4" xfId="2369"/>
    <cellStyle name="Normal 2 5 4 6 2 4 2" xfId="11734"/>
    <cellStyle name="Normal 2 5 4 6 2 4 3" xfId="21738"/>
    <cellStyle name="Normal 2 5 4 6 2 5" xfId="6045"/>
    <cellStyle name="Normal 2 5 4 6 2 5 2" xfId="14872"/>
    <cellStyle name="Normal 2 5 4 6 2 5 3" xfId="25123"/>
    <cellStyle name="Normal 2 5 4 6 2 6" xfId="7489"/>
    <cellStyle name="Normal 2 5 4 6 2 6 2" xfId="20220"/>
    <cellStyle name="Normal 2 5 4 6 2 7" xfId="16731"/>
    <cellStyle name="Normal 2 5 4 6 3" xfId="1119"/>
    <cellStyle name="Normal 2 5 4 6 3 2" xfId="3548"/>
    <cellStyle name="Normal 2 5 4 6 3 2 2" xfId="12684"/>
    <cellStyle name="Normal 2 5 4 6 3 2 2 2" xfId="22903"/>
    <cellStyle name="Normal 2 5 4 6 3 2 3" xfId="9105"/>
    <cellStyle name="Normal 2 5 4 6 3 2 4" xfId="17896"/>
    <cellStyle name="Normal 2 5 4 6 3 3" xfId="4938"/>
    <cellStyle name="Normal 2 5 4 6 3 3 2" xfId="13775"/>
    <cellStyle name="Normal 2 5 4 6 3 3 2 2" xfId="24026"/>
    <cellStyle name="Normal 2 5 4 6 3 3 3" xfId="10196"/>
    <cellStyle name="Normal 2 5 4 6 3 3 4" xfId="19019"/>
    <cellStyle name="Normal 2 5 4 6 3 4" xfId="2596"/>
    <cellStyle name="Normal 2 5 4 6 3 4 2" xfId="11960"/>
    <cellStyle name="Normal 2 5 4 6 3 4 3" xfId="21964"/>
    <cellStyle name="Normal 2 5 4 6 3 5" xfId="6393"/>
    <cellStyle name="Normal 2 5 4 6 3 5 2" xfId="15220"/>
    <cellStyle name="Normal 2 5 4 6 3 5 3" xfId="25471"/>
    <cellStyle name="Normal 2 5 4 6 3 6" xfId="7839"/>
    <cellStyle name="Normal 2 5 4 6 3 6 2" xfId="20502"/>
    <cellStyle name="Normal 2 5 4 6 3 7" xfId="16957"/>
    <cellStyle name="Normal 2 5 4 6 4" xfId="2833"/>
    <cellStyle name="Normal 2 5 4 6 4 2" xfId="5211"/>
    <cellStyle name="Normal 2 5 4 6 4 2 2" xfId="14048"/>
    <cellStyle name="Normal 2 5 4 6 4 2 2 2" xfId="24299"/>
    <cellStyle name="Normal 2 5 4 6 4 2 3" xfId="10469"/>
    <cellStyle name="Normal 2 5 4 6 4 2 4" xfId="19292"/>
    <cellStyle name="Normal 2 5 4 6 4 3" xfId="6666"/>
    <cellStyle name="Normal 2 5 4 6 4 3 2" xfId="15493"/>
    <cellStyle name="Normal 2 5 4 6 4 3 3" xfId="25744"/>
    <cellStyle name="Normal 2 5 4 6 4 4" xfId="8112"/>
    <cellStyle name="Normal 2 5 4 6 4 4 2" xfId="22194"/>
    <cellStyle name="Normal 2 5 4 6 4 5" xfId="17187"/>
    <cellStyle name="Normal 2 5 4 6 5" xfId="4165"/>
    <cellStyle name="Normal 2 5 4 6 5 2" xfId="13003"/>
    <cellStyle name="Normal 2 5 4 6 5 2 2" xfId="23254"/>
    <cellStyle name="Normal 2 5 4 6 5 3" xfId="9424"/>
    <cellStyle name="Normal 2 5 4 6 5 4" xfId="18247"/>
    <cellStyle name="Normal 2 5 4 6 6" xfId="1942"/>
    <cellStyle name="Normal 2 5 4 6 6 2" xfId="11307"/>
    <cellStyle name="Normal 2 5 4 6 6 3" xfId="21311"/>
    <cellStyle name="Normal 2 5 4 6 7" xfId="5623"/>
    <cellStyle name="Normal 2 5 4 6 7 2" xfId="14450"/>
    <cellStyle name="Normal 2 5 4 6 7 3" xfId="24701"/>
    <cellStyle name="Normal 2 5 4 6 8" xfId="7067"/>
    <cellStyle name="Normal 2 5 4 6 8 2" xfId="19793"/>
    <cellStyle name="Normal 2 5 4 6 9" xfId="16304"/>
    <cellStyle name="Normal 2 5 4 6_Degree data" xfId="3838"/>
    <cellStyle name="Normal 2 5 4 7" xfId="765"/>
    <cellStyle name="Normal 2 5 4 7 2" xfId="3251"/>
    <cellStyle name="Normal 2 5 4 7 2 2" xfId="12393"/>
    <cellStyle name="Normal 2 5 4 7 2 2 2" xfId="22612"/>
    <cellStyle name="Normal 2 5 4 7 2 3" xfId="8815"/>
    <cellStyle name="Normal 2 5 4 7 2 4" xfId="17605"/>
    <cellStyle name="Normal 2 5 4 7 3" xfId="4580"/>
    <cellStyle name="Normal 2 5 4 7 3 2" xfId="13418"/>
    <cellStyle name="Normal 2 5 4 7 3 2 2" xfId="23669"/>
    <cellStyle name="Normal 2 5 4 7 3 3" xfId="9839"/>
    <cellStyle name="Normal 2 5 4 7 3 4" xfId="18662"/>
    <cellStyle name="Normal 2 5 4 7 4" xfId="2360"/>
    <cellStyle name="Normal 2 5 4 7 4 2" xfId="11725"/>
    <cellStyle name="Normal 2 5 4 7 4 3" xfId="21729"/>
    <cellStyle name="Normal 2 5 4 7 5" xfId="6036"/>
    <cellStyle name="Normal 2 5 4 7 5 2" xfId="14863"/>
    <cellStyle name="Normal 2 5 4 7 5 3" xfId="25114"/>
    <cellStyle name="Normal 2 5 4 7 6" xfId="7480"/>
    <cellStyle name="Normal 2 5 4 7 6 2" xfId="20211"/>
    <cellStyle name="Normal 2 5 4 7 7" xfId="16722"/>
    <cellStyle name="Normal 2 5 4 8" xfId="1074"/>
    <cellStyle name="Normal 2 5 4 8 2" xfId="3503"/>
    <cellStyle name="Normal 2 5 4 8 2 2" xfId="12639"/>
    <cellStyle name="Normal 2 5 4 8 2 2 2" xfId="22858"/>
    <cellStyle name="Normal 2 5 4 8 2 3" xfId="9061"/>
    <cellStyle name="Normal 2 5 4 8 2 4" xfId="17851"/>
    <cellStyle name="Normal 2 5 4 8 3" xfId="4929"/>
    <cellStyle name="Normal 2 5 4 8 3 2" xfId="13766"/>
    <cellStyle name="Normal 2 5 4 8 3 2 2" xfId="24017"/>
    <cellStyle name="Normal 2 5 4 8 3 3" xfId="10187"/>
    <cellStyle name="Normal 2 5 4 8 3 4" xfId="19010"/>
    <cellStyle name="Normal 2 5 4 8 4" xfId="1739"/>
    <cellStyle name="Normal 2 5 4 8 4 2" xfId="11113"/>
    <cellStyle name="Normal 2 5 4 8 4 3" xfId="21117"/>
    <cellStyle name="Normal 2 5 4 8 5" xfId="6384"/>
    <cellStyle name="Normal 2 5 4 8 5 2" xfId="15211"/>
    <cellStyle name="Normal 2 5 4 8 5 3" xfId="25462"/>
    <cellStyle name="Normal 2 5 4 8 6" xfId="7830"/>
    <cellStyle name="Normal 2 5 4 8 6 2" xfId="20457"/>
    <cellStyle name="Normal 2 5 4 8 7" xfId="16110"/>
    <cellStyle name="Normal 2 5 4 9" xfId="2639"/>
    <cellStyle name="Normal 2 5 4 9 2" xfId="5166"/>
    <cellStyle name="Normal 2 5 4 9 2 2" xfId="14003"/>
    <cellStyle name="Normal 2 5 4 9 2 2 2" xfId="24254"/>
    <cellStyle name="Normal 2 5 4 9 2 3" xfId="10424"/>
    <cellStyle name="Normal 2 5 4 9 2 4" xfId="19247"/>
    <cellStyle name="Normal 2 5 4 9 3" xfId="6621"/>
    <cellStyle name="Normal 2 5 4 9 3 2" xfId="15448"/>
    <cellStyle name="Normal 2 5 4 9 3 3" xfId="25699"/>
    <cellStyle name="Normal 2 5 4 9 4" xfId="8067"/>
    <cellStyle name="Normal 2 5 4 9 4 2" xfId="22001"/>
    <cellStyle name="Normal 2 5 4 9 5" xfId="16994"/>
    <cellStyle name="Normal 2 5 4_Degree data" xfId="3898"/>
    <cellStyle name="Normal 2 5 5" xfId="141"/>
    <cellStyle name="Normal 2 5 5 10" xfId="1409"/>
    <cellStyle name="Normal 2 5 5 10 2" xfId="10786"/>
    <cellStyle name="Normal 2 5 5 10 3" xfId="20790"/>
    <cellStyle name="Normal 2 5 5 11" xfId="5520"/>
    <cellStyle name="Normal 2 5 5 11 2" xfId="14347"/>
    <cellStyle name="Normal 2 5 5 11 3" xfId="24598"/>
    <cellStyle name="Normal 2 5 5 12" xfId="6960"/>
    <cellStyle name="Normal 2 5 5 12 2" xfId="19605"/>
    <cellStyle name="Normal 2 5 5 13" xfId="15783"/>
    <cellStyle name="Normal 2 5 5 2" xfId="191"/>
    <cellStyle name="Normal 2 5 5 2 10" xfId="7139"/>
    <cellStyle name="Normal 2 5 5 2 10 2" xfId="19648"/>
    <cellStyle name="Normal 2 5 5 2 11" xfId="15885"/>
    <cellStyle name="Normal 2 5 5 2 2" xfId="519"/>
    <cellStyle name="Normal 2 5 5 2 2 2" xfId="777"/>
    <cellStyle name="Normal 2 5 5 2 2 2 2" xfId="3263"/>
    <cellStyle name="Normal 2 5 5 2 2 2 2 2" xfId="12405"/>
    <cellStyle name="Normal 2 5 5 2 2 2 2 2 2" xfId="22624"/>
    <cellStyle name="Normal 2 5 5 2 2 2 2 3" xfId="8827"/>
    <cellStyle name="Normal 2 5 5 2 2 2 2 4" xfId="17617"/>
    <cellStyle name="Normal 2 5 5 2 2 2 3" xfId="4592"/>
    <cellStyle name="Normal 2 5 5 2 2 2 3 2" xfId="13430"/>
    <cellStyle name="Normal 2 5 5 2 2 2 3 2 2" xfId="23681"/>
    <cellStyle name="Normal 2 5 5 2 2 2 3 3" xfId="9851"/>
    <cellStyle name="Normal 2 5 5 2 2 2 3 4" xfId="18674"/>
    <cellStyle name="Normal 2 5 5 2 2 2 4" xfId="2372"/>
    <cellStyle name="Normal 2 5 5 2 2 2 4 2" xfId="11737"/>
    <cellStyle name="Normal 2 5 5 2 2 2 4 3" xfId="21741"/>
    <cellStyle name="Normal 2 5 5 2 2 2 5" xfId="6048"/>
    <cellStyle name="Normal 2 5 5 2 2 2 5 2" xfId="14875"/>
    <cellStyle name="Normal 2 5 5 2 2 2 5 3" xfId="25126"/>
    <cellStyle name="Normal 2 5 5 2 2 2 6" xfId="7492"/>
    <cellStyle name="Normal 2 5 5 2 2 2 6 2" xfId="20223"/>
    <cellStyle name="Normal 2 5 5 2 2 2 7" xfId="16734"/>
    <cellStyle name="Normal 2 5 5 2 2 3" xfId="1291"/>
    <cellStyle name="Normal 2 5 5 2 2 3 2" xfId="3720"/>
    <cellStyle name="Normal 2 5 5 2 2 3 2 2" xfId="12856"/>
    <cellStyle name="Normal 2 5 5 2 2 3 2 2 2" xfId="23075"/>
    <cellStyle name="Normal 2 5 5 2 2 3 2 3" xfId="9277"/>
    <cellStyle name="Normal 2 5 5 2 2 3 2 4" xfId="18068"/>
    <cellStyle name="Normal 2 5 5 2 2 3 3" xfId="4941"/>
    <cellStyle name="Normal 2 5 5 2 2 3 3 2" xfId="13778"/>
    <cellStyle name="Normal 2 5 5 2 2 3 3 2 2" xfId="24029"/>
    <cellStyle name="Normal 2 5 5 2 2 3 3 3" xfId="10199"/>
    <cellStyle name="Normal 2 5 5 2 2 3 3 4" xfId="19022"/>
    <cellStyle name="Normal 2 5 5 2 2 3 4" xfId="2114"/>
    <cellStyle name="Normal 2 5 5 2 2 3 4 2" xfId="11479"/>
    <cellStyle name="Normal 2 5 5 2 2 3 4 3" xfId="21483"/>
    <cellStyle name="Normal 2 5 5 2 2 3 5" xfId="6396"/>
    <cellStyle name="Normal 2 5 5 2 2 3 5 2" xfId="15223"/>
    <cellStyle name="Normal 2 5 5 2 2 3 5 3" xfId="25474"/>
    <cellStyle name="Normal 2 5 5 2 2 3 6" xfId="7842"/>
    <cellStyle name="Normal 2 5 5 2 2 3 6 2" xfId="20674"/>
    <cellStyle name="Normal 2 5 5 2 2 3 7" xfId="16476"/>
    <cellStyle name="Normal 2 5 5 2 2 4" xfId="3005"/>
    <cellStyle name="Normal 2 5 5 2 2 4 2" xfId="5383"/>
    <cellStyle name="Normal 2 5 5 2 2 4 2 2" xfId="14220"/>
    <cellStyle name="Normal 2 5 5 2 2 4 2 2 2" xfId="24471"/>
    <cellStyle name="Normal 2 5 5 2 2 4 2 3" xfId="10641"/>
    <cellStyle name="Normal 2 5 5 2 2 4 2 4" xfId="19464"/>
    <cellStyle name="Normal 2 5 5 2 2 4 3" xfId="6838"/>
    <cellStyle name="Normal 2 5 5 2 2 4 3 2" xfId="15665"/>
    <cellStyle name="Normal 2 5 5 2 2 4 3 3" xfId="25916"/>
    <cellStyle name="Normal 2 5 5 2 2 4 4" xfId="8284"/>
    <cellStyle name="Normal 2 5 5 2 2 4 4 2" xfId="22366"/>
    <cellStyle name="Normal 2 5 5 2 2 4 5" xfId="17359"/>
    <cellStyle name="Normal 2 5 5 2 2 5" xfId="4339"/>
    <cellStyle name="Normal 2 5 5 2 2 5 2" xfId="13177"/>
    <cellStyle name="Normal 2 5 5 2 2 5 2 2" xfId="23428"/>
    <cellStyle name="Normal 2 5 5 2 2 5 3" xfId="9598"/>
    <cellStyle name="Normal 2 5 5 2 2 5 4" xfId="18421"/>
    <cellStyle name="Normal 2 5 5 2 2 6" xfId="1611"/>
    <cellStyle name="Normal 2 5 5 2 2 6 2" xfId="10988"/>
    <cellStyle name="Normal 2 5 5 2 2 6 3" xfId="20992"/>
    <cellStyle name="Normal 2 5 5 2 2 7" xfId="5795"/>
    <cellStyle name="Normal 2 5 5 2 2 7 2" xfId="14622"/>
    <cellStyle name="Normal 2 5 5 2 2 7 3" xfId="24873"/>
    <cellStyle name="Normal 2 5 5 2 2 8" xfId="7239"/>
    <cellStyle name="Normal 2 5 5 2 2 8 2" xfId="19965"/>
    <cellStyle name="Normal 2 5 5 2 2 9" xfId="15985"/>
    <cellStyle name="Normal 2 5 5 2 2_Degree data" xfId="3470"/>
    <cellStyle name="Normal 2 5 5 2 3" xfId="419"/>
    <cellStyle name="Normal 2 5 5 2 3 2" xfId="2905"/>
    <cellStyle name="Normal 2 5 5 2 3 2 2" xfId="12193"/>
    <cellStyle name="Normal 2 5 5 2 3 2 2 2" xfId="22266"/>
    <cellStyle name="Normal 2 5 5 2 3 2 3" xfId="8459"/>
    <cellStyle name="Normal 2 5 5 2 3 2 4" xfId="17259"/>
    <cellStyle name="Normal 2 5 5 2 3 3" xfId="4591"/>
    <cellStyle name="Normal 2 5 5 2 3 3 2" xfId="13429"/>
    <cellStyle name="Normal 2 5 5 2 3 3 2 2" xfId="23680"/>
    <cellStyle name="Normal 2 5 5 2 3 3 3" xfId="9850"/>
    <cellStyle name="Normal 2 5 5 2 3 3 4" xfId="18673"/>
    <cellStyle name="Normal 2 5 5 2 3 4" xfId="2014"/>
    <cellStyle name="Normal 2 5 5 2 3 4 2" xfId="11379"/>
    <cellStyle name="Normal 2 5 5 2 3 4 3" xfId="21383"/>
    <cellStyle name="Normal 2 5 5 2 3 5" xfId="6047"/>
    <cellStyle name="Normal 2 5 5 2 3 5 2" xfId="14874"/>
    <cellStyle name="Normal 2 5 5 2 3 5 3" xfId="25125"/>
    <cellStyle name="Normal 2 5 5 2 3 6" xfId="7491"/>
    <cellStyle name="Normal 2 5 5 2 3 6 2" xfId="19865"/>
    <cellStyle name="Normal 2 5 5 2 3 7" xfId="16376"/>
    <cellStyle name="Normal 2 5 5 2 4" xfId="776"/>
    <cellStyle name="Normal 2 5 5 2 4 2" xfId="3262"/>
    <cellStyle name="Normal 2 5 5 2 4 2 2" xfId="12404"/>
    <cellStyle name="Normal 2 5 5 2 4 2 2 2" xfId="22623"/>
    <cellStyle name="Normal 2 5 5 2 4 2 3" xfId="8826"/>
    <cellStyle name="Normal 2 5 5 2 4 2 4" xfId="17616"/>
    <cellStyle name="Normal 2 5 5 2 4 3" xfId="4940"/>
    <cellStyle name="Normal 2 5 5 2 4 3 2" xfId="13777"/>
    <cellStyle name="Normal 2 5 5 2 4 3 2 2" xfId="24028"/>
    <cellStyle name="Normal 2 5 5 2 4 3 3" xfId="10198"/>
    <cellStyle name="Normal 2 5 5 2 4 3 4" xfId="19021"/>
    <cellStyle name="Normal 2 5 5 2 4 4" xfId="2371"/>
    <cellStyle name="Normal 2 5 5 2 4 4 2" xfId="11736"/>
    <cellStyle name="Normal 2 5 5 2 4 4 3" xfId="21740"/>
    <cellStyle name="Normal 2 5 5 2 4 5" xfId="6395"/>
    <cellStyle name="Normal 2 5 5 2 4 5 2" xfId="15222"/>
    <cellStyle name="Normal 2 5 5 2 4 5 3" xfId="25473"/>
    <cellStyle name="Normal 2 5 5 2 4 6" xfId="7841"/>
    <cellStyle name="Normal 2 5 5 2 4 6 2" xfId="20222"/>
    <cellStyle name="Normal 2 5 5 2 4 7" xfId="16733"/>
    <cellStyle name="Normal 2 5 5 2 5" xfId="1191"/>
    <cellStyle name="Normal 2 5 5 2 5 2" xfId="3620"/>
    <cellStyle name="Normal 2 5 5 2 5 2 2" xfId="12756"/>
    <cellStyle name="Normal 2 5 5 2 5 2 2 2" xfId="22975"/>
    <cellStyle name="Normal 2 5 5 2 5 2 3" xfId="9177"/>
    <cellStyle name="Normal 2 5 5 2 5 2 4" xfId="17968"/>
    <cellStyle name="Normal 2 5 5 2 5 3" xfId="5283"/>
    <cellStyle name="Normal 2 5 5 2 5 3 2" xfId="14120"/>
    <cellStyle name="Normal 2 5 5 2 5 3 2 2" xfId="24371"/>
    <cellStyle name="Normal 2 5 5 2 5 3 3" xfId="10541"/>
    <cellStyle name="Normal 2 5 5 2 5 3 4" xfId="19364"/>
    <cellStyle name="Normal 2 5 5 2 5 4" xfId="1793"/>
    <cellStyle name="Normal 2 5 5 2 5 4 2" xfId="11162"/>
    <cellStyle name="Normal 2 5 5 2 5 4 3" xfId="21166"/>
    <cellStyle name="Normal 2 5 5 2 5 5" xfId="6738"/>
    <cellStyle name="Normal 2 5 5 2 5 5 2" xfId="15565"/>
    <cellStyle name="Normal 2 5 5 2 5 5 3" xfId="25816"/>
    <cellStyle name="Normal 2 5 5 2 5 6" xfId="8184"/>
    <cellStyle name="Normal 2 5 5 2 5 6 2" xfId="20574"/>
    <cellStyle name="Normal 2 5 5 2 5 7" xfId="16159"/>
    <cellStyle name="Normal 2 5 5 2 6" xfId="2688"/>
    <cellStyle name="Normal 2 5 5 2 6 2" xfId="12005"/>
    <cellStyle name="Normal 2 5 5 2 6 2 2" xfId="22049"/>
    <cellStyle name="Normal 2 5 5 2 6 3" xfId="8504"/>
    <cellStyle name="Normal 2 5 5 2 6 4" xfId="17042"/>
    <cellStyle name="Normal 2 5 5 2 7" xfId="4239"/>
    <cellStyle name="Normal 2 5 5 2 7 2" xfId="13077"/>
    <cellStyle name="Normal 2 5 5 2 7 2 2" xfId="23328"/>
    <cellStyle name="Normal 2 5 5 2 7 3" xfId="9498"/>
    <cellStyle name="Normal 2 5 5 2 7 4" xfId="18321"/>
    <cellStyle name="Normal 2 5 5 2 8" xfId="1511"/>
    <cellStyle name="Normal 2 5 5 2 8 2" xfId="10888"/>
    <cellStyle name="Normal 2 5 5 2 8 3" xfId="20892"/>
    <cellStyle name="Normal 2 5 5 2 9" xfId="5695"/>
    <cellStyle name="Normal 2 5 5 2 9 2" xfId="14522"/>
    <cellStyle name="Normal 2 5 5 2 9 3" xfId="24773"/>
    <cellStyle name="Normal 2 5 5 2_Degree data" xfId="3892"/>
    <cellStyle name="Normal 2 5 5 3" xfId="258"/>
    <cellStyle name="Normal 2 5 5 3 10" xfId="7096"/>
    <cellStyle name="Normal 2 5 5 3 10 2" xfId="19710"/>
    <cellStyle name="Normal 2 5 5 3 11" xfId="15842"/>
    <cellStyle name="Normal 2 5 5 3 2" xfId="581"/>
    <cellStyle name="Normal 2 5 5 3 2 2" xfId="779"/>
    <cellStyle name="Normal 2 5 5 3 2 2 2" xfId="3265"/>
    <cellStyle name="Normal 2 5 5 3 2 2 2 2" xfId="12407"/>
    <cellStyle name="Normal 2 5 5 3 2 2 2 2 2" xfId="22626"/>
    <cellStyle name="Normal 2 5 5 3 2 2 2 3" xfId="8829"/>
    <cellStyle name="Normal 2 5 5 3 2 2 2 4" xfId="17619"/>
    <cellStyle name="Normal 2 5 5 3 2 2 3" xfId="4594"/>
    <cellStyle name="Normal 2 5 5 3 2 2 3 2" xfId="13432"/>
    <cellStyle name="Normal 2 5 5 3 2 2 3 2 2" xfId="23683"/>
    <cellStyle name="Normal 2 5 5 3 2 2 3 3" xfId="9853"/>
    <cellStyle name="Normal 2 5 5 3 2 2 3 4" xfId="18676"/>
    <cellStyle name="Normal 2 5 5 3 2 2 4" xfId="2374"/>
    <cellStyle name="Normal 2 5 5 3 2 2 4 2" xfId="11739"/>
    <cellStyle name="Normal 2 5 5 3 2 2 4 3" xfId="21743"/>
    <cellStyle name="Normal 2 5 5 3 2 2 5" xfId="6050"/>
    <cellStyle name="Normal 2 5 5 3 2 2 5 2" xfId="14877"/>
    <cellStyle name="Normal 2 5 5 3 2 2 5 3" xfId="25128"/>
    <cellStyle name="Normal 2 5 5 3 2 2 6" xfId="7494"/>
    <cellStyle name="Normal 2 5 5 3 2 2 6 2" xfId="20225"/>
    <cellStyle name="Normal 2 5 5 3 2 2 7" xfId="16736"/>
    <cellStyle name="Normal 2 5 5 3 2 3" xfId="1353"/>
    <cellStyle name="Normal 2 5 5 3 2 3 2" xfId="3782"/>
    <cellStyle name="Normal 2 5 5 3 2 3 2 2" xfId="12918"/>
    <cellStyle name="Normal 2 5 5 3 2 3 2 2 2" xfId="23137"/>
    <cellStyle name="Normal 2 5 5 3 2 3 2 3" xfId="9339"/>
    <cellStyle name="Normal 2 5 5 3 2 3 2 4" xfId="18130"/>
    <cellStyle name="Normal 2 5 5 3 2 3 3" xfId="4943"/>
    <cellStyle name="Normal 2 5 5 3 2 3 3 2" xfId="13780"/>
    <cellStyle name="Normal 2 5 5 3 2 3 3 2 2" xfId="24031"/>
    <cellStyle name="Normal 2 5 5 3 2 3 3 3" xfId="10201"/>
    <cellStyle name="Normal 2 5 5 3 2 3 3 4" xfId="19024"/>
    <cellStyle name="Normal 2 5 5 3 2 3 4" xfId="2176"/>
    <cellStyle name="Normal 2 5 5 3 2 3 4 2" xfId="11541"/>
    <cellStyle name="Normal 2 5 5 3 2 3 4 3" xfId="21545"/>
    <cellStyle name="Normal 2 5 5 3 2 3 5" xfId="6398"/>
    <cellStyle name="Normal 2 5 5 3 2 3 5 2" xfId="15225"/>
    <cellStyle name="Normal 2 5 5 3 2 3 5 3" xfId="25476"/>
    <cellStyle name="Normal 2 5 5 3 2 3 6" xfId="7844"/>
    <cellStyle name="Normal 2 5 5 3 2 3 6 2" xfId="20736"/>
    <cellStyle name="Normal 2 5 5 3 2 3 7" xfId="16538"/>
    <cellStyle name="Normal 2 5 5 3 2 4" xfId="3067"/>
    <cellStyle name="Normal 2 5 5 3 2 4 2" xfId="5445"/>
    <cellStyle name="Normal 2 5 5 3 2 4 2 2" xfId="14282"/>
    <cellStyle name="Normal 2 5 5 3 2 4 2 2 2" xfId="24533"/>
    <cellStyle name="Normal 2 5 5 3 2 4 2 3" xfId="10703"/>
    <cellStyle name="Normal 2 5 5 3 2 4 2 4" xfId="19526"/>
    <cellStyle name="Normal 2 5 5 3 2 4 3" xfId="6900"/>
    <cellStyle name="Normal 2 5 5 3 2 4 3 2" xfId="15727"/>
    <cellStyle name="Normal 2 5 5 3 2 4 3 3" xfId="25978"/>
    <cellStyle name="Normal 2 5 5 3 2 4 4" xfId="8346"/>
    <cellStyle name="Normal 2 5 5 3 2 4 4 2" xfId="22428"/>
    <cellStyle name="Normal 2 5 5 3 2 4 5" xfId="17421"/>
    <cellStyle name="Normal 2 5 5 3 2 5" xfId="4401"/>
    <cellStyle name="Normal 2 5 5 3 2 5 2" xfId="13239"/>
    <cellStyle name="Normal 2 5 5 3 2 5 2 2" xfId="23490"/>
    <cellStyle name="Normal 2 5 5 3 2 5 3" xfId="9660"/>
    <cellStyle name="Normal 2 5 5 3 2 5 4" xfId="18483"/>
    <cellStyle name="Normal 2 5 5 3 2 6" xfId="1673"/>
    <cellStyle name="Normal 2 5 5 3 2 6 2" xfId="11050"/>
    <cellStyle name="Normal 2 5 5 3 2 6 3" xfId="21054"/>
    <cellStyle name="Normal 2 5 5 3 2 7" xfId="5857"/>
    <cellStyle name="Normal 2 5 5 3 2 7 2" xfId="14684"/>
    <cellStyle name="Normal 2 5 5 3 2 7 3" xfId="24935"/>
    <cellStyle name="Normal 2 5 5 3 2 8" xfId="7301"/>
    <cellStyle name="Normal 2 5 5 3 2 8 2" xfId="20027"/>
    <cellStyle name="Normal 2 5 5 3 2 9" xfId="16047"/>
    <cellStyle name="Normal 2 5 5 3 2_Degree data" xfId="3884"/>
    <cellStyle name="Normal 2 5 5 3 3" xfId="376"/>
    <cellStyle name="Normal 2 5 5 3 3 2" xfId="2862"/>
    <cellStyle name="Normal 2 5 5 3 3 2 2" xfId="12150"/>
    <cellStyle name="Normal 2 5 5 3 3 2 2 2" xfId="22223"/>
    <cellStyle name="Normal 2 5 5 3 3 2 3" xfId="8532"/>
    <cellStyle name="Normal 2 5 5 3 3 2 4" xfId="17216"/>
    <cellStyle name="Normal 2 5 5 3 3 3" xfId="4593"/>
    <cellStyle name="Normal 2 5 5 3 3 3 2" xfId="13431"/>
    <cellStyle name="Normal 2 5 5 3 3 3 2 2" xfId="23682"/>
    <cellStyle name="Normal 2 5 5 3 3 3 3" xfId="9852"/>
    <cellStyle name="Normal 2 5 5 3 3 3 4" xfId="18675"/>
    <cellStyle name="Normal 2 5 5 3 3 4" xfId="1971"/>
    <cellStyle name="Normal 2 5 5 3 3 4 2" xfId="11336"/>
    <cellStyle name="Normal 2 5 5 3 3 4 3" xfId="21340"/>
    <cellStyle name="Normal 2 5 5 3 3 5" xfId="6049"/>
    <cellStyle name="Normal 2 5 5 3 3 5 2" xfId="14876"/>
    <cellStyle name="Normal 2 5 5 3 3 5 3" xfId="25127"/>
    <cellStyle name="Normal 2 5 5 3 3 6" xfId="7493"/>
    <cellStyle name="Normal 2 5 5 3 3 6 2" xfId="19822"/>
    <cellStyle name="Normal 2 5 5 3 3 7" xfId="16333"/>
    <cellStyle name="Normal 2 5 5 3 4" xfId="778"/>
    <cellStyle name="Normal 2 5 5 3 4 2" xfId="3264"/>
    <cellStyle name="Normal 2 5 5 3 4 2 2" xfId="12406"/>
    <cellStyle name="Normal 2 5 5 3 4 2 2 2" xfId="22625"/>
    <cellStyle name="Normal 2 5 5 3 4 2 3" xfId="8828"/>
    <cellStyle name="Normal 2 5 5 3 4 2 4" xfId="17618"/>
    <cellStyle name="Normal 2 5 5 3 4 3" xfId="4942"/>
    <cellStyle name="Normal 2 5 5 3 4 3 2" xfId="13779"/>
    <cellStyle name="Normal 2 5 5 3 4 3 2 2" xfId="24030"/>
    <cellStyle name="Normal 2 5 5 3 4 3 3" xfId="10200"/>
    <cellStyle name="Normal 2 5 5 3 4 3 4" xfId="19023"/>
    <cellStyle name="Normal 2 5 5 3 4 4" xfId="2373"/>
    <cellStyle name="Normal 2 5 5 3 4 4 2" xfId="11738"/>
    <cellStyle name="Normal 2 5 5 3 4 4 3" xfId="21742"/>
    <cellStyle name="Normal 2 5 5 3 4 5" xfId="6397"/>
    <cellStyle name="Normal 2 5 5 3 4 5 2" xfId="15224"/>
    <cellStyle name="Normal 2 5 5 3 4 5 3" xfId="25475"/>
    <cellStyle name="Normal 2 5 5 3 4 6" xfId="7843"/>
    <cellStyle name="Normal 2 5 5 3 4 6 2" xfId="20224"/>
    <cellStyle name="Normal 2 5 5 3 4 7" xfId="16735"/>
    <cellStyle name="Normal 2 5 5 3 5" xfId="1148"/>
    <cellStyle name="Normal 2 5 5 3 5 2" xfId="3577"/>
    <cellStyle name="Normal 2 5 5 3 5 2 2" xfId="12713"/>
    <cellStyle name="Normal 2 5 5 3 5 2 2 2" xfId="22932"/>
    <cellStyle name="Normal 2 5 5 3 5 2 3" xfId="9134"/>
    <cellStyle name="Normal 2 5 5 3 5 2 4" xfId="17925"/>
    <cellStyle name="Normal 2 5 5 3 5 3" xfId="5240"/>
    <cellStyle name="Normal 2 5 5 3 5 3 2" xfId="14077"/>
    <cellStyle name="Normal 2 5 5 3 5 3 2 2" xfId="24328"/>
    <cellStyle name="Normal 2 5 5 3 5 3 3" xfId="10498"/>
    <cellStyle name="Normal 2 5 5 3 5 3 4" xfId="19321"/>
    <cellStyle name="Normal 2 5 5 3 5 4" xfId="1856"/>
    <cellStyle name="Normal 2 5 5 3 5 4 2" xfId="11224"/>
    <cellStyle name="Normal 2 5 5 3 5 4 3" xfId="21228"/>
    <cellStyle name="Normal 2 5 5 3 5 5" xfId="6695"/>
    <cellStyle name="Normal 2 5 5 3 5 5 2" xfId="15522"/>
    <cellStyle name="Normal 2 5 5 3 5 5 3" xfId="25773"/>
    <cellStyle name="Normal 2 5 5 3 5 6" xfId="8141"/>
    <cellStyle name="Normal 2 5 5 3 5 6 2" xfId="20531"/>
    <cellStyle name="Normal 2 5 5 3 5 7" xfId="16221"/>
    <cellStyle name="Normal 2 5 5 3 6" xfId="2750"/>
    <cellStyle name="Normal 2 5 5 3 6 2" xfId="12067"/>
    <cellStyle name="Normal 2 5 5 3 6 2 2" xfId="22111"/>
    <cellStyle name="Normal 2 5 5 3 6 3" xfId="8552"/>
    <cellStyle name="Normal 2 5 5 3 6 4" xfId="17104"/>
    <cellStyle name="Normal 2 5 5 3 7" xfId="4196"/>
    <cellStyle name="Normal 2 5 5 3 7 2" xfId="13034"/>
    <cellStyle name="Normal 2 5 5 3 7 2 2" xfId="23285"/>
    <cellStyle name="Normal 2 5 5 3 7 3" xfId="9455"/>
    <cellStyle name="Normal 2 5 5 3 7 4" xfId="18278"/>
    <cellStyle name="Normal 2 5 5 3 8" xfId="1468"/>
    <cellStyle name="Normal 2 5 5 3 8 2" xfId="10845"/>
    <cellStyle name="Normal 2 5 5 3 8 3" xfId="20849"/>
    <cellStyle name="Normal 2 5 5 3 9" xfId="5652"/>
    <cellStyle name="Normal 2 5 5 3 9 2" xfId="14479"/>
    <cellStyle name="Normal 2 5 5 3 9 3" xfId="24730"/>
    <cellStyle name="Normal 2 5 5 3_Degree data" xfId="3914"/>
    <cellStyle name="Normal 2 5 5 4" xfId="476"/>
    <cellStyle name="Normal 2 5 5 4 2" xfId="780"/>
    <cellStyle name="Normal 2 5 5 4 2 2" xfId="3266"/>
    <cellStyle name="Normal 2 5 5 4 2 2 2" xfId="12408"/>
    <cellStyle name="Normal 2 5 5 4 2 2 2 2" xfId="22627"/>
    <cellStyle name="Normal 2 5 5 4 2 2 3" xfId="8830"/>
    <cellStyle name="Normal 2 5 5 4 2 2 4" xfId="17620"/>
    <cellStyle name="Normal 2 5 5 4 2 3" xfId="4595"/>
    <cellStyle name="Normal 2 5 5 4 2 3 2" xfId="13433"/>
    <cellStyle name="Normal 2 5 5 4 2 3 2 2" xfId="23684"/>
    <cellStyle name="Normal 2 5 5 4 2 3 3" xfId="9854"/>
    <cellStyle name="Normal 2 5 5 4 2 3 4" xfId="18677"/>
    <cellStyle name="Normal 2 5 5 4 2 4" xfId="2375"/>
    <cellStyle name="Normal 2 5 5 4 2 4 2" xfId="11740"/>
    <cellStyle name="Normal 2 5 5 4 2 4 3" xfId="21744"/>
    <cellStyle name="Normal 2 5 5 4 2 5" xfId="6051"/>
    <cellStyle name="Normal 2 5 5 4 2 5 2" xfId="14878"/>
    <cellStyle name="Normal 2 5 5 4 2 5 3" xfId="25129"/>
    <cellStyle name="Normal 2 5 5 4 2 6" xfId="7495"/>
    <cellStyle name="Normal 2 5 5 4 2 6 2" xfId="20226"/>
    <cellStyle name="Normal 2 5 5 4 2 7" xfId="16737"/>
    <cellStyle name="Normal 2 5 5 4 3" xfId="1248"/>
    <cellStyle name="Normal 2 5 5 4 3 2" xfId="3677"/>
    <cellStyle name="Normal 2 5 5 4 3 2 2" xfId="12813"/>
    <cellStyle name="Normal 2 5 5 4 3 2 2 2" xfId="23032"/>
    <cellStyle name="Normal 2 5 5 4 3 2 3" xfId="9234"/>
    <cellStyle name="Normal 2 5 5 4 3 2 4" xfId="18025"/>
    <cellStyle name="Normal 2 5 5 4 3 3" xfId="4944"/>
    <cellStyle name="Normal 2 5 5 4 3 3 2" xfId="13781"/>
    <cellStyle name="Normal 2 5 5 4 3 3 2 2" xfId="24032"/>
    <cellStyle name="Normal 2 5 5 4 3 3 3" xfId="10202"/>
    <cellStyle name="Normal 2 5 5 4 3 3 4" xfId="19025"/>
    <cellStyle name="Normal 2 5 5 4 3 4" xfId="2071"/>
    <cellStyle name="Normal 2 5 5 4 3 4 2" xfId="11436"/>
    <cellStyle name="Normal 2 5 5 4 3 4 3" xfId="21440"/>
    <cellStyle name="Normal 2 5 5 4 3 5" xfId="6399"/>
    <cellStyle name="Normal 2 5 5 4 3 5 2" xfId="15226"/>
    <cellStyle name="Normal 2 5 5 4 3 5 3" xfId="25477"/>
    <cellStyle name="Normal 2 5 5 4 3 6" xfId="7845"/>
    <cellStyle name="Normal 2 5 5 4 3 6 2" xfId="20631"/>
    <cellStyle name="Normal 2 5 5 4 3 7" xfId="16433"/>
    <cellStyle name="Normal 2 5 5 4 4" xfId="2962"/>
    <cellStyle name="Normal 2 5 5 4 4 2" xfId="5340"/>
    <cellStyle name="Normal 2 5 5 4 4 2 2" xfId="14177"/>
    <cellStyle name="Normal 2 5 5 4 4 2 2 2" xfId="24428"/>
    <cellStyle name="Normal 2 5 5 4 4 2 3" xfId="10598"/>
    <cellStyle name="Normal 2 5 5 4 4 2 4" xfId="19421"/>
    <cellStyle name="Normal 2 5 5 4 4 3" xfId="6795"/>
    <cellStyle name="Normal 2 5 5 4 4 3 2" xfId="15622"/>
    <cellStyle name="Normal 2 5 5 4 4 3 3" xfId="25873"/>
    <cellStyle name="Normal 2 5 5 4 4 4" xfId="8241"/>
    <cellStyle name="Normal 2 5 5 4 4 4 2" xfId="22323"/>
    <cellStyle name="Normal 2 5 5 4 4 5" xfId="17316"/>
    <cellStyle name="Normal 2 5 5 4 5" xfId="4296"/>
    <cellStyle name="Normal 2 5 5 4 5 2" xfId="13134"/>
    <cellStyle name="Normal 2 5 5 4 5 2 2" xfId="23385"/>
    <cellStyle name="Normal 2 5 5 4 5 3" xfId="9555"/>
    <cellStyle name="Normal 2 5 5 4 5 4" xfId="18378"/>
    <cellStyle name="Normal 2 5 5 4 6" xfId="1568"/>
    <cellStyle name="Normal 2 5 5 4 6 2" xfId="10945"/>
    <cellStyle name="Normal 2 5 5 4 6 3" xfId="20949"/>
    <cellStyle name="Normal 2 5 5 4 7" xfId="5752"/>
    <cellStyle name="Normal 2 5 5 4 7 2" xfId="14579"/>
    <cellStyle name="Normal 2 5 5 4 7 3" xfId="24830"/>
    <cellStyle name="Normal 2 5 5 4 8" xfId="7196"/>
    <cellStyle name="Normal 2 5 5 4 8 2" xfId="19922"/>
    <cellStyle name="Normal 2 5 5 4 9" xfId="15942"/>
    <cellStyle name="Normal 2 5 5 4_Degree data" xfId="3863"/>
    <cellStyle name="Normal 2 5 5 5" xfId="317"/>
    <cellStyle name="Normal 2 5 5 5 2" xfId="2803"/>
    <cellStyle name="Normal 2 5 5 5 2 2" xfId="12107"/>
    <cellStyle name="Normal 2 5 5 5 2 2 2" xfId="22164"/>
    <cellStyle name="Normal 2 5 5 5 2 3" xfId="8404"/>
    <cellStyle name="Normal 2 5 5 5 2 4" xfId="17157"/>
    <cellStyle name="Normal 2 5 5 5 3" xfId="4590"/>
    <cellStyle name="Normal 2 5 5 5 3 2" xfId="13428"/>
    <cellStyle name="Normal 2 5 5 5 3 2 2" xfId="23679"/>
    <cellStyle name="Normal 2 5 5 5 3 3" xfId="9849"/>
    <cellStyle name="Normal 2 5 5 5 3 4" xfId="18672"/>
    <cellStyle name="Normal 2 5 5 5 4" xfId="1912"/>
    <cellStyle name="Normal 2 5 5 5 4 2" xfId="11277"/>
    <cellStyle name="Normal 2 5 5 5 4 3" xfId="21281"/>
    <cellStyle name="Normal 2 5 5 5 5" xfId="6046"/>
    <cellStyle name="Normal 2 5 5 5 5 2" xfId="14873"/>
    <cellStyle name="Normal 2 5 5 5 5 3" xfId="25124"/>
    <cellStyle name="Normal 2 5 5 5 6" xfId="7490"/>
    <cellStyle name="Normal 2 5 5 5 6 2" xfId="19763"/>
    <cellStyle name="Normal 2 5 5 5 7" xfId="16274"/>
    <cellStyle name="Normal 2 5 5 6" xfId="775"/>
    <cellStyle name="Normal 2 5 5 6 2" xfId="3261"/>
    <cellStyle name="Normal 2 5 5 6 2 2" xfId="12403"/>
    <cellStyle name="Normal 2 5 5 6 2 2 2" xfId="22622"/>
    <cellStyle name="Normal 2 5 5 6 2 3" xfId="8825"/>
    <cellStyle name="Normal 2 5 5 6 2 4" xfId="17615"/>
    <cellStyle name="Normal 2 5 5 6 3" xfId="4939"/>
    <cellStyle name="Normal 2 5 5 6 3 2" xfId="13776"/>
    <cellStyle name="Normal 2 5 5 6 3 2 2" xfId="24027"/>
    <cellStyle name="Normal 2 5 5 6 3 3" xfId="10197"/>
    <cellStyle name="Normal 2 5 5 6 3 4" xfId="19020"/>
    <cellStyle name="Normal 2 5 5 6 4" xfId="2370"/>
    <cellStyle name="Normal 2 5 5 6 4 2" xfId="11735"/>
    <cellStyle name="Normal 2 5 5 6 4 3" xfId="21739"/>
    <cellStyle name="Normal 2 5 5 6 5" xfId="6394"/>
    <cellStyle name="Normal 2 5 5 6 5 2" xfId="15221"/>
    <cellStyle name="Normal 2 5 5 6 5 3" xfId="25472"/>
    <cellStyle name="Normal 2 5 5 6 6" xfId="7840"/>
    <cellStyle name="Normal 2 5 5 6 6 2" xfId="20221"/>
    <cellStyle name="Normal 2 5 5 6 7" xfId="16732"/>
    <cellStyle name="Normal 2 5 5 7" xfId="1089"/>
    <cellStyle name="Normal 2 5 5 7 2" xfId="3518"/>
    <cellStyle name="Normal 2 5 5 7 2 2" xfId="12654"/>
    <cellStyle name="Normal 2 5 5 7 2 2 2" xfId="22873"/>
    <cellStyle name="Normal 2 5 5 7 2 3" xfId="9076"/>
    <cellStyle name="Normal 2 5 5 7 2 4" xfId="17866"/>
    <cellStyle name="Normal 2 5 5 7 3" xfId="5181"/>
    <cellStyle name="Normal 2 5 5 7 3 2" xfId="14018"/>
    <cellStyle name="Normal 2 5 5 7 3 2 2" xfId="24269"/>
    <cellStyle name="Normal 2 5 5 7 3 3" xfId="10439"/>
    <cellStyle name="Normal 2 5 5 7 3 4" xfId="19262"/>
    <cellStyle name="Normal 2 5 5 7 4" xfId="1747"/>
    <cellStyle name="Normal 2 5 5 7 4 2" xfId="11118"/>
    <cellStyle name="Normal 2 5 5 7 4 3" xfId="21122"/>
    <cellStyle name="Normal 2 5 5 7 5" xfId="6636"/>
    <cellStyle name="Normal 2 5 5 7 5 2" xfId="15463"/>
    <cellStyle name="Normal 2 5 5 7 5 3" xfId="25714"/>
    <cellStyle name="Normal 2 5 5 7 6" xfId="8082"/>
    <cellStyle name="Normal 2 5 5 7 6 2" xfId="20472"/>
    <cellStyle name="Normal 2 5 5 7 7" xfId="16115"/>
    <cellStyle name="Normal 2 5 5 8" xfId="2645"/>
    <cellStyle name="Normal 2 5 5 8 2" xfId="5593"/>
    <cellStyle name="Normal 2 5 5 8 2 2" xfId="14420"/>
    <cellStyle name="Normal 2 5 5 8 2 3" xfId="24671"/>
    <cellStyle name="Normal 2 5 5 8 3" xfId="7037"/>
    <cellStyle name="Normal 2 5 5 8 3 2" xfId="22006"/>
    <cellStyle name="Normal 2 5 5 8 4" xfId="16999"/>
    <cellStyle name="Normal 2 5 5 9" xfId="4135"/>
    <cellStyle name="Normal 2 5 5 9 2" xfId="12973"/>
    <cellStyle name="Normal 2 5 5 9 2 2" xfId="23224"/>
    <cellStyle name="Normal 2 5 5 9 3" xfId="9394"/>
    <cellStyle name="Normal 2 5 5 9 4" xfId="18217"/>
    <cellStyle name="Normal 2 5 5_Degree data" xfId="3871"/>
    <cellStyle name="Normal 2 5 6" xfId="182"/>
    <cellStyle name="Normal 2 5 6 10" xfId="7130"/>
    <cellStyle name="Normal 2 5 6 10 2" xfId="19639"/>
    <cellStyle name="Normal 2 5 6 11" xfId="15876"/>
    <cellStyle name="Normal 2 5 6 2" xfId="510"/>
    <cellStyle name="Normal 2 5 6 2 2" xfId="782"/>
    <cellStyle name="Normal 2 5 6 2 2 2" xfId="3268"/>
    <cellStyle name="Normal 2 5 6 2 2 2 2" xfId="12410"/>
    <cellStyle name="Normal 2 5 6 2 2 2 2 2" xfId="22629"/>
    <cellStyle name="Normal 2 5 6 2 2 2 3" xfId="8832"/>
    <cellStyle name="Normal 2 5 6 2 2 2 4" xfId="17622"/>
    <cellStyle name="Normal 2 5 6 2 2 3" xfId="4597"/>
    <cellStyle name="Normal 2 5 6 2 2 3 2" xfId="13435"/>
    <cellStyle name="Normal 2 5 6 2 2 3 2 2" xfId="23686"/>
    <cellStyle name="Normal 2 5 6 2 2 3 3" xfId="9856"/>
    <cellStyle name="Normal 2 5 6 2 2 3 4" xfId="18679"/>
    <cellStyle name="Normal 2 5 6 2 2 4" xfId="2377"/>
    <cellStyle name="Normal 2 5 6 2 2 4 2" xfId="11742"/>
    <cellStyle name="Normal 2 5 6 2 2 4 3" xfId="21746"/>
    <cellStyle name="Normal 2 5 6 2 2 5" xfId="6053"/>
    <cellStyle name="Normal 2 5 6 2 2 5 2" xfId="14880"/>
    <cellStyle name="Normal 2 5 6 2 2 5 3" xfId="25131"/>
    <cellStyle name="Normal 2 5 6 2 2 6" xfId="7497"/>
    <cellStyle name="Normal 2 5 6 2 2 6 2" xfId="20228"/>
    <cellStyle name="Normal 2 5 6 2 2 7" xfId="16739"/>
    <cellStyle name="Normal 2 5 6 2 3" xfId="1282"/>
    <cellStyle name="Normal 2 5 6 2 3 2" xfId="3711"/>
    <cellStyle name="Normal 2 5 6 2 3 2 2" xfId="12847"/>
    <cellStyle name="Normal 2 5 6 2 3 2 2 2" xfId="23066"/>
    <cellStyle name="Normal 2 5 6 2 3 2 3" xfId="9268"/>
    <cellStyle name="Normal 2 5 6 2 3 2 4" xfId="18059"/>
    <cellStyle name="Normal 2 5 6 2 3 3" xfId="4946"/>
    <cellStyle name="Normal 2 5 6 2 3 3 2" xfId="13783"/>
    <cellStyle name="Normal 2 5 6 2 3 3 2 2" xfId="24034"/>
    <cellStyle name="Normal 2 5 6 2 3 3 3" xfId="10204"/>
    <cellStyle name="Normal 2 5 6 2 3 3 4" xfId="19027"/>
    <cellStyle name="Normal 2 5 6 2 3 4" xfId="2105"/>
    <cellStyle name="Normal 2 5 6 2 3 4 2" xfId="11470"/>
    <cellStyle name="Normal 2 5 6 2 3 4 3" xfId="21474"/>
    <cellStyle name="Normal 2 5 6 2 3 5" xfId="6401"/>
    <cellStyle name="Normal 2 5 6 2 3 5 2" xfId="15228"/>
    <cellStyle name="Normal 2 5 6 2 3 5 3" xfId="25479"/>
    <cellStyle name="Normal 2 5 6 2 3 6" xfId="7847"/>
    <cellStyle name="Normal 2 5 6 2 3 6 2" xfId="20665"/>
    <cellStyle name="Normal 2 5 6 2 3 7" xfId="16467"/>
    <cellStyle name="Normal 2 5 6 2 4" xfId="2996"/>
    <cellStyle name="Normal 2 5 6 2 4 2" xfId="5374"/>
    <cellStyle name="Normal 2 5 6 2 4 2 2" xfId="14211"/>
    <cellStyle name="Normal 2 5 6 2 4 2 2 2" xfId="24462"/>
    <cellStyle name="Normal 2 5 6 2 4 2 3" xfId="10632"/>
    <cellStyle name="Normal 2 5 6 2 4 2 4" xfId="19455"/>
    <cellStyle name="Normal 2 5 6 2 4 3" xfId="6829"/>
    <cellStyle name="Normal 2 5 6 2 4 3 2" xfId="15656"/>
    <cellStyle name="Normal 2 5 6 2 4 3 3" xfId="25907"/>
    <cellStyle name="Normal 2 5 6 2 4 4" xfId="8275"/>
    <cellStyle name="Normal 2 5 6 2 4 4 2" xfId="22357"/>
    <cellStyle name="Normal 2 5 6 2 4 5" xfId="17350"/>
    <cellStyle name="Normal 2 5 6 2 5" xfId="4330"/>
    <cellStyle name="Normal 2 5 6 2 5 2" xfId="13168"/>
    <cellStyle name="Normal 2 5 6 2 5 2 2" xfId="23419"/>
    <cellStyle name="Normal 2 5 6 2 5 3" xfId="9589"/>
    <cellStyle name="Normal 2 5 6 2 5 4" xfId="18412"/>
    <cellStyle name="Normal 2 5 6 2 6" xfId="1602"/>
    <cellStyle name="Normal 2 5 6 2 6 2" xfId="10979"/>
    <cellStyle name="Normal 2 5 6 2 6 3" xfId="20983"/>
    <cellStyle name="Normal 2 5 6 2 7" xfId="5786"/>
    <cellStyle name="Normal 2 5 6 2 7 2" xfId="14613"/>
    <cellStyle name="Normal 2 5 6 2 7 3" xfId="24864"/>
    <cellStyle name="Normal 2 5 6 2 8" xfId="7230"/>
    <cellStyle name="Normal 2 5 6 2 8 2" xfId="19956"/>
    <cellStyle name="Normal 2 5 6 2 9" xfId="15976"/>
    <cellStyle name="Normal 2 5 6 2_Degree data" xfId="3473"/>
    <cellStyle name="Normal 2 5 6 3" xfId="410"/>
    <cellStyle name="Normal 2 5 6 3 2" xfId="2896"/>
    <cellStyle name="Normal 2 5 6 3 2 2" xfId="12184"/>
    <cellStyle name="Normal 2 5 6 3 2 2 2" xfId="22257"/>
    <cellStyle name="Normal 2 5 6 3 2 3" xfId="8523"/>
    <cellStyle name="Normal 2 5 6 3 2 4" xfId="17250"/>
    <cellStyle name="Normal 2 5 6 3 3" xfId="4596"/>
    <cellStyle name="Normal 2 5 6 3 3 2" xfId="13434"/>
    <cellStyle name="Normal 2 5 6 3 3 2 2" xfId="23685"/>
    <cellStyle name="Normal 2 5 6 3 3 3" xfId="9855"/>
    <cellStyle name="Normal 2 5 6 3 3 4" xfId="18678"/>
    <cellStyle name="Normal 2 5 6 3 4" xfId="2005"/>
    <cellStyle name="Normal 2 5 6 3 4 2" xfId="11370"/>
    <cellStyle name="Normal 2 5 6 3 4 3" xfId="21374"/>
    <cellStyle name="Normal 2 5 6 3 5" xfId="6052"/>
    <cellStyle name="Normal 2 5 6 3 5 2" xfId="14879"/>
    <cellStyle name="Normal 2 5 6 3 5 3" xfId="25130"/>
    <cellStyle name="Normal 2 5 6 3 6" xfId="7496"/>
    <cellStyle name="Normal 2 5 6 3 6 2" xfId="19856"/>
    <cellStyle name="Normal 2 5 6 3 7" xfId="16367"/>
    <cellStyle name="Normal 2 5 6 4" xfId="781"/>
    <cellStyle name="Normal 2 5 6 4 2" xfId="3267"/>
    <cellStyle name="Normal 2 5 6 4 2 2" xfId="12409"/>
    <cellStyle name="Normal 2 5 6 4 2 2 2" xfId="22628"/>
    <cellStyle name="Normal 2 5 6 4 2 3" xfId="8831"/>
    <cellStyle name="Normal 2 5 6 4 2 4" xfId="17621"/>
    <cellStyle name="Normal 2 5 6 4 3" xfId="4945"/>
    <cellStyle name="Normal 2 5 6 4 3 2" xfId="13782"/>
    <cellStyle name="Normal 2 5 6 4 3 2 2" xfId="24033"/>
    <cellStyle name="Normal 2 5 6 4 3 3" xfId="10203"/>
    <cellStyle name="Normal 2 5 6 4 3 4" xfId="19026"/>
    <cellStyle name="Normal 2 5 6 4 4" xfId="2376"/>
    <cellStyle name="Normal 2 5 6 4 4 2" xfId="11741"/>
    <cellStyle name="Normal 2 5 6 4 4 3" xfId="21745"/>
    <cellStyle name="Normal 2 5 6 4 5" xfId="6400"/>
    <cellStyle name="Normal 2 5 6 4 5 2" xfId="15227"/>
    <cellStyle name="Normal 2 5 6 4 5 3" xfId="25478"/>
    <cellStyle name="Normal 2 5 6 4 6" xfId="7846"/>
    <cellStyle name="Normal 2 5 6 4 6 2" xfId="20227"/>
    <cellStyle name="Normal 2 5 6 4 7" xfId="16738"/>
    <cellStyle name="Normal 2 5 6 5" xfId="1182"/>
    <cellStyle name="Normal 2 5 6 5 2" xfId="3611"/>
    <cellStyle name="Normal 2 5 6 5 2 2" xfId="12747"/>
    <cellStyle name="Normal 2 5 6 5 2 2 2" xfId="22966"/>
    <cellStyle name="Normal 2 5 6 5 2 3" xfId="9168"/>
    <cellStyle name="Normal 2 5 6 5 2 4" xfId="17959"/>
    <cellStyle name="Normal 2 5 6 5 3" xfId="5274"/>
    <cellStyle name="Normal 2 5 6 5 3 2" xfId="14111"/>
    <cellStyle name="Normal 2 5 6 5 3 2 2" xfId="24362"/>
    <cellStyle name="Normal 2 5 6 5 3 3" xfId="10532"/>
    <cellStyle name="Normal 2 5 6 5 3 4" xfId="19355"/>
    <cellStyle name="Normal 2 5 6 5 4" xfId="1784"/>
    <cellStyle name="Normal 2 5 6 5 4 2" xfId="11153"/>
    <cellStyle name="Normal 2 5 6 5 4 3" xfId="21157"/>
    <cellStyle name="Normal 2 5 6 5 5" xfId="6729"/>
    <cellStyle name="Normal 2 5 6 5 5 2" xfId="15556"/>
    <cellStyle name="Normal 2 5 6 5 5 3" xfId="25807"/>
    <cellStyle name="Normal 2 5 6 5 6" xfId="8175"/>
    <cellStyle name="Normal 2 5 6 5 6 2" xfId="20565"/>
    <cellStyle name="Normal 2 5 6 5 7" xfId="16150"/>
    <cellStyle name="Normal 2 5 6 6" xfId="2679"/>
    <cellStyle name="Normal 2 5 6 6 2" xfId="11996"/>
    <cellStyle name="Normal 2 5 6 6 2 2" xfId="22040"/>
    <cellStyle name="Normal 2 5 6 6 3" xfId="8412"/>
    <cellStyle name="Normal 2 5 6 6 4" xfId="17033"/>
    <cellStyle name="Normal 2 5 6 7" xfId="4230"/>
    <cellStyle name="Normal 2 5 6 7 2" xfId="13068"/>
    <cellStyle name="Normal 2 5 6 7 2 2" xfId="23319"/>
    <cellStyle name="Normal 2 5 6 7 3" xfId="9489"/>
    <cellStyle name="Normal 2 5 6 7 4" xfId="18312"/>
    <cellStyle name="Normal 2 5 6 8" xfId="1502"/>
    <cellStyle name="Normal 2 5 6 8 2" xfId="10879"/>
    <cellStyle name="Normal 2 5 6 8 3" xfId="20883"/>
    <cellStyle name="Normal 2 5 6 9" xfId="5686"/>
    <cellStyle name="Normal 2 5 6 9 2" xfId="14513"/>
    <cellStyle name="Normal 2 5 6 9 3" xfId="24764"/>
    <cellStyle name="Normal 2 5 6_Degree data" xfId="3893"/>
    <cellStyle name="Normal 2 5 7" xfId="235"/>
    <cellStyle name="Normal 2 5 7 10" xfId="7073"/>
    <cellStyle name="Normal 2 5 7 10 2" xfId="19687"/>
    <cellStyle name="Normal 2 5 7 11" xfId="15819"/>
    <cellStyle name="Normal 2 5 7 2" xfId="558"/>
    <cellStyle name="Normal 2 5 7 2 2" xfId="784"/>
    <cellStyle name="Normal 2 5 7 2 2 2" xfId="3270"/>
    <cellStyle name="Normal 2 5 7 2 2 2 2" xfId="12412"/>
    <cellStyle name="Normal 2 5 7 2 2 2 2 2" xfId="22631"/>
    <cellStyle name="Normal 2 5 7 2 2 2 3" xfId="8834"/>
    <cellStyle name="Normal 2 5 7 2 2 2 4" xfId="17624"/>
    <cellStyle name="Normal 2 5 7 2 2 3" xfId="4599"/>
    <cellStyle name="Normal 2 5 7 2 2 3 2" xfId="13437"/>
    <cellStyle name="Normal 2 5 7 2 2 3 2 2" xfId="23688"/>
    <cellStyle name="Normal 2 5 7 2 2 3 3" xfId="9858"/>
    <cellStyle name="Normal 2 5 7 2 2 3 4" xfId="18681"/>
    <cellStyle name="Normal 2 5 7 2 2 4" xfId="2379"/>
    <cellStyle name="Normal 2 5 7 2 2 4 2" xfId="11744"/>
    <cellStyle name="Normal 2 5 7 2 2 4 3" xfId="21748"/>
    <cellStyle name="Normal 2 5 7 2 2 5" xfId="6055"/>
    <cellStyle name="Normal 2 5 7 2 2 5 2" xfId="14882"/>
    <cellStyle name="Normal 2 5 7 2 2 5 3" xfId="25133"/>
    <cellStyle name="Normal 2 5 7 2 2 6" xfId="7499"/>
    <cellStyle name="Normal 2 5 7 2 2 6 2" xfId="20230"/>
    <cellStyle name="Normal 2 5 7 2 2 7" xfId="16741"/>
    <cellStyle name="Normal 2 5 7 2 3" xfId="1330"/>
    <cellStyle name="Normal 2 5 7 2 3 2" xfId="3759"/>
    <cellStyle name="Normal 2 5 7 2 3 2 2" xfId="12895"/>
    <cellStyle name="Normal 2 5 7 2 3 2 2 2" xfId="23114"/>
    <cellStyle name="Normal 2 5 7 2 3 2 3" xfId="9316"/>
    <cellStyle name="Normal 2 5 7 2 3 2 4" xfId="18107"/>
    <cellStyle name="Normal 2 5 7 2 3 3" xfId="4948"/>
    <cellStyle name="Normal 2 5 7 2 3 3 2" xfId="13785"/>
    <cellStyle name="Normal 2 5 7 2 3 3 2 2" xfId="24036"/>
    <cellStyle name="Normal 2 5 7 2 3 3 3" xfId="10206"/>
    <cellStyle name="Normal 2 5 7 2 3 3 4" xfId="19029"/>
    <cellStyle name="Normal 2 5 7 2 3 4" xfId="2153"/>
    <cellStyle name="Normal 2 5 7 2 3 4 2" xfId="11518"/>
    <cellStyle name="Normal 2 5 7 2 3 4 3" xfId="21522"/>
    <cellStyle name="Normal 2 5 7 2 3 5" xfId="6403"/>
    <cellStyle name="Normal 2 5 7 2 3 5 2" xfId="15230"/>
    <cellStyle name="Normal 2 5 7 2 3 5 3" xfId="25481"/>
    <cellStyle name="Normal 2 5 7 2 3 6" xfId="7849"/>
    <cellStyle name="Normal 2 5 7 2 3 6 2" xfId="20713"/>
    <cellStyle name="Normal 2 5 7 2 3 7" xfId="16515"/>
    <cellStyle name="Normal 2 5 7 2 4" xfId="3044"/>
    <cellStyle name="Normal 2 5 7 2 4 2" xfId="5422"/>
    <cellStyle name="Normal 2 5 7 2 4 2 2" xfId="14259"/>
    <cellStyle name="Normal 2 5 7 2 4 2 2 2" xfId="24510"/>
    <cellStyle name="Normal 2 5 7 2 4 2 3" xfId="10680"/>
    <cellStyle name="Normal 2 5 7 2 4 2 4" xfId="19503"/>
    <cellStyle name="Normal 2 5 7 2 4 3" xfId="6877"/>
    <cellStyle name="Normal 2 5 7 2 4 3 2" xfId="15704"/>
    <cellStyle name="Normal 2 5 7 2 4 3 3" xfId="25955"/>
    <cellStyle name="Normal 2 5 7 2 4 4" xfId="8323"/>
    <cellStyle name="Normal 2 5 7 2 4 4 2" xfId="22405"/>
    <cellStyle name="Normal 2 5 7 2 4 5" xfId="17398"/>
    <cellStyle name="Normal 2 5 7 2 5" xfId="4378"/>
    <cellStyle name="Normal 2 5 7 2 5 2" xfId="13216"/>
    <cellStyle name="Normal 2 5 7 2 5 2 2" xfId="23467"/>
    <cellStyle name="Normal 2 5 7 2 5 3" xfId="9637"/>
    <cellStyle name="Normal 2 5 7 2 5 4" xfId="18460"/>
    <cellStyle name="Normal 2 5 7 2 6" xfId="1650"/>
    <cellStyle name="Normal 2 5 7 2 6 2" xfId="11027"/>
    <cellStyle name="Normal 2 5 7 2 6 3" xfId="21031"/>
    <cellStyle name="Normal 2 5 7 2 7" xfId="5834"/>
    <cellStyle name="Normal 2 5 7 2 7 2" xfId="14661"/>
    <cellStyle name="Normal 2 5 7 2 7 3" xfId="24912"/>
    <cellStyle name="Normal 2 5 7 2 8" xfId="7278"/>
    <cellStyle name="Normal 2 5 7 2 8 2" xfId="20004"/>
    <cellStyle name="Normal 2 5 7 2 9" xfId="16024"/>
    <cellStyle name="Normal 2 5 7 2_Degree data" xfId="3925"/>
    <cellStyle name="Normal 2 5 7 3" xfId="353"/>
    <cellStyle name="Normal 2 5 7 3 2" xfId="2839"/>
    <cellStyle name="Normal 2 5 7 3 2 2" xfId="12127"/>
    <cellStyle name="Normal 2 5 7 3 2 2 2" xfId="22200"/>
    <cellStyle name="Normal 2 5 7 3 2 3" xfId="8417"/>
    <cellStyle name="Normal 2 5 7 3 2 4" xfId="17193"/>
    <cellStyle name="Normal 2 5 7 3 3" xfId="4598"/>
    <cellStyle name="Normal 2 5 7 3 3 2" xfId="13436"/>
    <cellStyle name="Normal 2 5 7 3 3 2 2" xfId="23687"/>
    <cellStyle name="Normal 2 5 7 3 3 3" xfId="9857"/>
    <cellStyle name="Normal 2 5 7 3 3 4" xfId="18680"/>
    <cellStyle name="Normal 2 5 7 3 4" xfId="1948"/>
    <cellStyle name="Normal 2 5 7 3 4 2" xfId="11313"/>
    <cellStyle name="Normal 2 5 7 3 4 3" xfId="21317"/>
    <cellStyle name="Normal 2 5 7 3 5" xfId="6054"/>
    <cellStyle name="Normal 2 5 7 3 5 2" xfId="14881"/>
    <cellStyle name="Normal 2 5 7 3 5 3" xfId="25132"/>
    <cellStyle name="Normal 2 5 7 3 6" xfId="7498"/>
    <cellStyle name="Normal 2 5 7 3 6 2" xfId="19799"/>
    <cellStyle name="Normal 2 5 7 3 7" xfId="16310"/>
    <cellStyle name="Normal 2 5 7 4" xfId="783"/>
    <cellStyle name="Normal 2 5 7 4 2" xfId="3269"/>
    <cellStyle name="Normal 2 5 7 4 2 2" xfId="12411"/>
    <cellStyle name="Normal 2 5 7 4 2 2 2" xfId="22630"/>
    <cellStyle name="Normal 2 5 7 4 2 3" xfId="8833"/>
    <cellStyle name="Normal 2 5 7 4 2 4" xfId="17623"/>
    <cellStyle name="Normal 2 5 7 4 3" xfId="4947"/>
    <cellStyle name="Normal 2 5 7 4 3 2" xfId="13784"/>
    <cellStyle name="Normal 2 5 7 4 3 2 2" xfId="24035"/>
    <cellStyle name="Normal 2 5 7 4 3 3" xfId="10205"/>
    <cellStyle name="Normal 2 5 7 4 3 4" xfId="19028"/>
    <cellStyle name="Normal 2 5 7 4 4" xfId="2378"/>
    <cellStyle name="Normal 2 5 7 4 4 2" xfId="11743"/>
    <cellStyle name="Normal 2 5 7 4 4 3" xfId="21747"/>
    <cellStyle name="Normal 2 5 7 4 5" xfId="6402"/>
    <cellStyle name="Normal 2 5 7 4 5 2" xfId="15229"/>
    <cellStyle name="Normal 2 5 7 4 5 3" xfId="25480"/>
    <cellStyle name="Normal 2 5 7 4 6" xfId="7848"/>
    <cellStyle name="Normal 2 5 7 4 6 2" xfId="20229"/>
    <cellStyle name="Normal 2 5 7 4 7" xfId="16740"/>
    <cellStyle name="Normal 2 5 7 5" xfId="1125"/>
    <cellStyle name="Normal 2 5 7 5 2" xfId="3554"/>
    <cellStyle name="Normal 2 5 7 5 2 2" xfId="12690"/>
    <cellStyle name="Normal 2 5 7 5 2 2 2" xfId="22909"/>
    <cellStyle name="Normal 2 5 7 5 2 3" xfId="9111"/>
    <cellStyle name="Normal 2 5 7 5 2 4" xfId="17902"/>
    <cellStyle name="Normal 2 5 7 5 3" xfId="5217"/>
    <cellStyle name="Normal 2 5 7 5 3 2" xfId="14054"/>
    <cellStyle name="Normal 2 5 7 5 3 2 2" xfId="24305"/>
    <cellStyle name="Normal 2 5 7 5 3 3" xfId="10475"/>
    <cellStyle name="Normal 2 5 7 5 3 4" xfId="19298"/>
    <cellStyle name="Normal 2 5 7 5 4" xfId="1833"/>
    <cellStyle name="Normal 2 5 7 5 4 2" xfId="11201"/>
    <cellStyle name="Normal 2 5 7 5 4 3" xfId="21205"/>
    <cellStyle name="Normal 2 5 7 5 5" xfId="6672"/>
    <cellStyle name="Normal 2 5 7 5 5 2" xfId="15499"/>
    <cellStyle name="Normal 2 5 7 5 5 3" xfId="25750"/>
    <cellStyle name="Normal 2 5 7 5 6" xfId="8118"/>
    <cellStyle name="Normal 2 5 7 5 6 2" xfId="20508"/>
    <cellStyle name="Normal 2 5 7 5 7" xfId="16198"/>
    <cellStyle name="Normal 2 5 7 6" xfId="2727"/>
    <cellStyle name="Normal 2 5 7 6 2" xfId="12044"/>
    <cellStyle name="Normal 2 5 7 6 2 2" xfId="22088"/>
    <cellStyle name="Normal 2 5 7 6 3" xfId="8556"/>
    <cellStyle name="Normal 2 5 7 6 4" xfId="17081"/>
    <cellStyle name="Normal 2 5 7 7" xfId="4173"/>
    <cellStyle name="Normal 2 5 7 7 2" xfId="13011"/>
    <cellStyle name="Normal 2 5 7 7 2 2" xfId="23262"/>
    <cellStyle name="Normal 2 5 7 7 3" xfId="9432"/>
    <cellStyle name="Normal 2 5 7 7 4" xfId="18255"/>
    <cellStyle name="Normal 2 5 7 8" xfId="1445"/>
    <cellStyle name="Normal 2 5 7 8 2" xfId="10822"/>
    <cellStyle name="Normal 2 5 7 8 3" xfId="20826"/>
    <cellStyle name="Normal 2 5 7 9" xfId="5629"/>
    <cellStyle name="Normal 2 5 7 9 2" xfId="14456"/>
    <cellStyle name="Normal 2 5 7 9 3" xfId="24707"/>
    <cellStyle name="Normal 2 5 7_Degree data" xfId="3882"/>
    <cellStyle name="Normal 2 5 8" xfId="292"/>
    <cellStyle name="Normal 2 5 8 10" xfId="16080"/>
    <cellStyle name="Normal 2 5 8 2" xfId="614"/>
    <cellStyle name="Normal 2 5 8 2 2" xfId="3100"/>
    <cellStyle name="Normal 2 5 8 2 2 2" xfId="12243"/>
    <cellStyle name="Normal 2 5 8 2 2 2 2" xfId="22461"/>
    <cellStyle name="Normal 2 5 8 2 2 3" xfId="8665"/>
    <cellStyle name="Normal 2 5 8 2 2 4" xfId="17454"/>
    <cellStyle name="Normal 2 5 8 2 3" xfId="4600"/>
    <cellStyle name="Normal 2 5 8 2 3 2" xfId="13438"/>
    <cellStyle name="Normal 2 5 8 2 3 2 2" xfId="23689"/>
    <cellStyle name="Normal 2 5 8 2 3 3" xfId="9859"/>
    <cellStyle name="Normal 2 5 8 2 3 4" xfId="18682"/>
    <cellStyle name="Normal 2 5 8 2 4" xfId="2209"/>
    <cellStyle name="Normal 2 5 8 2 4 2" xfId="11574"/>
    <cellStyle name="Normal 2 5 8 2 4 3" xfId="21578"/>
    <cellStyle name="Normal 2 5 8 2 5" xfId="6056"/>
    <cellStyle name="Normal 2 5 8 2 5 2" xfId="14883"/>
    <cellStyle name="Normal 2 5 8 2 5 3" xfId="25134"/>
    <cellStyle name="Normal 2 5 8 2 6" xfId="7500"/>
    <cellStyle name="Normal 2 5 8 2 6 2" xfId="20060"/>
    <cellStyle name="Normal 2 5 8 2 7" xfId="16571"/>
    <cellStyle name="Normal 2 5 8 3" xfId="785"/>
    <cellStyle name="Normal 2 5 8 3 2" xfId="3271"/>
    <cellStyle name="Normal 2 5 8 3 2 2" xfId="12413"/>
    <cellStyle name="Normal 2 5 8 3 2 2 2" xfId="22632"/>
    <cellStyle name="Normal 2 5 8 3 2 3" xfId="8835"/>
    <cellStyle name="Normal 2 5 8 3 2 4" xfId="17625"/>
    <cellStyle name="Normal 2 5 8 3 3" xfId="4949"/>
    <cellStyle name="Normal 2 5 8 3 3 2" xfId="13786"/>
    <cellStyle name="Normal 2 5 8 3 3 2 2" xfId="24037"/>
    <cellStyle name="Normal 2 5 8 3 3 3" xfId="10207"/>
    <cellStyle name="Normal 2 5 8 3 3 4" xfId="19030"/>
    <cellStyle name="Normal 2 5 8 3 4" xfId="2380"/>
    <cellStyle name="Normal 2 5 8 3 4 2" xfId="11745"/>
    <cellStyle name="Normal 2 5 8 3 4 3" xfId="21749"/>
    <cellStyle name="Normal 2 5 8 3 5" xfId="6404"/>
    <cellStyle name="Normal 2 5 8 3 5 2" xfId="15231"/>
    <cellStyle name="Normal 2 5 8 3 5 3" xfId="25482"/>
    <cellStyle name="Normal 2 5 8 3 6" xfId="7850"/>
    <cellStyle name="Normal 2 5 8 3 6 2" xfId="20231"/>
    <cellStyle name="Normal 2 5 8 3 7" xfId="16742"/>
    <cellStyle name="Normal 2 5 8 4" xfId="1386"/>
    <cellStyle name="Normal 2 5 8 4 2" xfId="3815"/>
    <cellStyle name="Normal 2 5 8 4 2 2" xfId="12951"/>
    <cellStyle name="Normal 2 5 8 4 2 2 2" xfId="23170"/>
    <cellStyle name="Normal 2 5 8 4 2 3" xfId="9372"/>
    <cellStyle name="Normal 2 5 8 4 2 4" xfId="18163"/>
    <cellStyle name="Normal 2 5 8 4 3" xfId="5478"/>
    <cellStyle name="Normal 2 5 8 4 3 2" xfId="14315"/>
    <cellStyle name="Normal 2 5 8 4 3 2 2" xfId="24566"/>
    <cellStyle name="Normal 2 5 8 4 3 3" xfId="10736"/>
    <cellStyle name="Normal 2 5 8 4 3 4" xfId="19559"/>
    <cellStyle name="Normal 2 5 8 4 4" xfId="1889"/>
    <cellStyle name="Normal 2 5 8 4 4 2" xfId="11257"/>
    <cellStyle name="Normal 2 5 8 4 4 3" xfId="21261"/>
    <cellStyle name="Normal 2 5 8 4 5" xfId="6933"/>
    <cellStyle name="Normal 2 5 8 4 5 2" xfId="15760"/>
    <cellStyle name="Normal 2 5 8 4 5 3" xfId="26011"/>
    <cellStyle name="Normal 2 5 8 4 6" xfId="8379"/>
    <cellStyle name="Normal 2 5 8 4 6 2" xfId="20769"/>
    <cellStyle name="Normal 2 5 8 4 7" xfId="16254"/>
    <cellStyle name="Normal 2 5 8 5" xfId="2783"/>
    <cellStyle name="Normal 2 5 8 5 2" xfId="12100"/>
    <cellStyle name="Normal 2 5 8 5 2 2" xfId="22144"/>
    <cellStyle name="Normal 2 5 8 5 3" xfId="8627"/>
    <cellStyle name="Normal 2 5 8 5 4" xfId="17137"/>
    <cellStyle name="Normal 2 5 8 6" xfId="4434"/>
    <cellStyle name="Normal 2 5 8 6 2" xfId="13272"/>
    <cellStyle name="Normal 2 5 8 6 2 2" xfId="23523"/>
    <cellStyle name="Normal 2 5 8 6 3" xfId="9693"/>
    <cellStyle name="Normal 2 5 8 6 4" xfId="18516"/>
    <cellStyle name="Normal 2 5 8 7" xfId="1706"/>
    <cellStyle name="Normal 2 5 8 7 2" xfId="11083"/>
    <cellStyle name="Normal 2 5 8 7 3" xfId="21087"/>
    <cellStyle name="Normal 2 5 8 8" xfId="5890"/>
    <cellStyle name="Normal 2 5 8 8 2" xfId="14717"/>
    <cellStyle name="Normal 2 5 8 8 3" xfId="24968"/>
    <cellStyle name="Normal 2 5 8 9" xfId="7334"/>
    <cellStyle name="Normal 2 5 8 9 2" xfId="19743"/>
    <cellStyle name="Normal 2 5 8_Degree data" xfId="3468"/>
    <cellStyle name="Normal 2 5 9" xfId="453"/>
    <cellStyle name="Normal 2 5 9 2" xfId="786"/>
    <cellStyle name="Normal 2 5 9 2 2" xfId="3272"/>
    <cellStyle name="Normal 2 5 9 2 2 2" xfId="12414"/>
    <cellStyle name="Normal 2 5 9 2 2 2 2" xfId="22633"/>
    <cellStyle name="Normal 2 5 9 2 2 3" xfId="8836"/>
    <cellStyle name="Normal 2 5 9 2 2 4" xfId="17626"/>
    <cellStyle name="Normal 2 5 9 2 3" xfId="4601"/>
    <cellStyle name="Normal 2 5 9 2 3 2" xfId="13439"/>
    <cellStyle name="Normal 2 5 9 2 3 2 2" xfId="23690"/>
    <cellStyle name="Normal 2 5 9 2 3 3" xfId="9860"/>
    <cellStyle name="Normal 2 5 9 2 3 4" xfId="18683"/>
    <cellStyle name="Normal 2 5 9 2 4" xfId="2381"/>
    <cellStyle name="Normal 2 5 9 2 4 2" xfId="11746"/>
    <cellStyle name="Normal 2 5 9 2 4 3" xfId="21750"/>
    <cellStyle name="Normal 2 5 9 2 5" xfId="6057"/>
    <cellStyle name="Normal 2 5 9 2 5 2" xfId="14884"/>
    <cellStyle name="Normal 2 5 9 2 5 3" xfId="25135"/>
    <cellStyle name="Normal 2 5 9 2 6" xfId="7501"/>
    <cellStyle name="Normal 2 5 9 2 6 2" xfId="20232"/>
    <cellStyle name="Normal 2 5 9 2 7" xfId="16743"/>
    <cellStyle name="Normal 2 5 9 3" xfId="1225"/>
    <cellStyle name="Normal 2 5 9 3 2" xfId="3654"/>
    <cellStyle name="Normal 2 5 9 3 2 2" xfId="12790"/>
    <cellStyle name="Normal 2 5 9 3 2 2 2" xfId="23009"/>
    <cellStyle name="Normal 2 5 9 3 2 3" xfId="9211"/>
    <cellStyle name="Normal 2 5 9 3 2 4" xfId="18002"/>
    <cellStyle name="Normal 2 5 9 3 3" xfId="4950"/>
    <cellStyle name="Normal 2 5 9 3 3 2" xfId="13787"/>
    <cellStyle name="Normal 2 5 9 3 3 2 2" xfId="24038"/>
    <cellStyle name="Normal 2 5 9 3 3 3" xfId="10208"/>
    <cellStyle name="Normal 2 5 9 3 3 4" xfId="19031"/>
    <cellStyle name="Normal 2 5 9 3 4" xfId="2048"/>
    <cellStyle name="Normal 2 5 9 3 4 2" xfId="11413"/>
    <cellStyle name="Normal 2 5 9 3 4 3" xfId="21417"/>
    <cellStyle name="Normal 2 5 9 3 5" xfId="6405"/>
    <cellStyle name="Normal 2 5 9 3 5 2" xfId="15232"/>
    <cellStyle name="Normal 2 5 9 3 5 3" xfId="25483"/>
    <cellStyle name="Normal 2 5 9 3 6" xfId="7851"/>
    <cellStyle name="Normal 2 5 9 3 6 2" xfId="20608"/>
    <cellStyle name="Normal 2 5 9 3 7" xfId="16410"/>
    <cellStyle name="Normal 2 5 9 4" xfId="2939"/>
    <cellStyle name="Normal 2 5 9 4 2" xfId="5317"/>
    <cellStyle name="Normal 2 5 9 4 2 2" xfId="14154"/>
    <cellStyle name="Normal 2 5 9 4 2 2 2" xfId="24405"/>
    <cellStyle name="Normal 2 5 9 4 2 3" xfId="10575"/>
    <cellStyle name="Normal 2 5 9 4 2 4" xfId="19398"/>
    <cellStyle name="Normal 2 5 9 4 3" xfId="6772"/>
    <cellStyle name="Normal 2 5 9 4 3 2" xfId="15599"/>
    <cellStyle name="Normal 2 5 9 4 3 3" xfId="25850"/>
    <cellStyle name="Normal 2 5 9 4 4" xfId="8218"/>
    <cellStyle name="Normal 2 5 9 4 4 2" xfId="22300"/>
    <cellStyle name="Normal 2 5 9 4 5" xfId="17293"/>
    <cellStyle name="Normal 2 5 9 5" xfId="4273"/>
    <cellStyle name="Normal 2 5 9 5 2" xfId="13111"/>
    <cellStyle name="Normal 2 5 9 5 2 2" xfId="23362"/>
    <cellStyle name="Normal 2 5 9 5 3" xfId="9532"/>
    <cellStyle name="Normal 2 5 9 5 4" xfId="18355"/>
    <cellStyle name="Normal 2 5 9 6" xfId="1545"/>
    <cellStyle name="Normal 2 5 9 6 2" xfId="10922"/>
    <cellStyle name="Normal 2 5 9 6 3" xfId="20926"/>
    <cellStyle name="Normal 2 5 9 7" xfId="5729"/>
    <cellStyle name="Normal 2 5 9 7 2" xfId="14556"/>
    <cellStyle name="Normal 2 5 9 7 3" xfId="24807"/>
    <cellStyle name="Normal 2 5 9 8" xfId="7173"/>
    <cellStyle name="Normal 2 5 9 8 2" xfId="19899"/>
    <cellStyle name="Normal 2 5 9 9" xfId="15919"/>
    <cellStyle name="Normal 2 5 9_Degree data" xfId="3833"/>
    <cellStyle name="Normal 2 5_Degree data" xfId="3932"/>
    <cellStyle name="Normal 2 6" xfId="296"/>
    <cellStyle name="Normal 2 6 2" xfId="787"/>
    <cellStyle name="Normal 2 6 3" xfId="1892"/>
    <cellStyle name="Normal 2 6_Degree data" xfId="3866"/>
    <cellStyle name="Normal 2 7" xfId="1029"/>
    <cellStyle name="Normal 20" xfId="106"/>
    <cellStyle name="Normal 200" xfId="26039"/>
    <cellStyle name="Normal 200 2" xfId="26045"/>
    <cellStyle name="Normal 201" xfId="26040"/>
    <cellStyle name="Normal 202" xfId="26041"/>
    <cellStyle name="Normal 202 2" xfId="26044"/>
    <cellStyle name="Normal 203" xfId="26042"/>
    <cellStyle name="Normal 21" xfId="107"/>
    <cellStyle name="Normal 22" xfId="108"/>
    <cellStyle name="Normal 23" xfId="109"/>
    <cellStyle name="Normal 24" xfId="17"/>
    <cellStyle name="Normal 25" xfId="95"/>
    <cellStyle name="Normal 26" xfId="96"/>
    <cellStyle name="Normal 27" xfId="73"/>
    <cellStyle name="Normal 28" xfId="74"/>
    <cellStyle name="Normal 29" xfId="75"/>
    <cellStyle name="Normal 3" xfId="2"/>
    <cellStyle name="Normal 3 2" xfId="43"/>
    <cellStyle name="Normal 3 2 2" xfId="299"/>
    <cellStyle name="Normal 3 2 2 10" xfId="16084"/>
    <cellStyle name="Normal 3 2 2 2" xfId="618"/>
    <cellStyle name="Normal 3 2 2 2 2" xfId="3104"/>
    <cellStyle name="Normal 3 2 2 2 2 2" xfId="12247"/>
    <cellStyle name="Normal 3 2 2 2 2 2 2" xfId="22465"/>
    <cellStyle name="Normal 3 2 2 2 2 3" xfId="8669"/>
    <cellStyle name="Normal 3 2 2 2 2 4" xfId="17458"/>
    <cellStyle name="Normal 3 2 2 2 3" xfId="4602"/>
    <cellStyle name="Normal 3 2 2 2 3 2" xfId="13440"/>
    <cellStyle name="Normal 3 2 2 2 3 2 2" xfId="23691"/>
    <cellStyle name="Normal 3 2 2 2 3 3" xfId="9861"/>
    <cellStyle name="Normal 3 2 2 2 3 4" xfId="18684"/>
    <cellStyle name="Normal 3 2 2 2 4" xfId="2213"/>
    <cellStyle name="Normal 3 2 2 2 4 2" xfId="11578"/>
    <cellStyle name="Normal 3 2 2 2 4 3" xfId="21582"/>
    <cellStyle name="Normal 3 2 2 2 5" xfId="6058"/>
    <cellStyle name="Normal 3 2 2 2 5 2" xfId="14885"/>
    <cellStyle name="Normal 3 2 2 2 5 3" xfId="25136"/>
    <cellStyle name="Normal 3 2 2 2 6" xfId="7503"/>
    <cellStyle name="Normal 3 2 2 2 6 2" xfId="20064"/>
    <cellStyle name="Normal 3 2 2 2 7" xfId="16575"/>
    <cellStyle name="Normal 3 2 2 3" xfId="788"/>
    <cellStyle name="Normal 3 2 2 3 2" xfId="3273"/>
    <cellStyle name="Normal 3 2 2 3 2 2" xfId="12415"/>
    <cellStyle name="Normal 3 2 2 3 2 2 2" xfId="22634"/>
    <cellStyle name="Normal 3 2 2 3 2 3" xfId="8837"/>
    <cellStyle name="Normal 3 2 2 3 2 4" xfId="17627"/>
    <cellStyle name="Normal 3 2 2 3 3" xfId="4951"/>
    <cellStyle name="Normal 3 2 2 3 3 2" xfId="13788"/>
    <cellStyle name="Normal 3 2 2 3 3 2 2" xfId="24039"/>
    <cellStyle name="Normal 3 2 2 3 3 3" xfId="10209"/>
    <cellStyle name="Normal 3 2 2 3 3 4" xfId="19032"/>
    <cellStyle name="Normal 3 2 2 3 4" xfId="2382"/>
    <cellStyle name="Normal 3 2 2 3 4 2" xfId="11747"/>
    <cellStyle name="Normal 3 2 2 3 4 3" xfId="21751"/>
    <cellStyle name="Normal 3 2 2 3 5" xfId="6406"/>
    <cellStyle name="Normal 3 2 2 3 5 2" xfId="15233"/>
    <cellStyle name="Normal 3 2 2 3 5 3" xfId="25484"/>
    <cellStyle name="Normal 3 2 2 3 6" xfId="7852"/>
    <cellStyle name="Normal 3 2 2 3 6 2" xfId="20233"/>
    <cellStyle name="Normal 3 2 2 3 7" xfId="16744"/>
    <cellStyle name="Normal 3 2 2 4" xfId="1390"/>
    <cellStyle name="Normal 3 2 2 4 2" xfId="3819"/>
    <cellStyle name="Normal 3 2 2 4 2 2" xfId="12955"/>
    <cellStyle name="Normal 3 2 2 4 2 2 2" xfId="23174"/>
    <cellStyle name="Normal 3 2 2 4 2 3" xfId="9376"/>
    <cellStyle name="Normal 3 2 2 4 2 4" xfId="18167"/>
    <cellStyle name="Normal 3 2 2 4 3" xfId="5482"/>
    <cellStyle name="Normal 3 2 2 4 3 2" xfId="14319"/>
    <cellStyle name="Normal 3 2 2 4 3 2 2" xfId="24570"/>
    <cellStyle name="Normal 3 2 2 4 3 3" xfId="10740"/>
    <cellStyle name="Normal 3 2 2 4 3 4" xfId="19563"/>
    <cellStyle name="Normal 3 2 2 4 4" xfId="1894"/>
    <cellStyle name="Normal 3 2 2 4 4 2" xfId="11261"/>
    <cellStyle name="Normal 3 2 2 4 4 3" xfId="21265"/>
    <cellStyle name="Normal 3 2 2 4 5" xfId="6937"/>
    <cellStyle name="Normal 3 2 2 4 5 2" xfId="15764"/>
    <cellStyle name="Normal 3 2 2 4 5 3" xfId="26015"/>
    <cellStyle name="Normal 3 2 2 4 6" xfId="8383"/>
    <cellStyle name="Normal 3 2 2 4 6 2" xfId="20773"/>
    <cellStyle name="Normal 3 2 2 4 7" xfId="16258"/>
    <cellStyle name="Normal 3 2 2 5" xfId="2787"/>
    <cellStyle name="Normal 3 2 2 5 2" xfId="12104"/>
    <cellStyle name="Normal 3 2 2 5 2 2" xfId="22148"/>
    <cellStyle name="Normal 3 2 2 5 3" xfId="8410"/>
    <cellStyle name="Normal 3 2 2 5 4" xfId="17141"/>
    <cellStyle name="Normal 3 2 2 6" xfId="4438"/>
    <cellStyle name="Normal 3 2 2 6 2" xfId="13276"/>
    <cellStyle name="Normal 3 2 2 6 2 2" xfId="23527"/>
    <cellStyle name="Normal 3 2 2 6 3" xfId="9697"/>
    <cellStyle name="Normal 3 2 2 6 4" xfId="18520"/>
    <cellStyle name="Normal 3 2 2 7" xfId="1710"/>
    <cellStyle name="Normal 3 2 2 7 2" xfId="11087"/>
    <cellStyle name="Normal 3 2 2 7 3" xfId="21091"/>
    <cellStyle name="Normal 3 2 2 8" xfId="5894"/>
    <cellStyle name="Normal 3 2 2 8 2" xfId="14721"/>
    <cellStyle name="Normal 3 2 2 8 3" xfId="24972"/>
    <cellStyle name="Normal 3 2 2 9" xfId="7338"/>
    <cellStyle name="Normal 3 2 2 9 2" xfId="19747"/>
    <cellStyle name="Normal 3 2 2_Degree data" xfId="2610"/>
    <cellStyle name="Normal 3 3" xfId="155"/>
    <cellStyle name="Normal 30" xfId="76"/>
    <cellStyle name="Normal 31" xfId="77"/>
    <cellStyle name="Normal 32" xfId="78"/>
    <cellStyle name="Normal 33" xfId="79"/>
    <cellStyle name="Normal 34" xfId="80"/>
    <cellStyle name="Normal 35" xfId="81"/>
    <cellStyle name="Normal 36" xfId="82"/>
    <cellStyle name="Normal 37" xfId="83"/>
    <cellStyle name="Normal 38" xfId="18"/>
    <cellStyle name="Normal 39" xfId="84"/>
    <cellStyle name="Normal 4" xfId="28"/>
    <cellStyle name="Normal 4 2" xfId="115"/>
    <cellStyle name="Normal 4 2 2" xfId="298"/>
    <cellStyle name="Normal 4 3" xfId="29"/>
    <cellStyle name="Normal 4 4" xfId="293"/>
    <cellStyle name="Normal 4 4 10" xfId="16081"/>
    <cellStyle name="Normal 4 4 2" xfId="615"/>
    <cellStyle name="Normal 4 4 2 2" xfId="3101"/>
    <cellStyle name="Normal 4 4 2 2 2" xfId="12244"/>
    <cellStyle name="Normal 4 4 2 2 2 2" xfId="22462"/>
    <cellStyle name="Normal 4 4 2 2 3" xfId="8666"/>
    <cellStyle name="Normal 4 4 2 2 4" xfId="17455"/>
    <cellStyle name="Normal 4 4 2 3" xfId="4603"/>
    <cellStyle name="Normal 4 4 2 3 2" xfId="13441"/>
    <cellStyle name="Normal 4 4 2 3 2 2" xfId="23692"/>
    <cellStyle name="Normal 4 4 2 3 3" xfId="9862"/>
    <cellStyle name="Normal 4 4 2 3 4" xfId="18685"/>
    <cellStyle name="Normal 4 4 2 4" xfId="2210"/>
    <cellStyle name="Normal 4 4 2 4 2" xfId="11575"/>
    <cellStyle name="Normal 4 4 2 4 3" xfId="21579"/>
    <cellStyle name="Normal 4 4 2 5" xfId="6059"/>
    <cellStyle name="Normal 4 4 2 5 2" xfId="14886"/>
    <cellStyle name="Normal 4 4 2 5 3" xfId="25137"/>
    <cellStyle name="Normal 4 4 2 6" xfId="7504"/>
    <cellStyle name="Normal 4 4 2 6 2" xfId="20061"/>
    <cellStyle name="Normal 4 4 2 7" xfId="16572"/>
    <cellStyle name="Normal 4 4 3" xfId="789"/>
    <cellStyle name="Normal 4 4 3 2" xfId="3274"/>
    <cellStyle name="Normal 4 4 3 2 2" xfId="12416"/>
    <cellStyle name="Normal 4 4 3 2 2 2" xfId="22635"/>
    <cellStyle name="Normal 4 4 3 2 3" xfId="8838"/>
    <cellStyle name="Normal 4 4 3 2 4" xfId="17628"/>
    <cellStyle name="Normal 4 4 3 3" xfId="4952"/>
    <cellStyle name="Normal 4 4 3 3 2" xfId="13789"/>
    <cellStyle name="Normal 4 4 3 3 2 2" xfId="24040"/>
    <cellStyle name="Normal 4 4 3 3 3" xfId="10210"/>
    <cellStyle name="Normal 4 4 3 3 4" xfId="19033"/>
    <cellStyle name="Normal 4 4 3 4" xfId="2383"/>
    <cellStyle name="Normal 4 4 3 4 2" xfId="11748"/>
    <cellStyle name="Normal 4 4 3 4 3" xfId="21752"/>
    <cellStyle name="Normal 4 4 3 5" xfId="6407"/>
    <cellStyle name="Normal 4 4 3 5 2" xfId="15234"/>
    <cellStyle name="Normal 4 4 3 5 3" xfId="25485"/>
    <cellStyle name="Normal 4 4 3 6" xfId="7853"/>
    <cellStyle name="Normal 4 4 3 6 2" xfId="20234"/>
    <cellStyle name="Normal 4 4 3 7" xfId="16745"/>
    <cellStyle name="Normal 4 4 4" xfId="1387"/>
    <cellStyle name="Normal 4 4 4 2" xfId="3816"/>
    <cellStyle name="Normal 4 4 4 2 2" xfId="12952"/>
    <cellStyle name="Normal 4 4 4 2 2 2" xfId="23171"/>
    <cellStyle name="Normal 4 4 4 2 3" xfId="9373"/>
    <cellStyle name="Normal 4 4 4 2 4" xfId="18164"/>
    <cellStyle name="Normal 4 4 4 3" xfId="5479"/>
    <cellStyle name="Normal 4 4 4 3 2" xfId="14316"/>
    <cellStyle name="Normal 4 4 4 3 2 2" xfId="24567"/>
    <cellStyle name="Normal 4 4 4 3 3" xfId="10737"/>
    <cellStyle name="Normal 4 4 4 3 4" xfId="19560"/>
    <cellStyle name="Normal 4 4 4 4" xfId="1890"/>
    <cellStyle name="Normal 4 4 4 4 2" xfId="11258"/>
    <cellStyle name="Normal 4 4 4 4 3" xfId="21262"/>
    <cellStyle name="Normal 4 4 4 5" xfId="6934"/>
    <cellStyle name="Normal 4 4 4 5 2" xfId="15761"/>
    <cellStyle name="Normal 4 4 4 5 3" xfId="26012"/>
    <cellStyle name="Normal 4 4 4 6" xfId="8380"/>
    <cellStyle name="Normal 4 4 4 6 2" xfId="20770"/>
    <cellStyle name="Normal 4 4 4 7" xfId="16255"/>
    <cellStyle name="Normal 4 4 5" xfId="2784"/>
    <cellStyle name="Normal 4 4 5 2" xfId="12101"/>
    <cellStyle name="Normal 4 4 5 2 2" xfId="22145"/>
    <cellStyle name="Normal 4 4 5 3" xfId="8543"/>
    <cellStyle name="Normal 4 4 5 4" xfId="17138"/>
    <cellStyle name="Normal 4 4 6" xfId="4435"/>
    <cellStyle name="Normal 4 4 6 2" xfId="13273"/>
    <cellStyle name="Normal 4 4 6 2 2" xfId="23524"/>
    <cellStyle name="Normal 4 4 6 3" xfId="9694"/>
    <cellStyle name="Normal 4 4 6 4" xfId="18517"/>
    <cellStyle name="Normal 4 4 7" xfId="1707"/>
    <cellStyle name="Normal 4 4 7 2" xfId="11084"/>
    <cellStyle name="Normal 4 4 7 3" xfId="21088"/>
    <cellStyle name="Normal 4 4 8" xfId="5891"/>
    <cellStyle name="Normal 4 4 8 2" xfId="14718"/>
    <cellStyle name="Normal 4 4 8 3" xfId="24969"/>
    <cellStyle name="Normal 4 4 9" xfId="7335"/>
    <cellStyle name="Normal 4 4 9 2" xfId="19744"/>
    <cellStyle name="Normal 4 4_Degree data" xfId="3924"/>
    <cellStyle name="Normal 40" xfId="85"/>
    <cellStyle name="Normal 41" xfId="86"/>
    <cellStyle name="Normal 42" xfId="87"/>
    <cellStyle name="Normal 43" xfId="88"/>
    <cellStyle name="Normal 44" xfId="89"/>
    <cellStyle name="Normal 45" xfId="90"/>
    <cellStyle name="Normal 46" xfId="91"/>
    <cellStyle name="Normal 47" xfId="92"/>
    <cellStyle name="Normal 48" xfId="93"/>
    <cellStyle name="Normal 49" xfId="97"/>
    <cellStyle name="Normal 5" xfId="3"/>
    <cellStyle name="Normal 5 10" xfId="1047"/>
    <cellStyle name="Normal 5 10 2" xfId="3476"/>
    <cellStyle name="Normal 5 10 2 2" xfId="12612"/>
    <cellStyle name="Normal 5 10 2 2 2" xfId="22831"/>
    <cellStyle name="Normal 5 10 2 3" xfId="9034"/>
    <cellStyle name="Normal 5 10 2 4" xfId="17824"/>
    <cellStyle name="Normal 5 10 3" xfId="4953"/>
    <cellStyle name="Normal 5 10 3 2" xfId="13790"/>
    <cellStyle name="Normal 5 10 3 2 2" xfId="24041"/>
    <cellStyle name="Normal 5 10 3 3" xfId="10211"/>
    <cellStyle name="Normal 5 10 3 4" xfId="19034"/>
    <cellStyle name="Normal 5 10 4" xfId="2583"/>
    <cellStyle name="Normal 5 10 4 2" xfId="11947"/>
    <cellStyle name="Normal 5 10 4 3" xfId="21951"/>
    <cellStyle name="Normal 5 10 5" xfId="6408"/>
    <cellStyle name="Normal 5 10 5 2" xfId="15235"/>
    <cellStyle name="Normal 5 10 5 3" xfId="25486"/>
    <cellStyle name="Normal 5 10 6" xfId="7854"/>
    <cellStyle name="Normal 5 10 6 2" xfId="20430"/>
    <cellStyle name="Normal 5 10 7" xfId="16944"/>
    <cellStyle name="Normal 5 11" xfId="3896"/>
    <cellStyle name="Normal 5 11 2" xfId="5139"/>
    <cellStyle name="Normal 5 11 2 2" xfId="13976"/>
    <cellStyle name="Normal 5 11 2 2 2" xfId="24227"/>
    <cellStyle name="Normal 5 11 2 3" xfId="10397"/>
    <cellStyle name="Normal 5 11 2 4" xfId="19220"/>
    <cellStyle name="Normal 5 11 3" xfId="6594"/>
    <cellStyle name="Normal 5 11 3 2" xfId="15421"/>
    <cellStyle name="Normal 5 11 3 3" xfId="25672"/>
    <cellStyle name="Normal 5 11 4" xfId="8040"/>
    <cellStyle name="Normal 5 11 4 2" xfId="23177"/>
    <cellStyle name="Normal 5 11 5" xfId="18170"/>
    <cellStyle name="Normal 5 12" xfId="4092"/>
    <cellStyle name="Normal 5 12 2" xfId="5551"/>
    <cellStyle name="Normal 5 12 2 2" xfId="14378"/>
    <cellStyle name="Normal 5 12 2 3" xfId="24629"/>
    <cellStyle name="Normal 5 12 3" xfId="6995"/>
    <cellStyle name="Normal 5 12 3 2" xfId="23181"/>
    <cellStyle name="Normal 5 12 4" xfId="18174"/>
    <cellStyle name="Normal 5 13" xfId="1399"/>
    <cellStyle name="Normal 5 13 2" xfId="10776"/>
    <cellStyle name="Normal 5 13 3" xfId="20780"/>
    <cellStyle name="Normal 5 14" xfId="5507"/>
    <cellStyle name="Normal 5 14 2" xfId="14334"/>
    <cellStyle name="Normal 5 14 3" xfId="24585"/>
    <cellStyle name="Normal 5 15" xfId="6945"/>
    <cellStyle name="Normal 5 16" xfId="15773"/>
    <cellStyle name="Normal 5 2" xfId="113"/>
    <cellStyle name="Normal 5 2 10" xfId="5511"/>
    <cellStyle name="Normal 5 2 10 2" xfId="14338"/>
    <cellStyle name="Normal 5 2 10 3" xfId="24589"/>
    <cellStyle name="Normal 5 2 11" xfId="6950"/>
    <cellStyle name="Normal 5 2 11 2" xfId="19588"/>
    <cellStyle name="Normal 5 2 2" xfId="126"/>
    <cellStyle name="Normal 5 2 2 10" xfId="5542"/>
    <cellStyle name="Normal 5 2 2 10 2" xfId="14369"/>
    <cellStyle name="Normal 5 2 2 10 3" xfId="24620"/>
    <cellStyle name="Normal 5 2 2 11" xfId="6986"/>
    <cellStyle name="Normal 5 2 2 12" xfId="15807"/>
    <cellStyle name="Normal 5 2 2 2" xfId="168"/>
    <cellStyle name="Normal 5 2 2 2 10" xfId="5500"/>
    <cellStyle name="Normal 5 2 2 2 11" xfId="10756"/>
    <cellStyle name="Normal 5 2 2 2 11 2" xfId="19627"/>
    <cellStyle name="Normal 5 2 2 2 2" xfId="280"/>
    <cellStyle name="Normal 5 2 2 2 2 10" xfId="7118"/>
    <cellStyle name="Normal 5 2 2 2 2 10 2" xfId="19731"/>
    <cellStyle name="Normal 5 2 2 2 2 11" xfId="15864"/>
    <cellStyle name="Normal 5 2 2 2 2 2" xfId="602"/>
    <cellStyle name="Normal 5 2 2 2 2 2 2" xfId="793"/>
    <cellStyle name="Normal 5 2 2 2 2 2 2 2" xfId="3278"/>
    <cellStyle name="Normal 5 2 2 2 2 2 2 2 2" xfId="12420"/>
    <cellStyle name="Normal 5 2 2 2 2 2 2 2 2 2" xfId="22639"/>
    <cellStyle name="Normal 5 2 2 2 2 2 2 2 3" xfId="8842"/>
    <cellStyle name="Normal 5 2 2 2 2 2 2 2 4" xfId="17632"/>
    <cellStyle name="Normal 5 2 2 2 2 2 2 3" xfId="4607"/>
    <cellStyle name="Normal 5 2 2 2 2 2 2 3 2" xfId="13445"/>
    <cellStyle name="Normal 5 2 2 2 2 2 2 3 2 2" xfId="23696"/>
    <cellStyle name="Normal 5 2 2 2 2 2 2 3 3" xfId="9866"/>
    <cellStyle name="Normal 5 2 2 2 2 2 2 3 4" xfId="18689"/>
    <cellStyle name="Normal 5 2 2 2 2 2 2 4" xfId="2387"/>
    <cellStyle name="Normal 5 2 2 2 2 2 2 4 2" xfId="11752"/>
    <cellStyle name="Normal 5 2 2 2 2 2 2 4 3" xfId="21756"/>
    <cellStyle name="Normal 5 2 2 2 2 2 2 5" xfId="6063"/>
    <cellStyle name="Normal 5 2 2 2 2 2 2 5 2" xfId="14890"/>
    <cellStyle name="Normal 5 2 2 2 2 2 2 5 3" xfId="25141"/>
    <cellStyle name="Normal 5 2 2 2 2 2 2 6" xfId="7508"/>
    <cellStyle name="Normal 5 2 2 2 2 2 2 6 2" xfId="20238"/>
    <cellStyle name="Normal 5 2 2 2 2 2 2 7" xfId="16749"/>
    <cellStyle name="Normal 5 2 2 2 2 2 3" xfId="1374"/>
    <cellStyle name="Normal 5 2 2 2 2 2 3 2" xfId="3803"/>
    <cellStyle name="Normal 5 2 2 2 2 2 3 2 2" xfId="12939"/>
    <cellStyle name="Normal 5 2 2 2 2 2 3 2 2 2" xfId="23158"/>
    <cellStyle name="Normal 5 2 2 2 2 2 3 2 3" xfId="9360"/>
    <cellStyle name="Normal 5 2 2 2 2 2 3 2 4" xfId="18151"/>
    <cellStyle name="Normal 5 2 2 2 2 2 3 3" xfId="4956"/>
    <cellStyle name="Normal 5 2 2 2 2 2 3 3 2" xfId="13793"/>
    <cellStyle name="Normal 5 2 2 2 2 2 3 3 2 2" xfId="24044"/>
    <cellStyle name="Normal 5 2 2 2 2 2 3 3 3" xfId="10214"/>
    <cellStyle name="Normal 5 2 2 2 2 2 3 3 4" xfId="19037"/>
    <cellStyle name="Normal 5 2 2 2 2 2 3 4" xfId="2197"/>
    <cellStyle name="Normal 5 2 2 2 2 2 3 4 2" xfId="11562"/>
    <cellStyle name="Normal 5 2 2 2 2 2 3 4 3" xfId="21566"/>
    <cellStyle name="Normal 5 2 2 2 2 2 3 5" xfId="6411"/>
    <cellStyle name="Normal 5 2 2 2 2 2 3 5 2" xfId="15238"/>
    <cellStyle name="Normal 5 2 2 2 2 2 3 5 3" xfId="25489"/>
    <cellStyle name="Normal 5 2 2 2 2 2 3 6" xfId="7857"/>
    <cellStyle name="Normal 5 2 2 2 2 2 3 6 2" xfId="20757"/>
    <cellStyle name="Normal 5 2 2 2 2 2 3 7" xfId="16559"/>
    <cellStyle name="Normal 5 2 2 2 2 2 4" xfId="3088"/>
    <cellStyle name="Normal 5 2 2 2 2 2 4 2" xfId="5466"/>
    <cellStyle name="Normal 5 2 2 2 2 2 4 2 2" xfId="14303"/>
    <cellStyle name="Normal 5 2 2 2 2 2 4 2 2 2" xfId="24554"/>
    <cellStyle name="Normal 5 2 2 2 2 2 4 2 3" xfId="10724"/>
    <cellStyle name="Normal 5 2 2 2 2 2 4 2 4" xfId="19547"/>
    <cellStyle name="Normal 5 2 2 2 2 2 4 3" xfId="6921"/>
    <cellStyle name="Normal 5 2 2 2 2 2 4 3 2" xfId="15748"/>
    <cellStyle name="Normal 5 2 2 2 2 2 4 3 3" xfId="25999"/>
    <cellStyle name="Normal 5 2 2 2 2 2 4 4" xfId="8367"/>
    <cellStyle name="Normal 5 2 2 2 2 2 4 4 2" xfId="22449"/>
    <cellStyle name="Normal 5 2 2 2 2 2 4 5" xfId="17442"/>
    <cellStyle name="Normal 5 2 2 2 2 2 5" xfId="4422"/>
    <cellStyle name="Normal 5 2 2 2 2 2 5 2" xfId="13260"/>
    <cellStyle name="Normal 5 2 2 2 2 2 5 2 2" xfId="23511"/>
    <cellStyle name="Normal 5 2 2 2 2 2 5 3" xfId="9681"/>
    <cellStyle name="Normal 5 2 2 2 2 2 5 4" xfId="18504"/>
    <cellStyle name="Normal 5 2 2 2 2 2 6" xfId="1694"/>
    <cellStyle name="Normal 5 2 2 2 2 2 6 2" xfId="11071"/>
    <cellStyle name="Normal 5 2 2 2 2 2 6 3" xfId="21075"/>
    <cellStyle name="Normal 5 2 2 2 2 2 7" xfId="5878"/>
    <cellStyle name="Normal 5 2 2 2 2 2 7 2" xfId="14705"/>
    <cellStyle name="Normal 5 2 2 2 2 2 7 3" xfId="24956"/>
    <cellStyle name="Normal 5 2 2 2 2 2 8" xfId="7322"/>
    <cellStyle name="Normal 5 2 2 2 2 2 8 2" xfId="20048"/>
    <cellStyle name="Normal 5 2 2 2 2 2 9" xfId="16068"/>
    <cellStyle name="Normal 5 2 2 2 2 2_Degree data" xfId="3843"/>
    <cellStyle name="Normal 5 2 2 2 2 3" xfId="398"/>
    <cellStyle name="Normal 5 2 2 2 2 3 2" xfId="2884"/>
    <cellStyle name="Normal 5 2 2 2 2 3 2 2" xfId="12172"/>
    <cellStyle name="Normal 5 2 2 2 2 3 2 2 2" xfId="22245"/>
    <cellStyle name="Normal 5 2 2 2 2 3 2 3" xfId="8624"/>
    <cellStyle name="Normal 5 2 2 2 2 3 2 4" xfId="17238"/>
    <cellStyle name="Normal 5 2 2 2 2 3 3" xfId="4606"/>
    <cellStyle name="Normal 5 2 2 2 2 3 3 2" xfId="13444"/>
    <cellStyle name="Normal 5 2 2 2 2 3 3 2 2" xfId="23695"/>
    <cellStyle name="Normal 5 2 2 2 2 3 3 3" xfId="9865"/>
    <cellStyle name="Normal 5 2 2 2 2 3 3 4" xfId="18688"/>
    <cellStyle name="Normal 5 2 2 2 2 3 4" xfId="1993"/>
    <cellStyle name="Normal 5 2 2 2 2 3 4 2" xfId="11358"/>
    <cellStyle name="Normal 5 2 2 2 2 3 4 3" xfId="21362"/>
    <cellStyle name="Normal 5 2 2 2 2 3 5" xfId="6062"/>
    <cellStyle name="Normal 5 2 2 2 2 3 5 2" xfId="14889"/>
    <cellStyle name="Normal 5 2 2 2 2 3 5 3" xfId="25140"/>
    <cellStyle name="Normal 5 2 2 2 2 3 6" xfId="7507"/>
    <cellStyle name="Normal 5 2 2 2 2 3 6 2" xfId="19844"/>
    <cellStyle name="Normal 5 2 2 2 2 3 7" xfId="16355"/>
    <cellStyle name="Normal 5 2 2 2 2 4" xfId="792"/>
    <cellStyle name="Normal 5 2 2 2 2 4 2" xfId="3277"/>
    <cellStyle name="Normal 5 2 2 2 2 4 2 2" xfId="12419"/>
    <cellStyle name="Normal 5 2 2 2 2 4 2 2 2" xfId="22638"/>
    <cellStyle name="Normal 5 2 2 2 2 4 2 3" xfId="8841"/>
    <cellStyle name="Normal 5 2 2 2 2 4 2 4" xfId="17631"/>
    <cellStyle name="Normal 5 2 2 2 2 4 3" xfId="4955"/>
    <cellStyle name="Normal 5 2 2 2 2 4 3 2" xfId="13792"/>
    <cellStyle name="Normal 5 2 2 2 2 4 3 2 2" xfId="24043"/>
    <cellStyle name="Normal 5 2 2 2 2 4 3 3" xfId="10213"/>
    <cellStyle name="Normal 5 2 2 2 2 4 3 4" xfId="19036"/>
    <cellStyle name="Normal 5 2 2 2 2 4 4" xfId="2386"/>
    <cellStyle name="Normal 5 2 2 2 2 4 4 2" xfId="11751"/>
    <cellStyle name="Normal 5 2 2 2 2 4 4 3" xfId="21755"/>
    <cellStyle name="Normal 5 2 2 2 2 4 5" xfId="6410"/>
    <cellStyle name="Normal 5 2 2 2 2 4 5 2" xfId="15237"/>
    <cellStyle name="Normal 5 2 2 2 2 4 5 3" xfId="25488"/>
    <cellStyle name="Normal 5 2 2 2 2 4 6" xfId="7856"/>
    <cellStyle name="Normal 5 2 2 2 2 4 6 2" xfId="20237"/>
    <cellStyle name="Normal 5 2 2 2 2 4 7" xfId="16748"/>
    <cellStyle name="Normal 5 2 2 2 2 5" xfId="1170"/>
    <cellStyle name="Normal 5 2 2 2 2 5 2" xfId="3599"/>
    <cellStyle name="Normal 5 2 2 2 2 5 2 2" xfId="12735"/>
    <cellStyle name="Normal 5 2 2 2 2 5 2 2 2" xfId="22954"/>
    <cellStyle name="Normal 5 2 2 2 2 5 2 3" xfId="9156"/>
    <cellStyle name="Normal 5 2 2 2 2 5 2 4" xfId="17947"/>
    <cellStyle name="Normal 5 2 2 2 2 5 3" xfId="5262"/>
    <cellStyle name="Normal 5 2 2 2 2 5 3 2" xfId="14099"/>
    <cellStyle name="Normal 5 2 2 2 2 5 3 2 2" xfId="24350"/>
    <cellStyle name="Normal 5 2 2 2 2 5 3 3" xfId="10520"/>
    <cellStyle name="Normal 5 2 2 2 2 5 3 4" xfId="19343"/>
    <cellStyle name="Normal 5 2 2 2 2 5 4" xfId="1877"/>
    <cellStyle name="Normal 5 2 2 2 2 5 4 2" xfId="11245"/>
    <cellStyle name="Normal 5 2 2 2 2 5 4 3" xfId="21249"/>
    <cellStyle name="Normal 5 2 2 2 2 5 5" xfId="6717"/>
    <cellStyle name="Normal 5 2 2 2 2 5 5 2" xfId="15544"/>
    <cellStyle name="Normal 5 2 2 2 2 5 5 3" xfId="25795"/>
    <cellStyle name="Normal 5 2 2 2 2 5 6" xfId="8163"/>
    <cellStyle name="Normal 5 2 2 2 2 5 6 2" xfId="20553"/>
    <cellStyle name="Normal 5 2 2 2 2 5 7" xfId="16242"/>
    <cellStyle name="Normal 5 2 2 2 2 6" xfId="2771"/>
    <cellStyle name="Normal 5 2 2 2 2 6 2" xfId="12088"/>
    <cellStyle name="Normal 5 2 2 2 2 6 2 2" xfId="22132"/>
    <cellStyle name="Normal 5 2 2 2 2 6 3" xfId="8449"/>
    <cellStyle name="Normal 5 2 2 2 2 6 4" xfId="17125"/>
    <cellStyle name="Normal 5 2 2 2 2 7" xfId="4218"/>
    <cellStyle name="Normal 5 2 2 2 2 7 2" xfId="13056"/>
    <cellStyle name="Normal 5 2 2 2 2 7 2 2" xfId="23307"/>
    <cellStyle name="Normal 5 2 2 2 2 7 3" xfId="9477"/>
    <cellStyle name="Normal 5 2 2 2 2 7 4" xfId="18300"/>
    <cellStyle name="Normal 5 2 2 2 2 8" xfId="1490"/>
    <cellStyle name="Normal 5 2 2 2 2 8 2" xfId="10867"/>
    <cellStyle name="Normal 5 2 2 2 2 8 3" xfId="20871"/>
    <cellStyle name="Normal 5 2 2 2 2 9" xfId="5674"/>
    <cellStyle name="Normal 5 2 2 2 2 9 2" xfId="14501"/>
    <cellStyle name="Normal 5 2 2 2 2 9 3" xfId="24752"/>
    <cellStyle name="Normal 5 2 2 2 2_Degree data" xfId="3830"/>
    <cellStyle name="Normal 5 2 2 2 3" xfId="223"/>
    <cellStyle name="Normal 5 2 2 2 4" xfId="498"/>
    <cellStyle name="Normal 5 2 2 2 4 2" xfId="794"/>
    <cellStyle name="Normal 5 2 2 2 4 2 2" xfId="3279"/>
    <cellStyle name="Normal 5 2 2 2 4 2 2 2" xfId="12421"/>
    <cellStyle name="Normal 5 2 2 2 4 2 2 2 2" xfId="22640"/>
    <cellStyle name="Normal 5 2 2 2 4 2 2 3" xfId="8843"/>
    <cellStyle name="Normal 5 2 2 2 4 2 2 4" xfId="17633"/>
    <cellStyle name="Normal 5 2 2 2 4 2 3" xfId="4608"/>
    <cellStyle name="Normal 5 2 2 2 4 2 3 2" xfId="13446"/>
    <cellStyle name="Normal 5 2 2 2 4 2 3 2 2" xfId="23697"/>
    <cellStyle name="Normal 5 2 2 2 4 2 3 3" xfId="9867"/>
    <cellStyle name="Normal 5 2 2 2 4 2 3 4" xfId="18690"/>
    <cellStyle name="Normal 5 2 2 2 4 2 4" xfId="2388"/>
    <cellStyle name="Normal 5 2 2 2 4 2 4 2" xfId="11753"/>
    <cellStyle name="Normal 5 2 2 2 4 2 4 3" xfId="21757"/>
    <cellStyle name="Normal 5 2 2 2 4 2 5" xfId="6064"/>
    <cellStyle name="Normal 5 2 2 2 4 2 5 2" xfId="14891"/>
    <cellStyle name="Normal 5 2 2 2 4 2 5 3" xfId="25142"/>
    <cellStyle name="Normal 5 2 2 2 4 2 6" xfId="7509"/>
    <cellStyle name="Normal 5 2 2 2 4 2 6 2" xfId="20239"/>
    <cellStyle name="Normal 5 2 2 2 4 2 7" xfId="16750"/>
    <cellStyle name="Normal 5 2 2 2 4 3" xfId="1270"/>
    <cellStyle name="Normal 5 2 2 2 4 3 2" xfId="3699"/>
    <cellStyle name="Normal 5 2 2 2 4 3 2 2" xfId="12835"/>
    <cellStyle name="Normal 5 2 2 2 4 3 2 2 2" xfId="23054"/>
    <cellStyle name="Normal 5 2 2 2 4 3 2 3" xfId="9256"/>
    <cellStyle name="Normal 5 2 2 2 4 3 2 4" xfId="18047"/>
    <cellStyle name="Normal 5 2 2 2 4 3 3" xfId="4957"/>
    <cellStyle name="Normal 5 2 2 2 4 3 3 2" xfId="13794"/>
    <cellStyle name="Normal 5 2 2 2 4 3 3 2 2" xfId="24045"/>
    <cellStyle name="Normal 5 2 2 2 4 3 3 3" xfId="10215"/>
    <cellStyle name="Normal 5 2 2 2 4 3 3 4" xfId="19038"/>
    <cellStyle name="Normal 5 2 2 2 4 3 4" xfId="2093"/>
    <cellStyle name="Normal 5 2 2 2 4 3 4 2" xfId="11458"/>
    <cellStyle name="Normal 5 2 2 2 4 3 4 3" xfId="21462"/>
    <cellStyle name="Normal 5 2 2 2 4 3 5" xfId="6412"/>
    <cellStyle name="Normal 5 2 2 2 4 3 5 2" xfId="15239"/>
    <cellStyle name="Normal 5 2 2 2 4 3 5 3" xfId="25490"/>
    <cellStyle name="Normal 5 2 2 2 4 3 6" xfId="7858"/>
    <cellStyle name="Normal 5 2 2 2 4 3 6 2" xfId="20653"/>
    <cellStyle name="Normal 5 2 2 2 4 3 7" xfId="16455"/>
    <cellStyle name="Normal 5 2 2 2 4 4" xfId="2984"/>
    <cellStyle name="Normal 5 2 2 2 4 4 2" xfId="5362"/>
    <cellStyle name="Normal 5 2 2 2 4 4 2 2" xfId="14199"/>
    <cellStyle name="Normal 5 2 2 2 4 4 2 2 2" xfId="24450"/>
    <cellStyle name="Normal 5 2 2 2 4 4 2 3" xfId="10620"/>
    <cellStyle name="Normal 5 2 2 2 4 4 2 4" xfId="19443"/>
    <cellStyle name="Normal 5 2 2 2 4 4 3" xfId="6817"/>
    <cellStyle name="Normal 5 2 2 2 4 4 3 2" xfId="15644"/>
    <cellStyle name="Normal 5 2 2 2 4 4 3 3" xfId="25895"/>
    <cellStyle name="Normal 5 2 2 2 4 4 4" xfId="8263"/>
    <cellStyle name="Normal 5 2 2 2 4 4 4 2" xfId="22345"/>
    <cellStyle name="Normal 5 2 2 2 4 4 5" xfId="17338"/>
    <cellStyle name="Normal 5 2 2 2 4 5" xfId="4318"/>
    <cellStyle name="Normal 5 2 2 2 4 5 2" xfId="13156"/>
    <cellStyle name="Normal 5 2 2 2 4 5 2 2" xfId="23407"/>
    <cellStyle name="Normal 5 2 2 2 4 5 3" xfId="9577"/>
    <cellStyle name="Normal 5 2 2 2 4 5 4" xfId="18400"/>
    <cellStyle name="Normal 5 2 2 2 4 6" xfId="1590"/>
    <cellStyle name="Normal 5 2 2 2 4 6 2" xfId="10967"/>
    <cellStyle name="Normal 5 2 2 2 4 6 3" xfId="20971"/>
    <cellStyle name="Normal 5 2 2 2 4 7" xfId="5774"/>
    <cellStyle name="Normal 5 2 2 2 4 7 2" xfId="14601"/>
    <cellStyle name="Normal 5 2 2 2 4 7 3" xfId="24852"/>
    <cellStyle name="Normal 5 2 2 2 4 8" xfId="7218"/>
    <cellStyle name="Normal 5 2 2 2 4 8 2" xfId="19944"/>
    <cellStyle name="Normal 5 2 2 2 4 9" xfId="15964"/>
    <cellStyle name="Normal 5 2 2 2 4_Degree data" xfId="3858"/>
    <cellStyle name="Normal 5 2 2 2 5" xfId="1770"/>
    <cellStyle name="Normal 5 2 2 2 5 2" xfId="11141"/>
    <cellStyle name="Normal 5 2 2 2 5 2 2" xfId="21145"/>
    <cellStyle name="Normal 5 2 2 2 5 3" xfId="8603"/>
    <cellStyle name="Normal 5 2 2 2 5 4" xfId="16138"/>
    <cellStyle name="Normal 5 2 2 2 6" xfId="2667"/>
    <cellStyle name="Normal 5 2 2 2 6 2" xfId="11985"/>
    <cellStyle name="Normal 5 2 2 2 6 2 2" xfId="22028"/>
    <cellStyle name="Normal 5 2 2 2 6 3" xfId="8508"/>
    <cellStyle name="Normal 5 2 2 2 6 4" xfId="17021"/>
    <cellStyle name="Normal 5 2 2 2 7" xfId="1394"/>
    <cellStyle name="Normal 5 2 2 2 8" xfId="5501"/>
    <cellStyle name="Normal 5 2 2 2 9" xfId="5499"/>
    <cellStyle name="Normal 5 2 2 3" xfId="215"/>
    <cellStyle name="Normal 5 2 2 3 10" xfId="7161"/>
    <cellStyle name="Normal 5 2 2 3 10 2" xfId="19670"/>
    <cellStyle name="Normal 5 2 2 3 11" xfId="15907"/>
    <cellStyle name="Normal 5 2 2 3 2" xfId="541"/>
    <cellStyle name="Normal 5 2 2 3 2 2" xfId="796"/>
    <cellStyle name="Normal 5 2 2 3 2 2 2" xfId="3281"/>
    <cellStyle name="Normal 5 2 2 3 2 2 2 2" xfId="12423"/>
    <cellStyle name="Normal 5 2 2 3 2 2 2 2 2" xfId="22642"/>
    <cellStyle name="Normal 5 2 2 3 2 2 2 3" xfId="8845"/>
    <cellStyle name="Normal 5 2 2 3 2 2 2 4" xfId="17635"/>
    <cellStyle name="Normal 5 2 2 3 2 2 3" xfId="4610"/>
    <cellStyle name="Normal 5 2 2 3 2 2 3 2" xfId="13448"/>
    <cellStyle name="Normal 5 2 2 3 2 2 3 2 2" xfId="23699"/>
    <cellStyle name="Normal 5 2 2 3 2 2 3 3" xfId="9869"/>
    <cellStyle name="Normal 5 2 2 3 2 2 3 4" xfId="18692"/>
    <cellStyle name="Normal 5 2 2 3 2 2 4" xfId="2390"/>
    <cellStyle name="Normal 5 2 2 3 2 2 4 2" xfId="11755"/>
    <cellStyle name="Normal 5 2 2 3 2 2 4 3" xfId="21759"/>
    <cellStyle name="Normal 5 2 2 3 2 2 5" xfId="6066"/>
    <cellStyle name="Normal 5 2 2 3 2 2 5 2" xfId="14893"/>
    <cellStyle name="Normal 5 2 2 3 2 2 5 3" xfId="25144"/>
    <cellStyle name="Normal 5 2 2 3 2 2 6" xfId="7511"/>
    <cellStyle name="Normal 5 2 2 3 2 2 6 2" xfId="20241"/>
    <cellStyle name="Normal 5 2 2 3 2 2 7" xfId="16752"/>
    <cellStyle name="Normal 5 2 2 3 2 3" xfId="1313"/>
    <cellStyle name="Normal 5 2 2 3 2 3 2" xfId="3742"/>
    <cellStyle name="Normal 5 2 2 3 2 3 2 2" xfId="12878"/>
    <cellStyle name="Normal 5 2 2 3 2 3 2 2 2" xfId="23097"/>
    <cellStyle name="Normal 5 2 2 3 2 3 2 3" xfId="9299"/>
    <cellStyle name="Normal 5 2 2 3 2 3 2 4" xfId="18090"/>
    <cellStyle name="Normal 5 2 2 3 2 3 3" xfId="4959"/>
    <cellStyle name="Normal 5 2 2 3 2 3 3 2" xfId="13796"/>
    <cellStyle name="Normal 5 2 2 3 2 3 3 2 2" xfId="24047"/>
    <cellStyle name="Normal 5 2 2 3 2 3 3 3" xfId="10217"/>
    <cellStyle name="Normal 5 2 2 3 2 3 3 4" xfId="19040"/>
    <cellStyle name="Normal 5 2 2 3 2 3 4" xfId="2136"/>
    <cellStyle name="Normal 5 2 2 3 2 3 4 2" xfId="11501"/>
    <cellStyle name="Normal 5 2 2 3 2 3 4 3" xfId="21505"/>
    <cellStyle name="Normal 5 2 2 3 2 3 5" xfId="6414"/>
    <cellStyle name="Normal 5 2 2 3 2 3 5 2" xfId="15241"/>
    <cellStyle name="Normal 5 2 2 3 2 3 5 3" xfId="25492"/>
    <cellStyle name="Normal 5 2 2 3 2 3 6" xfId="7860"/>
    <cellStyle name="Normal 5 2 2 3 2 3 6 2" xfId="20696"/>
    <cellStyle name="Normal 5 2 2 3 2 3 7" xfId="16498"/>
    <cellStyle name="Normal 5 2 2 3 2 4" xfId="3027"/>
    <cellStyle name="Normal 5 2 2 3 2 4 2" xfId="5405"/>
    <cellStyle name="Normal 5 2 2 3 2 4 2 2" xfId="14242"/>
    <cellStyle name="Normal 5 2 2 3 2 4 2 2 2" xfId="24493"/>
    <cellStyle name="Normal 5 2 2 3 2 4 2 3" xfId="10663"/>
    <cellStyle name="Normal 5 2 2 3 2 4 2 4" xfId="19486"/>
    <cellStyle name="Normal 5 2 2 3 2 4 3" xfId="6860"/>
    <cellStyle name="Normal 5 2 2 3 2 4 3 2" xfId="15687"/>
    <cellStyle name="Normal 5 2 2 3 2 4 3 3" xfId="25938"/>
    <cellStyle name="Normal 5 2 2 3 2 4 4" xfId="8306"/>
    <cellStyle name="Normal 5 2 2 3 2 4 4 2" xfId="22388"/>
    <cellStyle name="Normal 5 2 2 3 2 4 5" xfId="17381"/>
    <cellStyle name="Normal 5 2 2 3 2 5" xfId="4361"/>
    <cellStyle name="Normal 5 2 2 3 2 5 2" xfId="13199"/>
    <cellStyle name="Normal 5 2 2 3 2 5 2 2" xfId="23450"/>
    <cellStyle name="Normal 5 2 2 3 2 5 3" xfId="9620"/>
    <cellStyle name="Normal 5 2 2 3 2 5 4" xfId="18443"/>
    <cellStyle name="Normal 5 2 2 3 2 6" xfId="1633"/>
    <cellStyle name="Normal 5 2 2 3 2 6 2" xfId="11010"/>
    <cellStyle name="Normal 5 2 2 3 2 6 3" xfId="21014"/>
    <cellStyle name="Normal 5 2 2 3 2 7" xfId="5817"/>
    <cellStyle name="Normal 5 2 2 3 2 7 2" xfId="14644"/>
    <cellStyle name="Normal 5 2 2 3 2 7 3" xfId="24895"/>
    <cellStyle name="Normal 5 2 2 3 2 8" xfId="7261"/>
    <cellStyle name="Normal 5 2 2 3 2 8 2" xfId="19987"/>
    <cellStyle name="Normal 5 2 2 3 2 9" xfId="16007"/>
    <cellStyle name="Normal 5 2 2 3 2_Degree data" xfId="3935"/>
    <cellStyle name="Normal 5 2 2 3 3" xfId="441"/>
    <cellStyle name="Normal 5 2 2 3 3 2" xfId="2927"/>
    <cellStyle name="Normal 5 2 2 3 3 2 2" xfId="12215"/>
    <cellStyle name="Normal 5 2 2 3 3 2 2 2" xfId="22288"/>
    <cellStyle name="Normal 5 2 2 3 3 2 3" xfId="8622"/>
    <cellStyle name="Normal 5 2 2 3 3 2 4" xfId="17281"/>
    <cellStyle name="Normal 5 2 2 3 3 3" xfId="4609"/>
    <cellStyle name="Normal 5 2 2 3 3 3 2" xfId="13447"/>
    <cellStyle name="Normal 5 2 2 3 3 3 2 2" xfId="23698"/>
    <cellStyle name="Normal 5 2 2 3 3 3 3" xfId="9868"/>
    <cellStyle name="Normal 5 2 2 3 3 3 4" xfId="18691"/>
    <cellStyle name="Normal 5 2 2 3 3 4" xfId="2036"/>
    <cellStyle name="Normal 5 2 2 3 3 4 2" xfId="11401"/>
    <cellStyle name="Normal 5 2 2 3 3 4 3" xfId="21405"/>
    <cellStyle name="Normal 5 2 2 3 3 5" xfId="6065"/>
    <cellStyle name="Normal 5 2 2 3 3 5 2" xfId="14892"/>
    <cellStyle name="Normal 5 2 2 3 3 5 3" xfId="25143"/>
    <cellStyle name="Normal 5 2 2 3 3 6" xfId="7510"/>
    <cellStyle name="Normal 5 2 2 3 3 6 2" xfId="19887"/>
    <cellStyle name="Normal 5 2 2 3 3 7" xfId="16398"/>
    <cellStyle name="Normal 5 2 2 3 4" xfId="795"/>
    <cellStyle name="Normal 5 2 2 3 4 2" xfId="3280"/>
    <cellStyle name="Normal 5 2 2 3 4 2 2" xfId="12422"/>
    <cellStyle name="Normal 5 2 2 3 4 2 2 2" xfId="22641"/>
    <cellStyle name="Normal 5 2 2 3 4 2 3" xfId="8844"/>
    <cellStyle name="Normal 5 2 2 3 4 2 4" xfId="17634"/>
    <cellStyle name="Normal 5 2 2 3 4 3" xfId="4958"/>
    <cellStyle name="Normal 5 2 2 3 4 3 2" xfId="13795"/>
    <cellStyle name="Normal 5 2 2 3 4 3 2 2" xfId="24046"/>
    <cellStyle name="Normal 5 2 2 3 4 3 3" xfId="10216"/>
    <cellStyle name="Normal 5 2 2 3 4 3 4" xfId="19039"/>
    <cellStyle name="Normal 5 2 2 3 4 4" xfId="2389"/>
    <cellStyle name="Normal 5 2 2 3 4 4 2" xfId="11754"/>
    <cellStyle name="Normal 5 2 2 3 4 4 3" xfId="21758"/>
    <cellStyle name="Normal 5 2 2 3 4 5" xfId="6413"/>
    <cellStyle name="Normal 5 2 2 3 4 5 2" xfId="15240"/>
    <cellStyle name="Normal 5 2 2 3 4 5 3" xfId="25491"/>
    <cellStyle name="Normal 5 2 2 3 4 6" xfId="7859"/>
    <cellStyle name="Normal 5 2 2 3 4 6 2" xfId="20240"/>
    <cellStyle name="Normal 5 2 2 3 4 7" xfId="16751"/>
    <cellStyle name="Normal 5 2 2 3 5" xfId="1213"/>
    <cellStyle name="Normal 5 2 2 3 5 2" xfId="3642"/>
    <cellStyle name="Normal 5 2 2 3 5 2 2" xfId="12778"/>
    <cellStyle name="Normal 5 2 2 3 5 2 2 2" xfId="22997"/>
    <cellStyle name="Normal 5 2 2 3 5 2 3" xfId="9199"/>
    <cellStyle name="Normal 5 2 2 3 5 2 4" xfId="17990"/>
    <cellStyle name="Normal 5 2 2 3 5 3" xfId="5305"/>
    <cellStyle name="Normal 5 2 2 3 5 3 2" xfId="14142"/>
    <cellStyle name="Normal 5 2 2 3 5 3 2 2" xfId="24393"/>
    <cellStyle name="Normal 5 2 2 3 5 3 3" xfId="10563"/>
    <cellStyle name="Normal 5 2 2 3 5 3 4" xfId="19386"/>
    <cellStyle name="Normal 5 2 2 3 5 4" xfId="1816"/>
    <cellStyle name="Normal 5 2 2 3 5 4 2" xfId="11184"/>
    <cellStyle name="Normal 5 2 2 3 5 4 3" xfId="21188"/>
    <cellStyle name="Normal 5 2 2 3 5 5" xfId="6760"/>
    <cellStyle name="Normal 5 2 2 3 5 5 2" xfId="15587"/>
    <cellStyle name="Normal 5 2 2 3 5 5 3" xfId="25838"/>
    <cellStyle name="Normal 5 2 2 3 5 6" xfId="8206"/>
    <cellStyle name="Normal 5 2 2 3 5 6 2" xfId="20596"/>
    <cellStyle name="Normal 5 2 2 3 5 7" xfId="16181"/>
    <cellStyle name="Normal 5 2 2 3 6" xfId="2710"/>
    <cellStyle name="Normal 5 2 2 3 6 2" xfId="12027"/>
    <cellStyle name="Normal 5 2 2 3 6 2 2" xfId="22071"/>
    <cellStyle name="Normal 5 2 2 3 6 3" xfId="6975"/>
    <cellStyle name="Normal 5 2 2 3 6 4" xfId="17064"/>
    <cellStyle name="Normal 5 2 2 3 7" xfId="4261"/>
    <cellStyle name="Normal 5 2 2 3 7 2" xfId="13099"/>
    <cellStyle name="Normal 5 2 2 3 7 2 2" xfId="23350"/>
    <cellStyle name="Normal 5 2 2 3 7 3" xfId="9520"/>
    <cellStyle name="Normal 5 2 2 3 7 4" xfId="18343"/>
    <cellStyle name="Normal 5 2 2 3 8" xfId="1533"/>
    <cellStyle name="Normal 5 2 2 3 8 2" xfId="10910"/>
    <cellStyle name="Normal 5 2 2 3 8 3" xfId="20914"/>
    <cellStyle name="Normal 5 2 2 3 9" xfId="5717"/>
    <cellStyle name="Normal 5 2 2 3 9 2" xfId="14544"/>
    <cellStyle name="Normal 5 2 2 3 9 3" xfId="24795"/>
    <cellStyle name="Normal 5 2 2 3_Degree data" xfId="3936"/>
    <cellStyle name="Normal 5 2 2 4" xfId="341"/>
    <cellStyle name="Normal 5 2 2 4 2" xfId="797"/>
    <cellStyle name="Normal 5 2 2 4 2 2" xfId="3282"/>
    <cellStyle name="Normal 5 2 2 4 2 2 2" xfId="12424"/>
    <cellStyle name="Normal 5 2 2 4 2 2 2 2" xfId="22643"/>
    <cellStyle name="Normal 5 2 2 4 2 2 3" xfId="8846"/>
    <cellStyle name="Normal 5 2 2 4 2 2 4" xfId="17636"/>
    <cellStyle name="Normal 5 2 2 4 2 3" xfId="4611"/>
    <cellStyle name="Normal 5 2 2 4 2 3 2" xfId="13449"/>
    <cellStyle name="Normal 5 2 2 4 2 3 2 2" xfId="23700"/>
    <cellStyle name="Normal 5 2 2 4 2 3 3" xfId="9870"/>
    <cellStyle name="Normal 5 2 2 4 2 3 4" xfId="18693"/>
    <cellStyle name="Normal 5 2 2 4 2 4" xfId="2391"/>
    <cellStyle name="Normal 5 2 2 4 2 4 2" xfId="11756"/>
    <cellStyle name="Normal 5 2 2 4 2 4 3" xfId="21760"/>
    <cellStyle name="Normal 5 2 2 4 2 5" xfId="6067"/>
    <cellStyle name="Normal 5 2 2 4 2 5 2" xfId="14894"/>
    <cellStyle name="Normal 5 2 2 4 2 5 3" xfId="25145"/>
    <cellStyle name="Normal 5 2 2 4 2 6" xfId="7512"/>
    <cellStyle name="Normal 5 2 2 4 2 6 2" xfId="20242"/>
    <cellStyle name="Normal 5 2 2 4 2 7" xfId="16753"/>
    <cellStyle name="Normal 5 2 2 4 3" xfId="1113"/>
    <cellStyle name="Normal 5 2 2 4 3 2" xfId="3542"/>
    <cellStyle name="Normal 5 2 2 4 3 2 2" xfId="12678"/>
    <cellStyle name="Normal 5 2 2 4 3 2 2 2" xfId="22897"/>
    <cellStyle name="Normal 5 2 2 4 3 2 3" xfId="9099"/>
    <cellStyle name="Normal 5 2 2 4 3 2 4" xfId="17890"/>
    <cellStyle name="Normal 5 2 2 4 3 3" xfId="4960"/>
    <cellStyle name="Normal 5 2 2 4 3 3 2" xfId="13797"/>
    <cellStyle name="Normal 5 2 2 4 3 3 2 2" xfId="24048"/>
    <cellStyle name="Normal 5 2 2 4 3 3 3" xfId="10218"/>
    <cellStyle name="Normal 5 2 2 4 3 3 4" xfId="19041"/>
    <cellStyle name="Normal 5 2 2 4 3 4" xfId="2585"/>
    <cellStyle name="Normal 5 2 2 4 3 4 2" xfId="11949"/>
    <cellStyle name="Normal 5 2 2 4 3 4 3" xfId="21953"/>
    <cellStyle name="Normal 5 2 2 4 3 5" xfId="6415"/>
    <cellStyle name="Normal 5 2 2 4 3 5 2" xfId="15242"/>
    <cellStyle name="Normal 5 2 2 4 3 5 3" xfId="25493"/>
    <cellStyle name="Normal 5 2 2 4 3 6" xfId="7861"/>
    <cellStyle name="Normal 5 2 2 4 3 6 2" xfId="20496"/>
    <cellStyle name="Normal 5 2 2 4 3 7" xfId="16946"/>
    <cellStyle name="Normal 5 2 2 4 4" xfId="2827"/>
    <cellStyle name="Normal 5 2 2 4 4 2" xfId="5205"/>
    <cellStyle name="Normal 5 2 2 4 4 2 2" xfId="14042"/>
    <cellStyle name="Normal 5 2 2 4 4 2 2 2" xfId="24293"/>
    <cellStyle name="Normal 5 2 2 4 4 2 3" xfId="10463"/>
    <cellStyle name="Normal 5 2 2 4 4 2 4" xfId="19286"/>
    <cellStyle name="Normal 5 2 2 4 4 3" xfId="6660"/>
    <cellStyle name="Normal 5 2 2 4 4 3 2" xfId="15487"/>
    <cellStyle name="Normal 5 2 2 4 4 3 3" xfId="25738"/>
    <cellStyle name="Normal 5 2 2 4 4 4" xfId="8106"/>
    <cellStyle name="Normal 5 2 2 4 4 4 2" xfId="22188"/>
    <cellStyle name="Normal 5 2 2 4 4 5" xfId="17181"/>
    <cellStyle name="Normal 5 2 2 4 5" xfId="4159"/>
    <cellStyle name="Normal 5 2 2 4 5 2" xfId="12997"/>
    <cellStyle name="Normal 5 2 2 4 5 2 2" xfId="23248"/>
    <cellStyle name="Normal 5 2 2 4 5 3" xfId="9418"/>
    <cellStyle name="Normal 5 2 2 4 5 4" xfId="18241"/>
    <cellStyle name="Normal 5 2 2 4 6" xfId="1936"/>
    <cellStyle name="Normal 5 2 2 4 6 2" xfId="11301"/>
    <cellStyle name="Normal 5 2 2 4 6 3" xfId="21305"/>
    <cellStyle name="Normal 5 2 2 4 7" xfId="5617"/>
    <cellStyle name="Normal 5 2 2 4 7 2" xfId="14444"/>
    <cellStyle name="Normal 5 2 2 4 7 3" xfId="24695"/>
    <cellStyle name="Normal 5 2 2 4 8" xfId="7061"/>
    <cellStyle name="Normal 5 2 2 4 8 2" xfId="19787"/>
    <cellStyle name="Normal 5 2 2 4 9" xfId="16298"/>
    <cellStyle name="Normal 5 2 2 4_Degree data" xfId="3889"/>
    <cellStyle name="Normal 5 2 2 5" xfId="791"/>
    <cellStyle name="Normal 5 2 2 5 2" xfId="3276"/>
    <cellStyle name="Normal 5 2 2 5 2 2" xfId="12418"/>
    <cellStyle name="Normal 5 2 2 5 2 2 2" xfId="22637"/>
    <cellStyle name="Normal 5 2 2 5 2 3" xfId="8840"/>
    <cellStyle name="Normal 5 2 2 5 2 4" xfId="17630"/>
    <cellStyle name="Normal 5 2 2 5 3" xfId="4605"/>
    <cellStyle name="Normal 5 2 2 5 3 2" xfId="13443"/>
    <cellStyle name="Normal 5 2 2 5 3 2 2" xfId="23694"/>
    <cellStyle name="Normal 5 2 2 5 3 3" xfId="9864"/>
    <cellStyle name="Normal 5 2 2 5 3 4" xfId="18687"/>
    <cellStyle name="Normal 5 2 2 5 4" xfId="2385"/>
    <cellStyle name="Normal 5 2 2 5 4 2" xfId="11750"/>
    <cellStyle name="Normal 5 2 2 5 4 3" xfId="21754"/>
    <cellStyle name="Normal 5 2 2 5 5" xfId="6061"/>
    <cellStyle name="Normal 5 2 2 5 5 2" xfId="14888"/>
    <cellStyle name="Normal 5 2 2 5 5 3" xfId="25139"/>
    <cellStyle name="Normal 5 2 2 5 6" xfId="7506"/>
    <cellStyle name="Normal 5 2 2 5 6 2" xfId="20236"/>
    <cellStyle name="Normal 5 2 2 5 7" xfId="16747"/>
    <cellStyle name="Normal 5 2 2 6" xfId="1068"/>
    <cellStyle name="Normal 5 2 2 6 2" xfId="3497"/>
    <cellStyle name="Normal 5 2 2 6 2 2" xfId="12633"/>
    <cellStyle name="Normal 5 2 2 6 2 2 2" xfId="22852"/>
    <cellStyle name="Normal 5 2 2 6 2 3" xfId="9055"/>
    <cellStyle name="Normal 5 2 2 6 2 4" xfId="17845"/>
    <cellStyle name="Normal 5 2 2 6 3" xfId="4954"/>
    <cellStyle name="Normal 5 2 2 6 3 2" xfId="13791"/>
    <cellStyle name="Normal 5 2 2 6 3 2 2" xfId="24042"/>
    <cellStyle name="Normal 5 2 2 6 3 3" xfId="10212"/>
    <cellStyle name="Normal 5 2 2 6 3 4" xfId="19035"/>
    <cellStyle name="Normal 5 2 2 6 4" xfId="2593"/>
    <cellStyle name="Normal 5 2 2 6 4 2" xfId="11957"/>
    <cellStyle name="Normal 5 2 2 6 4 3" xfId="21961"/>
    <cellStyle name="Normal 5 2 2 6 5" xfId="6409"/>
    <cellStyle name="Normal 5 2 2 6 5 2" xfId="15236"/>
    <cellStyle name="Normal 5 2 2 6 5 3" xfId="25487"/>
    <cellStyle name="Normal 5 2 2 6 6" xfId="7855"/>
    <cellStyle name="Normal 5 2 2 6 6 2" xfId="20451"/>
    <cellStyle name="Normal 5 2 2 6 7" xfId="16954"/>
    <cellStyle name="Normal 5 2 2 7" xfId="2635"/>
    <cellStyle name="Normal 5 2 2 7 2" xfId="5160"/>
    <cellStyle name="Normal 5 2 2 7 2 2" xfId="13997"/>
    <cellStyle name="Normal 5 2 2 7 2 2 2" xfId="24248"/>
    <cellStyle name="Normal 5 2 2 7 2 3" xfId="10418"/>
    <cellStyle name="Normal 5 2 2 7 2 4" xfId="19241"/>
    <cellStyle name="Normal 5 2 2 7 3" xfId="6615"/>
    <cellStyle name="Normal 5 2 2 7 3 2" xfId="15442"/>
    <cellStyle name="Normal 5 2 2 7 3 3" xfId="25693"/>
    <cellStyle name="Normal 5 2 2 7 4" xfId="8061"/>
    <cellStyle name="Normal 5 2 2 7 4 2" xfId="21997"/>
    <cellStyle name="Normal 5 2 2 7 5" xfId="16990"/>
    <cellStyle name="Normal 5 2 2 8" xfId="4114"/>
    <cellStyle name="Normal 5 2 2 8 2" xfId="5572"/>
    <cellStyle name="Normal 5 2 2 8 2 2" xfId="14399"/>
    <cellStyle name="Normal 5 2 2 8 2 3" xfId="24650"/>
    <cellStyle name="Normal 5 2 2 8 3" xfId="7016"/>
    <cellStyle name="Normal 5 2 2 8 3 2" xfId="23203"/>
    <cellStyle name="Normal 5 2 2 8 4" xfId="18196"/>
    <cellStyle name="Normal 5 2 2 9" xfId="1433"/>
    <cellStyle name="Normal 5 2 2 9 2" xfId="10810"/>
    <cellStyle name="Normal 5 2 2 9 3" xfId="20814"/>
    <cellStyle name="Normal 5 2 2_Degree data" xfId="3848"/>
    <cellStyle name="Normal 5 2 3" xfId="205"/>
    <cellStyle name="Normal 5 2 4" xfId="186"/>
    <cellStyle name="Normal 5 2 4 10" xfId="7134"/>
    <cellStyle name="Normal 5 2 4 10 2" xfId="19643"/>
    <cellStyle name="Normal 5 2 4 11" xfId="15880"/>
    <cellStyle name="Normal 5 2 4 2" xfId="514"/>
    <cellStyle name="Normal 5 2 4 2 2" xfId="799"/>
    <cellStyle name="Normal 5 2 4 2 2 2" xfId="3284"/>
    <cellStyle name="Normal 5 2 4 2 2 2 2" xfId="12426"/>
    <cellStyle name="Normal 5 2 4 2 2 2 2 2" xfId="22645"/>
    <cellStyle name="Normal 5 2 4 2 2 2 3" xfId="8848"/>
    <cellStyle name="Normal 5 2 4 2 2 2 4" xfId="17638"/>
    <cellStyle name="Normal 5 2 4 2 2 3" xfId="4613"/>
    <cellStyle name="Normal 5 2 4 2 2 3 2" xfId="13451"/>
    <cellStyle name="Normal 5 2 4 2 2 3 2 2" xfId="23702"/>
    <cellStyle name="Normal 5 2 4 2 2 3 3" xfId="9872"/>
    <cellStyle name="Normal 5 2 4 2 2 3 4" xfId="18695"/>
    <cellStyle name="Normal 5 2 4 2 2 4" xfId="2393"/>
    <cellStyle name="Normal 5 2 4 2 2 4 2" xfId="11758"/>
    <cellStyle name="Normal 5 2 4 2 2 4 3" xfId="21762"/>
    <cellStyle name="Normal 5 2 4 2 2 5" xfId="6069"/>
    <cellStyle name="Normal 5 2 4 2 2 5 2" xfId="14896"/>
    <cellStyle name="Normal 5 2 4 2 2 5 3" xfId="25147"/>
    <cellStyle name="Normal 5 2 4 2 2 6" xfId="7514"/>
    <cellStyle name="Normal 5 2 4 2 2 6 2" xfId="20244"/>
    <cellStyle name="Normal 5 2 4 2 2 7" xfId="16755"/>
    <cellStyle name="Normal 5 2 4 2 3" xfId="1286"/>
    <cellStyle name="Normal 5 2 4 2 3 2" xfId="3715"/>
    <cellStyle name="Normal 5 2 4 2 3 2 2" xfId="12851"/>
    <cellStyle name="Normal 5 2 4 2 3 2 2 2" xfId="23070"/>
    <cellStyle name="Normal 5 2 4 2 3 2 3" xfId="9272"/>
    <cellStyle name="Normal 5 2 4 2 3 2 4" xfId="18063"/>
    <cellStyle name="Normal 5 2 4 2 3 3" xfId="4962"/>
    <cellStyle name="Normal 5 2 4 2 3 3 2" xfId="13799"/>
    <cellStyle name="Normal 5 2 4 2 3 3 2 2" xfId="24050"/>
    <cellStyle name="Normal 5 2 4 2 3 3 3" xfId="10220"/>
    <cellStyle name="Normal 5 2 4 2 3 3 4" xfId="19043"/>
    <cellStyle name="Normal 5 2 4 2 3 4" xfId="2109"/>
    <cellStyle name="Normal 5 2 4 2 3 4 2" xfId="11474"/>
    <cellStyle name="Normal 5 2 4 2 3 4 3" xfId="21478"/>
    <cellStyle name="Normal 5 2 4 2 3 5" xfId="6417"/>
    <cellStyle name="Normal 5 2 4 2 3 5 2" xfId="15244"/>
    <cellStyle name="Normal 5 2 4 2 3 5 3" xfId="25495"/>
    <cellStyle name="Normal 5 2 4 2 3 6" xfId="7863"/>
    <cellStyle name="Normal 5 2 4 2 3 6 2" xfId="20669"/>
    <cellStyle name="Normal 5 2 4 2 3 7" xfId="16471"/>
    <cellStyle name="Normal 5 2 4 2 4" xfId="3000"/>
    <cellStyle name="Normal 5 2 4 2 4 2" xfId="5378"/>
    <cellStyle name="Normal 5 2 4 2 4 2 2" xfId="14215"/>
    <cellStyle name="Normal 5 2 4 2 4 2 2 2" xfId="24466"/>
    <cellStyle name="Normal 5 2 4 2 4 2 3" xfId="10636"/>
    <cellStyle name="Normal 5 2 4 2 4 2 4" xfId="19459"/>
    <cellStyle name="Normal 5 2 4 2 4 3" xfId="6833"/>
    <cellStyle name="Normal 5 2 4 2 4 3 2" xfId="15660"/>
    <cellStyle name="Normal 5 2 4 2 4 3 3" xfId="25911"/>
    <cellStyle name="Normal 5 2 4 2 4 4" xfId="8279"/>
    <cellStyle name="Normal 5 2 4 2 4 4 2" xfId="22361"/>
    <cellStyle name="Normal 5 2 4 2 4 5" xfId="17354"/>
    <cellStyle name="Normal 5 2 4 2 5" xfId="4334"/>
    <cellStyle name="Normal 5 2 4 2 5 2" xfId="13172"/>
    <cellStyle name="Normal 5 2 4 2 5 2 2" xfId="23423"/>
    <cellStyle name="Normal 5 2 4 2 5 3" xfId="9593"/>
    <cellStyle name="Normal 5 2 4 2 5 4" xfId="18416"/>
    <cellStyle name="Normal 5 2 4 2 6" xfId="1606"/>
    <cellStyle name="Normal 5 2 4 2 6 2" xfId="10983"/>
    <cellStyle name="Normal 5 2 4 2 6 3" xfId="20987"/>
    <cellStyle name="Normal 5 2 4 2 7" xfId="5790"/>
    <cellStyle name="Normal 5 2 4 2 7 2" xfId="14617"/>
    <cellStyle name="Normal 5 2 4 2 7 3" xfId="24868"/>
    <cellStyle name="Normal 5 2 4 2 8" xfId="7234"/>
    <cellStyle name="Normal 5 2 4 2 8 2" xfId="19960"/>
    <cellStyle name="Normal 5 2 4 2 9" xfId="15980"/>
    <cellStyle name="Normal 5 2 4 2_Degree data" xfId="3840"/>
    <cellStyle name="Normal 5 2 4 3" xfId="414"/>
    <cellStyle name="Normal 5 2 4 3 2" xfId="2900"/>
    <cellStyle name="Normal 5 2 4 3 2 2" xfId="12188"/>
    <cellStyle name="Normal 5 2 4 3 2 2 2" xfId="22261"/>
    <cellStyle name="Normal 5 2 4 3 2 3" xfId="8522"/>
    <cellStyle name="Normal 5 2 4 3 2 4" xfId="17254"/>
    <cellStyle name="Normal 5 2 4 3 3" xfId="4612"/>
    <cellStyle name="Normal 5 2 4 3 3 2" xfId="13450"/>
    <cellStyle name="Normal 5 2 4 3 3 2 2" xfId="23701"/>
    <cellStyle name="Normal 5 2 4 3 3 3" xfId="9871"/>
    <cellStyle name="Normal 5 2 4 3 3 4" xfId="18694"/>
    <cellStyle name="Normal 5 2 4 3 4" xfId="2009"/>
    <cellStyle name="Normal 5 2 4 3 4 2" xfId="11374"/>
    <cellStyle name="Normal 5 2 4 3 4 3" xfId="21378"/>
    <cellStyle name="Normal 5 2 4 3 5" xfId="6068"/>
    <cellStyle name="Normal 5 2 4 3 5 2" xfId="14895"/>
    <cellStyle name="Normal 5 2 4 3 5 3" xfId="25146"/>
    <cellStyle name="Normal 5 2 4 3 6" xfId="7513"/>
    <cellStyle name="Normal 5 2 4 3 6 2" xfId="19860"/>
    <cellStyle name="Normal 5 2 4 3 7" xfId="16371"/>
    <cellStyle name="Normal 5 2 4 4" xfId="798"/>
    <cellStyle name="Normal 5 2 4 4 2" xfId="3283"/>
    <cellStyle name="Normal 5 2 4 4 2 2" xfId="12425"/>
    <cellStyle name="Normal 5 2 4 4 2 2 2" xfId="22644"/>
    <cellStyle name="Normal 5 2 4 4 2 3" xfId="8847"/>
    <cellStyle name="Normal 5 2 4 4 2 4" xfId="17637"/>
    <cellStyle name="Normal 5 2 4 4 3" xfId="4961"/>
    <cellStyle name="Normal 5 2 4 4 3 2" xfId="13798"/>
    <cellStyle name="Normal 5 2 4 4 3 2 2" xfId="24049"/>
    <cellStyle name="Normal 5 2 4 4 3 3" xfId="10219"/>
    <cellStyle name="Normal 5 2 4 4 3 4" xfId="19042"/>
    <cellStyle name="Normal 5 2 4 4 4" xfId="2392"/>
    <cellStyle name="Normal 5 2 4 4 4 2" xfId="11757"/>
    <cellStyle name="Normal 5 2 4 4 4 3" xfId="21761"/>
    <cellStyle name="Normal 5 2 4 4 5" xfId="6416"/>
    <cellStyle name="Normal 5 2 4 4 5 2" xfId="15243"/>
    <cellStyle name="Normal 5 2 4 4 5 3" xfId="25494"/>
    <cellStyle name="Normal 5 2 4 4 6" xfId="7862"/>
    <cellStyle name="Normal 5 2 4 4 6 2" xfId="20243"/>
    <cellStyle name="Normal 5 2 4 4 7" xfId="16754"/>
    <cellStyle name="Normal 5 2 4 5" xfId="1186"/>
    <cellStyle name="Normal 5 2 4 5 2" xfId="3615"/>
    <cellStyle name="Normal 5 2 4 5 2 2" xfId="12751"/>
    <cellStyle name="Normal 5 2 4 5 2 2 2" xfId="22970"/>
    <cellStyle name="Normal 5 2 4 5 2 3" xfId="9172"/>
    <cellStyle name="Normal 5 2 4 5 2 4" xfId="17963"/>
    <cellStyle name="Normal 5 2 4 5 3" xfId="5278"/>
    <cellStyle name="Normal 5 2 4 5 3 2" xfId="14115"/>
    <cellStyle name="Normal 5 2 4 5 3 2 2" xfId="24366"/>
    <cellStyle name="Normal 5 2 4 5 3 3" xfId="10536"/>
    <cellStyle name="Normal 5 2 4 5 3 4" xfId="19359"/>
    <cellStyle name="Normal 5 2 4 5 4" xfId="1788"/>
    <cellStyle name="Normal 5 2 4 5 4 2" xfId="11157"/>
    <cellStyle name="Normal 5 2 4 5 4 3" xfId="21161"/>
    <cellStyle name="Normal 5 2 4 5 5" xfId="6733"/>
    <cellStyle name="Normal 5 2 4 5 5 2" xfId="15560"/>
    <cellStyle name="Normal 5 2 4 5 5 3" xfId="25811"/>
    <cellStyle name="Normal 5 2 4 5 6" xfId="8179"/>
    <cellStyle name="Normal 5 2 4 5 6 2" xfId="20569"/>
    <cellStyle name="Normal 5 2 4 5 7" xfId="16154"/>
    <cellStyle name="Normal 5 2 4 6" xfId="2683"/>
    <cellStyle name="Normal 5 2 4 6 2" xfId="12000"/>
    <cellStyle name="Normal 5 2 4 6 2 2" xfId="22044"/>
    <cellStyle name="Normal 5 2 4 6 3" xfId="8560"/>
    <cellStyle name="Normal 5 2 4 6 4" xfId="17037"/>
    <cellStyle name="Normal 5 2 4 7" xfId="4234"/>
    <cellStyle name="Normal 5 2 4 7 2" xfId="13072"/>
    <cellStyle name="Normal 5 2 4 7 2 2" xfId="23323"/>
    <cellStyle name="Normal 5 2 4 7 3" xfId="9493"/>
    <cellStyle name="Normal 5 2 4 7 4" xfId="18316"/>
    <cellStyle name="Normal 5 2 4 8" xfId="1506"/>
    <cellStyle name="Normal 5 2 4 8 2" xfId="10883"/>
    <cellStyle name="Normal 5 2 4 8 3" xfId="20887"/>
    <cellStyle name="Normal 5 2 4 9" xfId="5690"/>
    <cellStyle name="Normal 5 2 4 9 2" xfId="14517"/>
    <cellStyle name="Normal 5 2 4 9 3" xfId="24768"/>
    <cellStyle name="Normal 5 2 4_Degree data" xfId="3880"/>
    <cellStyle name="Normal 5 2 5" xfId="241"/>
    <cellStyle name="Normal 5 2 5 10" xfId="7079"/>
    <cellStyle name="Normal 5 2 5 10 2" xfId="19693"/>
    <cellStyle name="Normal 5 2 5 11" xfId="15825"/>
    <cellStyle name="Normal 5 2 5 2" xfId="564"/>
    <cellStyle name="Normal 5 2 5 2 2" xfId="801"/>
    <cellStyle name="Normal 5 2 5 2 2 2" xfId="3286"/>
    <cellStyle name="Normal 5 2 5 2 2 2 2" xfId="12428"/>
    <cellStyle name="Normal 5 2 5 2 2 2 2 2" xfId="22647"/>
    <cellStyle name="Normal 5 2 5 2 2 2 3" xfId="8850"/>
    <cellStyle name="Normal 5 2 5 2 2 2 4" xfId="17640"/>
    <cellStyle name="Normal 5 2 5 2 2 3" xfId="4615"/>
    <cellStyle name="Normal 5 2 5 2 2 3 2" xfId="13453"/>
    <cellStyle name="Normal 5 2 5 2 2 3 2 2" xfId="23704"/>
    <cellStyle name="Normal 5 2 5 2 2 3 3" xfId="9874"/>
    <cellStyle name="Normal 5 2 5 2 2 3 4" xfId="18697"/>
    <cellStyle name="Normal 5 2 5 2 2 4" xfId="2395"/>
    <cellStyle name="Normal 5 2 5 2 2 4 2" xfId="11760"/>
    <cellStyle name="Normal 5 2 5 2 2 4 3" xfId="21764"/>
    <cellStyle name="Normal 5 2 5 2 2 5" xfId="6071"/>
    <cellStyle name="Normal 5 2 5 2 2 5 2" xfId="14898"/>
    <cellStyle name="Normal 5 2 5 2 2 5 3" xfId="25149"/>
    <cellStyle name="Normal 5 2 5 2 2 6" xfId="7516"/>
    <cellStyle name="Normal 5 2 5 2 2 6 2" xfId="20246"/>
    <cellStyle name="Normal 5 2 5 2 2 7" xfId="16757"/>
    <cellStyle name="Normal 5 2 5 2 3" xfId="1336"/>
    <cellStyle name="Normal 5 2 5 2 3 2" xfId="3765"/>
    <cellStyle name="Normal 5 2 5 2 3 2 2" xfId="12901"/>
    <cellStyle name="Normal 5 2 5 2 3 2 2 2" xfId="23120"/>
    <cellStyle name="Normal 5 2 5 2 3 2 3" xfId="9322"/>
    <cellStyle name="Normal 5 2 5 2 3 2 4" xfId="18113"/>
    <cellStyle name="Normal 5 2 5 2 3 3" xfId="4964"/>
    <cellStyle name="Normal 5 2 5 2 3 3 2" xfId="13801"/>
    <cellStyle name="Normal 5 2 5 2 3 3 2 2" xfId="24052"/>
    <cellStyle name="Normal 5 2 5 2 3 3 3" xfId="10222"/>
    <cellStyle name="Normal 5 2 5 2 3 3 4" xfId="19045"/>
    <cellStyle name="Normal 5 2 5 2 3 4" xfId="2159"/>
    <cellStyle name="Normal 5 2 5 2 3 4 2" xfId="11524"/>
    <cellStyle name="Normal 5 2 5 2 3 4 3" xfId="21528"/>
    <cellStyle name="Normal 5 2 5 2 3 5" xfId="6419"/>
    <cellStyle name="Normal 5 2 5 2 3 5 2" xfId="15246"/>
    <cellStyle name="Normal 5 2 5 2 3 5 3" xfId="25497"/>
    <cellStyle name="Normal 5 2 5 2 3 6" xfId="7865"/>
    <cellStyle name="Normal 5 2 5 2 3 6 2" xfId="20719"/>
    <cellStyle name="Normal 5 2 5 2 3 7" xfId="16521"/>
    <cellStyle name="Normal 5 2 5 2 4" xfId="3050"/>
    <cellStyle name="Normal 5 2 5 2 4 2" xfId="5428"/>
    <cellStyle name="Normal 5 2 5 2 4 2 2" xfId="14265"/>
    <cellStyle name="Normal 5 2 5 2 4 2 2 2" xfId="24516"/>
    <cellStyle name="Normal 5 2 5 2 4 2 3" xfId="10686"/>
    <cellStyle name="Normal 5 2 5 2 4 2 4" xfId="19509"/>
    <cellStyle name="Normal 5 2 5 2 4 3" xfId="6883"/>
    <cellStyle name="Normal 5 2 5 2 4 3 2" xfId="15710"/>
    <cellStyle name="Normal 5 2 5 2 4 3 3" xfId="25961"/>
    <cellStyle name="Normal 5 2 5 2 4 4" xfId="8329"/>
    <cellStyle name="Normal 5 2 5 2 4 4 2" xfId="22411"/>
    <cellStyle name="Normal 5 2 5 2 4 5" xfId="17404"/>
    <cellStyle name="Normal 5 2 5 2 5" xfId="4384"/>
    <cellStyle name="Normal 5 2 5 2 5 2" xfId="13222"/>
    <cellStyle name="Normal 5 2 5 2 5 2 2" xfId="23473"/>
    <cellStyle name="Normal 5 2 5 2 5 3" xfId="9643"/>
    <cellStyle name="Normal 5 2 5 2 5 4" xfId="18466"/>
    <cellStyle name="Normal 5 2 5 2 6" xfId="1656"/>
    <cellStyle name="Normal 5 2 5 2 6 2" xfId="11033"/>
    <cellStyle name="Normal 5 2 5 2 6 3" xfId="21037"/>
    <cellStyle name="Normal 5 2 5 2 7" xfId="5840"/>
    <cellStyle name="Normal 5 2 5 2 7 2" xfId="14667"/>
    <cellStyle name="Normal 5 2 5 2 7 3" xfId="24918"/>
    <cellStyle name="Normal 5 2 5 2 8" xfId="7284"/>
    <cellStyle name="Normal 5 2 5 2 8 2" xfId="20010"/>
    <cellStyle name="Normal 5 2 5 2 9" xfId="16030"/>
    <cellStyle name="Normal 5 2 5 2_Degree data" xfId="3852"/>
    <cellStyle name="Normal 5 2 5 3" xfId="359"/>
    <cellStyle name="Normal 5 2 5 3 2" xfId="2845"/>
    <cellStyle name="Normal 5 2 5 3 2 2" xfId="12133"/>
    <cellStyle name="Normal 5 2 5 3 2 2 2" xfId="22206"/>
    <cellStyle name="Normal 5 2 5 3 2 3" xfId="8474"/>
    <cellStyle name="Normal 5 2 5 3 2 4" xfId="17199"/>
    <cellStyle name="Normal 5 2 5 3 3" xfId="4614"/>
    <cellStyle name="Normal 5 2 5 3 3 2" xfId="13452"/>
    <cellStyle name="Normal 5 2 5 3 3 2 2" xfId="23703"/>
    <cellStyle name="Normal 5 2 5 3 3 3" xfId="9873"/>
    <cellStyle name="Normal 5 2 5 3 3 4" xfId="18696"/>
    <cellStyle name="Normal 5 2 5 3 4" xfId="1954"/>
    <cellStyle name="Normal 5 2 5 3 4 2" xfId="11319"/>
    <cellStyle name="Normal 5 2 5 3 4 3" xfId="21323"/>
    <cellStyle name="Normal 5 2 5 3 5" xfId="6070"/>
    <cellStyle name="Normal 5 2 5 3 5 2" xfId="14897"/>
    <cellStyle name="Normal 5 2 5 3 5 3" xfId="25148"/>
    <cellStyle name="Normal 5 2 5 3 6" xfId="7515"/>
    <cellStyle name="Normal 5 2 5 3 6 2" xfId="19805"/>
    <cellStyle name="Normal 5 2 5 3 7" xfId="16316"/>
    <cellStyle name="Normal 5 2 5 4" xfId="800"/>
    <cellStyle name="Normal 5 2 5 4 2" xfId="3285"/>
    <cellStyle name="Normal 5 2 5 4 2 2" xfId="12427"/>
    <cellStyle name="Normal 5 2 5 4 2 2 2" xfId="22646"/>
    <cellStyle name="Normal 5 2 5 4 2 3" xfId="8849"/>
    <cellStyle name="Normal 5 2 5 4 2 4" xfId="17639"/>
    <cellStyle name="Normal 5 2 5 4 3" xfId="4963"/>
    <cellStyle name="Normal 5 2 5 4 3 2" xfId="13800"/>
    <cellStyle name="Normal 5 2 5 4 3 2 2" xfId="24051"/>
    <cellStyle name="Normal 5 2 5 4 3 3" xfId="10221"/>
    <cellStyle name="Normal 5 2 5 4 3 4" xfId="19044"/>
    <cellStyle name="Normal 5 2 5 4 4" xfId="2394"/>
    <cellStyle name="Normal 5 2 5 4 4 2" xfId="11759"/>
    <cellStyle name="Normal 5 2 5 4 4 3" xfId="21763"/>
    <cellStyle name="Normal 5 2 5 4 5" xfId="6418"/>
    <cellStyle name="Normal 5 2 5 4 5 2" xfId="15245"/>
    <cellStyle name="Normal 5 2 5 4 5 3" xfId="25496"/>
    <cellStyle name="Normal 5 2 5 4 6" xfId="7864"/>
    <cellStyle name="Normal 5 2 5 4 6 2" xfId="20245"/>
    <cellStyle name="Normal 5 2 5 4 7" xfId="16756"/>
    <cellStyle name="Normal 5 2 5 5" xfId="1131"/>
    <cellStyle name="Normal 5 2 5 5 2" xfId="3560"/>
    <cellStyle name="Normal 5 2 5 5 2 2" xfId="12696"/>
    <cellStyle name="Normal 5 2 5 5 2 2 2" xfId="22915"/>
    <cellStyle name="Normal 5 2 5 5 2 3" xfId="9117"/>
    <cellStyle name="Normal 5 2 5 5 2 4" xfId="17908"/>
    <cellStyle name="Normal 5 2 5 5 3" xfId="5223"/>
    <cellStyle name="Normal 5 2 5 5 3 2" xfId="14060"/>
    <cellStyle name="Normal 5 2 5 5 3 2 2" xfId="24311"/>
    <cellStyle name="Normal 5 2 5 5 3 3" xfId="10481"/>
    <cellStyle name="Normal 5 2 5 5 3 4" xfId="19304"/>
    <cellStyle name="Normal 5 2 5 5 4" xfId="1839"/>
    <cellStyle name="Normal 5 2 5 5 4 2" xfId="11207"/>
    <cellStyle name="Normal 5 2 5 5 4 3" xfId="21211"/>
    <cellStyle name="Normal 5 2 5 5 5" xfId="6678"/>
    <cellStyle name="Normal 5 2 5 5 5 2" xfId="15505"/>
    <cellStyle name="Normal 5 2 5 5 5 3" xfId="25756"/>
    <cellStyle name="Normal 5 2 5 5 6" xfId="8124"/>
    <cellStyle name="Normal 5 2 5 5 6 2" xfId="20514"/>
    <cellStyle name="Normal 5 2 5 5 7" xfId="16204"/>
    <cellStyle name="Normal 5 2 5 6" xfId="2733"/>
    <cellStyle name="Normal 5 2 5 6 2" xfId="12050"/>
    <cellStyle name="Normal 5 2 5 6 2 2" xfId="22094"/>
    <cellStyle name="Normal 5 2 5 6 3" xfId="8403"/>
    <cellStyle name="Normal 5 2 5 6 4" xfId="17087"/>
    <cellStyle name="Normal 5 2 5 7" xfId="4179"/>
    <cellStyle name="Normal 5 2 5 7 2" xfId="13017"/>
    <cellStyle name="Normal 5 2 5 7 2 2" xfId="23268"/>
    <cellStyle name="Normal 5 2 5 7 3" xfId="9438"/>
    <cellStyle name="Normal 5 2 5 7 4" xfId="18261"/>
    <cellStyle name="Normal 5 2 5 8" xfId="1451"/>
    <cellStyle name="Normal 5 2 5 8 2" xfId="10828"/>
    <cellStyle name="Normal 5 2 5 8 3" xfId="20832"/>
    <cellStyle name="Normal 5 2 5 9" xfId="5635"/>
    <cellStyle name="Normal 5 2 5 9 2" xfId="14462"/>
    <cellStyle name="Normal 5 2 5 9 3" xfId="24713"/>
    <cellStyle name="Normal 5 2 5_Degree data" xfId="3877"/>
    <cellStyle name="Normal 5 2 6" xfId="300"/>
    <cellStyle name="Normal 5 2 6 10" xfId="16085"/>
    <cellStyle name="Normal 5 2 6 2" xfId="619"/>
    <cellStyle name="Normal 5 2 6 2 2" xfId="3105"/>
    <cellStyle name="Normal 5 2 6 2 2 2" xfId="12248"/>
    <cellStyle name="Normal 5 2 6 2 2 2 2" xfId="22466"/>
    <cellStyle name="Normal 5 2 6 2 2 3" xfId="8670"/>
    <cellStyle name="Normal 5 2 6 2 2 4" xfId="17459"/>
    <cellStyle name="Normal 5 2 6 2 3" xfId="4616"/>
    <cellStyle name="Normal 5 2 6 2 3 2" xfId="13454"/>
    <cellStyle name="Normal 5 2 6 2 3 2 2" xfId="23705"/>
    <cellStyle name="Normal 5 2 6 2 3 3" xfId="9875"/>
    <cellStyle name="Normal 5 2 6 2 3 4" xfId="18698"/>
    <cellStyle name="Normal 5 2 6 2 4" xfId="2214"/>
    <cellStyle name="Normal 5 2 6 2 4 2" xfId="11579"/>
    <cellStyle name="Normal 5 2 6 2 4 3" xfId="21583"/>
    <cellStyle name="Normal 5 2 6 2 5" xfId="6072"/>
    <cellStyle name="Normal 5 2 6 2 5 2" xfId="14899"/>
    <cellStyle name="Normal 5 2 6 2 5 3" xfId="25150"/>
    <cellStyle name="Normal 5 2 6 2 6" xfId="7517"/>
    <cellStyle name="Normal 5 2 6 2 6 2" xfId="20065"/>
    <cellStyle name="Normal 5 2 6 2 7" xfId="16576"/>
    <cellStyle name="Normal 5 2 6 3" xfId="802"/>
    <cellStyle name="Normal 5 2 6 3 2" xfId="3287"/>
    <cellStyle name="Normal 5 2 6 3 2 2" xfId="12429"/>
    <cellStyle name="Normal 5 2 6 3 2 2 2" xfId="22648"/>
    <cellStyle name="Normal 5 2 6 3 2 3" xfId="8851"/>
    <cellStyle name="Normal 5 2 6 3 2 4" xfId="17641"/>
    <cellStyle name="Normal 5 2 6 3 3" xfId="4965"/>
    <cellStyle name="Normal 5 2 6 3 3 2" xfId="13802"/>
    <cellStyle name="Normal 5 2 6 3 3 2 2" xfId="24053"/>
    <cellStyle name="Normal 5 2 6 3 3 3" xfId="10223"/>
    <cellStyle name="Normal 5 2 6 3 3 4" xfId="19046"/>
    <cellStyle name="Normal 5 2 6 3 4" xfId="2396"/>
    <cellStyle name="Normal 5 2 6 3 4 2" xfId="11761"/>
    <cellStyle name="Normal 5 2 6 3 4 3" xfId="21765"/>
    <cellStyle name="Normal 5 2 6 3 5" xfId="6420"/>
    <cellStyle name="Normal 5 2 6 3 5 2" xfId="15247"/>
    <cellStyle name="Normal 5 2 6 3 5 3" xfId="25498"/>
    <cellStyle name="Normal 5 2 6 3 6" xfId="7866"/>
    <cellStyle name="Normal 5 2 6 3 6 2" xfId="20247"/>
    <cellStyle name="Normal 5 2 6 3 7" xfId="16758"/>
    <cellStyle name="Normal 5 2 6 4" xfId="1391"/>
    <cellStyle name="Normal 5 2 6 4 2" xfId="3820"/>
    <cellStyle name="Normal 5 2 6 4 2 2" xfId="12956"/>
    <cellStyle name="Normal 5 2 6 4 2 2 2" xfId="23175"/>
    <cellStyle name="Normal 5 2 6 4 2 3" xfId="9377"/>
    <cellStyle name="Normal 5 2 6 4 2 4" xfId="18168"/>
    <cellStyle name="Normal 5 2 6 4 3" xfId="5483"/>
    <cellStyle name="Normal 5 2 6 4 3 2" xfId="14320"/>
    <cellStyle name="Normal 5 2 6 4 3 2 2" xfId="24571"/>
    <cellStyle name="Normal 5 2 6 4 3 3" xfId="10741"/>
    <cellStyle name="Normal 5 2 6 4 3 4" xfId="19564"/>
    <cellStyle name="Normal 5 2 6 4 4" xfId="1895"/>
    <cellStyle name="Normal 5 2 6 4 4 2" xfId="11262"/>
    <cellStyle name="Normal 5 2 6 4 4 3" xfId="21266"/>
    <cellStyle name="Normal 5 2 6 4 5" xfId="6938"/>
    <cellStyle name="Normal 5 2 6 4 5 2" xfId="15765"/>
    <cellStyle name="Normal 5 2 6 4 5 3" xfId="26016"/>
    <cellStyle name="Normal 5 2 6 4 6" xfId="8384"/>
    <cellStyle name="Normal 5 2 6 4 6 2" xfId="20774"/>
    <cellStyle name="Normal 5 2 6 4 7" xfId="16259"/>
    <cellStyle name="Normal 5 2 6 5" xfId="2788"/>
    <cellStyle name="Normal 5 2 6 5 2" xfId="12105"/>
    <cellStyle name="Normal 5 2 6 5 2 2" xfId="22149"/>
    <cellStyle name="Normal 5 2 6 5 3" xfId="8393"/>
    <cellStyle name="Normal 5 2 6 5 4" xfId="17142"/>
    <cellStyle name="Normal 5 2 6 6" xfId="4439"/>
    <cellStyle name="Normal 5 2 6 6 2" xfId="13277"/>
    <cellStyle name="Normal 5 2 6 6 2 2" xfId="23528"/>
    <cellStyle name="Normal 5 2 6 6 3" xfId="9698"/>
    <cellStyle name="Normal 5 2 6 6 4" xfId="18521"/>
    <cellStyle name="Normal 5 2 6 7" xfId="1711"/>
    <cellStyle name="Normal 5 2 6 7 2" xfId="11088"/>
    <cellStyle name="Normal 5 2 6 7 3" xfId="21092"/>
    <cellStyle name="Normal 5 2 6 8" xfId="5895"/>
    <cellStyle name="Normal 5 2 6 8 2" xfId="14722"/>
    <cellStyle name="Normal 5 2 6 8 3" xfId="24973"/>
    <cellStyle name="Normal 5 2 6 9" xfId="7339"/>
    <cellStyle name="Normal 5 2 6 9 2" xfId="19748"/>
    <cellStyle name="Normal 5 2 6_Degree data" xfId="3923"/>
    <cellStyle name="Normal 5 2 7" xfId="459"/>
    <cellStyle name="Normal 5 2 7 2" xfId="803"/>
    <cellStyle name="Normal 5 2 7 2 2" xfId="3288"/>
    <cellStyle name="Normal 5 2 7 2 2 2" xfId="12430"/>
    <cellStyle name="Normal 5 2 7 2 2 2 2" xfId="22649"/>
    <cellStyle name="Normal 5 2 7 2 2 3" xfId="8852"/>
    <cellStyle name="Normal 5 2 7 2 2 4" xfId="17642"/>
    <cellStyle name="Normal 5 2 7 2 3" xfId="4617"/>
    <cellStyle name="Normal 5 2 7 2 3 2" xfId="13455"/>
    <cellStyle name="Normal 5 2 7 2 3 2 2" xfId="23706"/>
    <cellStyle name="Normal 5 2 7 2 3 3" xfId="9876"/>
    <cellStyle name="Normal 5 2 7 2 3 4" xfId="18699"/>
    <cellStyle name="Normal 5 2 7 2 4" xfId="2397"/>
    <cellStyle name="Normal 5 2 7 2 4 2" xfId="11762"/>
    <cellStyle name="Normal 5 2 7 2 4 3" xfId="21766"/>
    <cellStyle name="Normal 5 2 7 2 5" xfId="6073"/>
    <cellStyle name="Normal 5 2 7 2 5 2" xfId="14900"/>
    <cellStyle name="Normal 5 2 7 2 5 3" xfId="25151"/>
    <cellStyle name="Normal 5 2 7 2 6" xfId="7518"/>
    <cellStyle name="Normal 5 2 7 2 6 2" xfId="20248"/>
    <cellStyle name="Normal 5 2 7 2 7" xfId="16759"/>
    <cellStyle name="Normal 5 2 7 3" xfId="1231"/>
    <cellStyle name="Normal 5 2 7 3 2" xfId="3660"/>
    <cellStyle name="Normal 5 2 7 3 2 2" xfId="12796"/>
    <cellStyle name="Normal 5 2 7 3 2 2 2" xfId="23015"/>
    <cellStyle name="Normal 5 2 7 3 2 3" xfId="9217"/>
    <cellStyle name="Normal 5 2 7 3 2 4" xfId="18008"/>
    <cellStyle name="Normal 5 2 7 3 3" xfId="4966"/>
    <cellStyle name="Normal 5 2 7 3 3 2" xfId="13803"/>
    <cellStyle name="Normal 5 2 7 3 3 2 2" xfId="24054"/>
    <cellStyle name="Normal 5 2 7 3 3 3" xfId="10224"/>
    <cellStyle name="Normal 5 2 7 3 3 4" xfId="19047"/>
    <cellStyle name="Normal 5 2 7 3 4" xfId="2054"/>
    <cellStyle name="Normal 5 2 7 3 4 2" xfId="11419"/>
    <cellStyle name="Normal 5 2 7 3 4 3" xfId="21423"/>
    <cellStyle name="Normal 5 2 7 3 5" xfId="6421"/>
    <cellStyle name="Normal 5 2 7 3 5 2" xfId="15248"/>
    <cellStyle name="Normal 5 2 7 3 5 3" xfId="25499"/>
    <cellStyle name="Normal 5 2 7 3 6" xfId="7867"/>
    <cellStyle name="Normal 5 2 7 3 6 2" xfId="20614"/>
    <cellStyle name="Normal 5 2 7 3 7" xfId="16416"/>
    <cellStyle name="Normal 5 2 7 4" xfId="2945"/>
    <cellStyle name="Normal 5 2 7 4 2" xfId="5323"/>
    <cellStyle name="Normal 5 2 7 4 2 2" xfId="14160"/>
    <cellStyle name="Normal 5 2 7 4 2 2 2" xfId="24411"/>
    <cellStyle name="Normal 5 2 7 4 2 3" xfId="10581"/>
    <cellStyle name="Normal 5 2 7 4 2 4" xfId="19404"/>
    <cellStyle name="Normal 5 2 7 4 3" xfId="6778"/>
    <cellStyle name="Normal 5 2 7 4 3 2" xfId="15605"/>
    <cellStyle name="Normal 5 2 7 4 3 3" xfId="25856"/>
    <cellStyle name="Normal 5 2 7 4 4" xfId="8224"/>
    <cellStyle name="Normal 5 2 7 4 4 2" xfId="22306"/>
    <cellStyle name="Normal 5 2 7 4 5" xfId="17299"/>
    <cellStyle name="Normal 5 2 7 5" xfId="4279"/>
    <cellStyle name="Normal 5 2 7 5 2" xfId="13117"/>
    <cellStyle name="Normal 5 2 7 5 2 2" xfId="23368"/>
    <cellStyle name="Normal 5 2 7 5 3" xfId="9538"/>
    <cellStyle name="Normal 5 2 7 5 4" xfId="18361"/>
    <cellStyle name="Normal 5 2 7 6" xfId="1551"/>
    <cellStyle name="Normal 5 2 7 6 2" xfId="10928"/>
    <cellStyle name="Normal 5 2 7 6 3" xfId="20932"/>
    <cellStyle name="Normal 5 2 7 7" xfId="5735"/>
    <cellStyle name="Normal 5 2 7 7 2" xfId="14562"/>
    <cellStyle name="Normal 5 2 7 7 3" xfId="24813"/>
    <cellStyle name="Normal 5 2 7 8" xfId="7179"/>
    <cellStyle name="Normal 5 2 7 8 2" xfId="19905"/>
    <cellStyle name="Normal 5 2 7 9" xfId="15925"/>
    <cellStyle name="Normal 5 2 7_Degree data" xfId="3825"/>
    <cellStyle name="Normal 5 2 8" xfId="1727"/>
    <cellStyle name="Normal 5 2 8 2" xfId="11101"/>
    <cellStyle name="Normal 5 2 8 2 2" xfId="21105"/>
    <cellStyle name="Normal 5 2 8 3" xfId="8444"/>
    <cellStyle name="Normal 5 2 8 4" xfId="16098"/>
    <cellStyle name="Normal 5 2 9" xfId="2625"/>
    <cellStyle name="Normal 5 2 9 2" xfId="11974"/>
    <cellStyle name="Normal 5 2 9 2 2" xfId="21988"/>
    <cellStyle name="Normal 5 2 9 3" xfId="8597"/>
    <cellStyle name="Normal 5 2 9 4" xfId="16981"/>
    <cellStyle name="Normal 5 3" xfId="102"/>
    <cellStyle name="Normal 5 3 10" xfId="4106"/>
    <cellStyle name="Normal 5 3 10 2" xfId="5564"/>
    <cellStyle name="Normal 5 3 10 2 2" xfId="14391"/>
    <cellStyle name="Normal 5 3 10 2 3" xfId="24642"/>
    <cellStyle name="Normal 5 3 10 3" xfId="7008"/>
    <cellStyle name="Normal 5 3 10 3 2" xfId="23195"/>
    <cellStyle name="Normal 5 3 10 4" xfId="18188"/>
    <cellStyle name="Normal 5 3 11" xfId="1400"/>
    <cellStyle name="Normal 5 3 11 2" xfId="10777"/>
    <cellStyle name="Normal 5 3 11 3" xfId="20781"/>
    <cellStyle name="Normal 5 3 12" xfId="5534"/>
    <cellStyle name="Normal 5 3 12 2" xfId="14361"/>
    <cellStyle name="Normal 5 3 12 3" xfId="24612"/>
    <cellStyle name="Normal 5 3 13" xfId="6978"/>
    <cellStyle name="Normal 5 3 13 2" xfId="19584"/>
    <cellStyle name="Normal 5 3 14" xfId="15774"/>
    <cellStyle name="Normal 5 3 2" xfId="160"/>
    <cellStyle name="Normal 5 3 2 10" xfId="1425"/>
    <cellStyle name="Normal 5 3 2 10 2" xfId="10802"/>
    <cellStyle name="Normal 5 3 2 10 3" xfId="20806"/>
    <cellStyle name="Normal 5 3 2 11" xfId="5609"/>
    <cellStyle name="Normal 5 3 2 11 2" xfId="14436"/>
    <cellStyle name="Normal 5 3 2 11 3" xfId="24687"/>
    <cellStyle name="Normal 5 3 2 12" xfId="7053"/>
    <cellStyle name="Normal 5 3 2 12 2" xfId="19619"/>
    <cellStyle name="Normal 5 3 2 13" xfId="15799"/>
    <cellStyle name="Normal 5 3 2 2" xfId="272"/>
    <cellStyle name="Normal 5 3 2 2 10" xfId="7110"/>
    <cellStyle name="Normal 5 3 2 2 10 2" xfId="19723"/>
    <cellStyle name="Normal 5 3 2 2 11" xfId="15856"/>
    <cellStyle name="Normal 5 3 2 2 2" xfId="594"/>
    <cellStyle name="Normal 5 3 2 2 2 2" xfId="807"/>
    <cellStyle name="Normal 5 3 2 2 2 2 2" xfId="3292"/>
    <cellStyle name="Normal 5 3 2 2 2 2 2 2" xfId="12434"/>
    <cellStyle name="Normal 5 3 2 2 2 2 2 2 2" xfId="22653"/>
    <cellStyle name="Normal 5 3 2 2 2 2 2 3" xfId="8856"/>
    <cellStyle name="Normal 5 3 2 2 2 2 2 4" xfId="17646"/>
    <cellStyle name="Normal 5 3 2 2 2 2 3" xfId="4621"/>
    <cellStyle name="Normal 5 3 2 2 2 2 3 2" xfId="13459"/>
    <cellStyle name="Normal 5 3 2 2 2 2 3 2 2" xfId="23710"/>
    <cellStyle name="Normal 5 3 2 2 2 2 3 3" xfId="9880"/>
    <cellStyle name="Normal 5 3 2 2 2 2 3 4" xfId="18703"/>
    <cellStyle name="Normal 5 3 2 2 2 2 4" xfId="2401"/>
    <cellStyle name="Normal 5 3 2 2 2 2 4 2" xfId="11766"/>
    <cellStyle name="Normal 5 3 2 2 2 2 4 3" xfId="21770"/>
    <cellStyle name="Normal 5 3 2 2 2 2 5" xfId="6077"/>
    <cellStyle name="Normal 5 3 2 2 2 2 5 2" xfId="14904"/>
    <cellStyle name="Normal 5 3 2 2 2 2 5 3" xfId="25155"/>
    <cellStyle name="Normal 5 3 2 2 2 2 6" xfId="7522"/>
    <cellStyle name="Normal 5 3 2 2 2 2 6 2" xfId="20252"/>
    <cellStyle name="Normal 5 3 2 2 2 2 7" xfId="16763"/>
    <cellStyle name="Normal 5 3 2 2 2 3" xfId="1366"/>
    <cellStyle name="Normal 5 3 2 2 2 3 2" xfId="3795"/>
    <cellStyle name="Normal 5 3 2 2 2 3 2 2" xfId="12931"/>
    <cellStyle name="Normal 5 3 2 2 2 3 2 2 2" xfId="23150"/>
    <cellStyle name="Normal 5 3 2 2 2 3 2 3" xfId="9352"/>
    <cellStyle name="Normal 5 3 2 2 2 3 2 4" xfId="18143"/>
    <cellStyle name="Normal 5 3 2 2 2 3 3" xfId="4970"/>
    <cellStyle name="Normal 5 3 2 2 2 3 3 2" xfId="13807"/>
    <cellStyle name="Normal 5 3 2 2 2 3 3 2 2" xfId="24058"/>
    <cellStyle name="Normal 5 3 2 2 2 3 3 3" xfId="10228"/>
    <cellStyle name="Normal 5 3 2 2 2 3 3 4" xfId="19051"/>
    <cellStyle name="Normal 5 3 2 2 2 3 4" xfId="2189"/>
    <cellStyle name="Normal 5 3 2 2 2 3 4 2" xfId="11554"/>
    <cellStyle name="Normal 5 3 2 2 2 3 4 3" xfId="21558"/>
    <cellStyle name="Normal 5 3 2 2 2 3 5" xfId="6425"/>
    <cellStyle name="Normal 5 3 2 2 2 3 5 2" xfId="15252"/>
    <cellStyle name="Normal 5 3 2 2 2 3 5 3" xfId="25503"/>
    <cellStyle name="Normal 5 3 2 2 2 3 6" xfId="7871"/>
    <cellStyle name="Normal 5 3 2 2 2 3 6 2" xfId="20749"/>
    <cellStyle name="Normal 5 3 2 2 2 3 7" xfId="16551"/>
    <cellStyle name="Normal 5 3 2 2 2 4" xfId="3080"/>
    <cellStyle name="Normal 5 3 2 2 2 4 2" xfId="5458"/>
    <cellStyle name="Normal 5 3 2 2 2 4 2 2" xfId="14295"/>
    <cellStyle name="Normal 5 3 2 2 2 4 2 2 2" xfId="24546"/>
    <cellStyle name="Normal 5 3 2 2 2 4 2 3" xfId="10716"/>
    <cellStyle name="Normal 5 3 2 2 2 4 2 4" xfId="19539"/>
    <cellStyle name="Normal 5 3 2 2 2 4 3" xfId="6913"/>
    <cellStyle name="Normal 5 3 2 2 2 4 3 2" xfId="15740"/>
    <cellStyle name="Normal 5 3 2 2 2 4 3 3" xfId="25991"/>
    <cellStyle name="Normal 5 3 2 2 2 4 4" xfId="8359"/>
    <cellStyle name="Normal 5 3 2 2 2 4 4 2" xfId="22441"/>
    <cellStyle name="Normal 5 3 2 2 2 4 5" xfId="17434"/>
    <cellStyle name="Normal 5 3 2 2 2 5" xfId="4414"/>
    <cellStyle name="Normal 5 3 2 2 2 5 2" xfId="13252"/>
    <cellStyle name="Normal 5 3 2 2 2 5 2 2" xfId="23503"/>
    <cellStyle name="Normal 5 3 2 2 2 5 3" xfId="9673"/>
    <cellStyle name="Normal 5 3 2 2 2 5 4" xfId="18496"/>
    <cellStyle name="Normal 5 3 2 2 2 6" xfId="1686"/>
    <cellStyle name="Normal 5 3 2 2 2 6 2" xfId="11063"/>
    <cellStyle name="Normal 5 3 2 2 2 6 3" xfId="21067"/>
    <cellStyle name="Normal 5 3 2 2 2 7" xfId="5870"/>
    <cellStyle name="Normal 5 3 2 2 2 7 2" xfId="14697"/>
    <cellStyle name="Normal 5 3 2 2 2 7 3" xfId="24948"/>
    <cellStyle name="Normal 5 3 2 2 2 8" xfId="7314"/>
    <cellStyle name="Normal 5 3 2 2 2 8 2" xfId="20040"/>
    <cellStyle name="Normal 5 3 2 2 2 9" xfId="16060"/>
    <cellStyle name="Normal 5 3 2 2 2_Degree data" xfId="3875"/>
    <cellStyle name="Normal 5 3 2 2 3" xfId="390"/>
    <cellStyle name="Normal 5 3 2 2 3 2" xfId="2876"/>
    <cellStyle name="Normal 5 3 2 2 3 2 2" xfId="12164"/>
    <cellStyle name="Normal 5 3 2 2 3 2 2 2" xfId="22237"/>
    <cellStyle name="Normal 5 3 2 2 3 2 3" xfId="8632"/>
    <cellStyle name="Normal 5 3 2 2 3 2 4" xfId="17230"/>
    <cellStyle name="Normal 5 3 2 2 3 3" xfId="4620"/>
    <cellStyle name="Normal 5 3 2 2 3 3 2" xfId="13458"/>
    <cellStyle name="Normal 5 3 2 2 3 3 2 2" xfId="23709"/>
    <cellStyle name="Normal 5 3 2 2 3 3 3" xfId="9879"/>
    <cellStyle name="Normal 5 3 2 2 3 3 4" xfId="18702"/>
    <cellStyle name="Normal 5 3 2 2 3 4" xfId="1985"/>
    <cellStyle name="Normal 5 3 2 2 3 4 2" xfId="11350"/>
    <cellStyle name="Normal 5 3 2 2 3 4 3" xfId="21354"/>
    <cellStyle name="Normal 5 3 2 2 3 5" xfId="6076"/>
    <cellStyle name="Normal 5 3 2 2 3 5 2" xfId="14903"/>
    <cellStyle name="Normal 5 3 2 2 3 5 3" xfId="25154"/>
    <cellStyle name="Normal 5 3 2 2 3 6" xfId="7521"/>
    <cellStyle name="Normal 5 3 2 2 3 6 2" xfId="19836"/>
    <cellStyle name="Normal 5 3 2 2 3 7" xfId="16347"/>
    <cellStyle name="Normal 5 3 2 2 4" xfId="806"/>
    <cellStyle name="Normal 5 3 2 2 4 2" xfId="3291"/>
    <cellStyle name="Normal 5 3 2 2 4 2 2" xfId="12433"/>
    <cellStyle name="Normal 5 3 2 2 4 2 2 2" xfId="22652"/>
    <cellStyle name="Normal 5 3 2 2 4 2 3" xfId="8855"/>
    <cellStyle name="Normal 5 3 2 2 4 2 4" xfId="17645"/>
    <cellStyle name="Normal 5 3 2 2 4 3" xfId="4969"/>
    <cellStyle name="Normal 5 3 2 2 4 3 2" xfId="13806"/>
    <cellStyle name="Normal 5 3 2 2 4 3 2 2" xfId="24057"/>
    <cellStyle name="Normal 5 3 2 2 4 3 3" xfId="10227"/>
    <cellStyle name="Normal 5 3 2 2 4 3 4" xfId="19050"/>
    <cellStyle name="Normal 5 3 2 2 4 4" xfId="2400"/>
    <cellStyle name="Normal 5 3 2 2 4 4 2" xfId="11765"/>
    <cellStyle name="Normal 5 3 2 2 4 4 3" xfId="21769"/>
    <cellStyle name="Normal 5 3 2 2 4 5" xfId="6424"/>
    <cellStyle name="Normal 5 3 2 2 4 5 2" xfId="15251"/>
    <cellStyle name="Normal 5 3 2 2 4 5 3" xfId="25502"/>
    <cellStyle name="Normal 5 3 2 2 4 6" xfId="7870"/>
    <cellStyle name="Normal 5 3 2 2 4 6 2" xfId="20251"/>
    <cellStyle name="Normal 5 3 2 2 4 7" xfId="16762"/>
    <cellStyle name="Normal 5 3 2 2 5" xfId="1162"/>
    <cellStyle name="Normal 5 3 2 2 5 2" xfId="3591"/>
    <cellStyle name="Normal 5 3 2 2 5 2 2" xfId="12727"/>
    <cellStyle name="Normal 5 3 2 2 5 2 2 2" xfId="22946"/>
    <cellStyle name="Normal 5 3 2 2 5 2 3" xfId="9148"/>
    <cellStyle name="Normal 5 3 2 2 5 2 4" xfId="17939"/>
    <cellStyle name="Normal 5 3 2 2 5 3" xfId="5254"/>
    <cellStyle name="Normal 5 3 2 2 5 3 2" xfId="14091"/>
    <cellStyle name="Normal 5 3 2 2 5 3 2 2" xfId="24342"/>
    <cellStyle name="Normal 5 3 2 2 5 3 3" xfId="10512"/>
    <cellStyle name="Normal 5 3 2 2 5 3 4" xfId="19335"/>
    <cellStyle name="Normal 5 3 2 2 5 4" xfId="1869"/>
    <cellStyle name="Normal 5 3 2 2 5 4 2" xfId="11237"/>
    <cellStyle name="Normal 5 3 2 2 5 4 3" xfId="21241"/>
    <cellStyle name="Normal 5 3 2 2 5 5" xfId="6709"/>
    <cellStyle name="Normal 5 3 2 2 5 5 2" xfId="15536"/>
    <cellStyle name="Normal 5 3 2 2 5 5 3" xfId="25787"/>
    <cellStyle name="Normal 5 3 2 2 5 6" xfId="8155"/>
    <cellStyle name="Normal 5 3 2 2 5 6 2" xfId="20545"/>
    <cellStyle name="Normal 5 3 2 2 5 7" xfId="16234"/>
    <cellStyle name="Normal 5 3 2 2 6" xfId="2763"/>
    <cellStyle name="Normal 5 3 2 2 6 2" xfId="12080"/>
    <cellStyle name="Normal 5 3 2 2 6 2 2" xfId="22124"/>
    <cellStyle name="Normal 5 3 2 2 6 3" xfId="6947"/>
    <cellStyle name="Normal 5 3 2 2 6 4" xfId="17117"/>
    <cellStyle name="Normal 5 3 2 2 7" xfId="4210"/>
    <cellStyle name="Normal 5 3 2 2 7 2" xfId="13048"/>
    <cellStyle name="Normal 5 3 2 2 7 2 2" xfId="23299"/>
    <cellStyle name="Normal 5 3 2 2 7 3" xfId="9469"/>
    <cellStyle name="Normal 5 3 2 2 7 4" xfId="18292"/>
    <cellStyle name="Normal 5 3 2 2 8" xfId="1482"/>
    <cellStyle name="Normal 5 3 2 2 8 2" xfId="10859"/>
    <cellStyle name="Normal 5 3 2 2 8 3" xfId="20863"/>
    <cellStyle name="Normal 5 3 2 2 9" xfId="5666"/>
    <cellStyle name="Normal 5 3 2 2 9 2" xfId="14493"/>
    <cellStyle name="Normal 5 3 2 2 9 3" xfId="24744"/>
    <cellStyle name="Normal 5 3 2 2_Degree data" xfId="3910"/>
    <cellStyle name="Normal 5 3 2 3" xfId="226"/>
    <cellStyle name="Normal 5 3 2 3 10" xfId="16017"/>
    <cellStyle name="Normal 5 3 2 3 2" xfId="551"/>
    <cellStyle name="Normal 5 3 2 3 2 2" xfId="3037"/>
    <cellStyle name="Normal 5 3 2 3 2 2 2" xfId="12225"/>
    <cellStyle name="Normal 5 3 2 3 2 2 2 2" xfId="22398"/>
    <cellStyle name="Normal 5 3 2 3 2 2 3" xfId="8513"/>
    <cellStyle name="Normal 5 3 2 3 2 2 4" xfId="17391"/>
    <cellStyle name="Normal 5 3 2 3 2 3" xfId="4622"/>
    <cellStyle name="Normal 5 3 2 3 2 3 2" xfId="13460"/>
    <cellStyle name="Normal 5 3 2 3 2 3 2 2" xfId="23711"/>
    <cellStyle name="Normal 5 3 2 3 2 3 3" xfId="9881"/>
    <cellStyle name="Normal 5 3 2 3 2 3 4" xfId="18704"/>
    <cellStyle name="Normal 5 3 2 3 2 4" xfId="2146"/>
    <cellStyle name="Normal 5 3 2 3 2 4 2" xfId="11511"/>
    <cellStyle name="Normal 5 3 2 3 2 4 3" xfId="21515"/>
    <cellStyle name="Normal 5 3 2 3 2 5" xfId="6078"/>
    <cellStyle name="Normal 5 3 2 3 2 5 2" xfId="14905"/>
    <cellStyle name="Normal 5 3 2 3 2 5 3" xfId="25156"/>
    <cellStyle name="Normal 5 3 2 3 2 6" xfId="7523"/>
    <cellStyle name="Normal 5 3 2 3 2 6 2" xfId="19997"/>
    <cellStyle name="Normal 5 3 2 3 2 7" xfId="16508"/>
    <cellStyle name="Normal 5 3 2 3 3" xfId="808"/>
    <cellStyle name="Normal 5 3 2 3 3 2" xfId="3293"/>
    <cellStyle name="Normal 5 3 2 3 3 2 2" xfId="12435"/>
    <cellStyle name="Normal 5 3 2 3 3 2 2 2" xfId="22654"/>
    <cellStyle name="Normal 5 3 2 3 3 2 3" xfId="8857"/>
    <cellStyle name="Normal 5 3 2 3 3 2 4" xfId="17647"/>
    <cellStyle name="Normal 5 3 2 3 3 3" xfId="4971"/>
    <cellStyle name="Normal 5 3 2 3 3 3 2" xfId="13808"/>
    <cellStyle name="Normal 5 3 2 3 3 3 2 2" xfId="24059"/>
    <cellStyle name="Normal 5 3 2 3 3 3 3" xfId="10229"/>
    <cellStyle name="Normal 5 3 2 3 3 3 4" xfId="19052"/>
    <cellStyle name="Normal 5 3 2 3 3 4" xfId="2402"/>
    <cellStyle name="Normal 5 3 2 3 3 4 2" xfId="11767"/>
    <cellStyle name="Normal 5 3 2 3 3 4 3" xfId="21771"/>
    <cellStyle name="Normal 5 3 2 3 3 5" xfId="6426"/>
    <cellStyle name="Normal 5 3 2 3 3 5 2" xfId="15253"/>
    <cellStyle name="Normal 5 3 2 3 3 5 3" xfId="25504"/>
    <cellStyle name="Normal 5 3 2 3 3 6" xfId="7872"/>
    <cellStyle name="Normal 5 3 2 3 3 6 2" xfId="20253"/>
    <cellStyle name="Normal 5 3 2 3 3 7" xfId="16764"/>
    <cellStyle name="Normal 5 3 2 3 4" xfId="1323"/>
    <cellStyle name="Normal 5 3 2 3 4 2" xfId="3752"/>
    <cellStyle name="Normal 5 3 2 3 4 2 2" xfId="12888"/>
    <cellStyle name="Normal 5 3 2 3 4 2 2 2" xfId="23107"/>
    <cellStyle name="Normal 5 3 2 3 4 2 3" xfId="9309"/>
    <cellStyle name="Normal 5 3 2 3 4 2 4" xfId="18100"/>
    <cellStyle name="Normal 5 3 2 3 4 3" xfId="5415"/>
    <cellStyle name="Normal 5 3 2 3 4 3 2" xfId="14252"/>
    <cellStyle name="Normal 5 3 2 3 4 3 2 2" xfId="24503"/>
    <cellStyle name="Normal 5 3 2 3 4 3 3" xfId="10673"/>
    <cellStyle name="Normal 5 3 2 3 4 3 4" xfId="19496"/>
    <cellStyle name="Normal 5 3 2 3 4 4" xfId="1826"/>
    <cellStyle name="Normal 5 3 2 3 4 4 2" xfId="11194"/>
    <cellStyle name="Normal 5 3 2 3 4 4 3" xfId="21198"/>
    <cellStyle name="Normal 5 3 2 3 4 5" xfId="6870"/>
    <cellStyle name="Normal 5 3 2 3 4 5 2" xfId="15697"/>
    <cellStyle name="Normal 5 3 2 3 4 5 3" xfId="25948"/>
    <cellStyle name="Normal 5 3 2 3 4 6" xfId="8316"/>
    <cellStyle name="Normal 5 3 2 3 4 6 2" xfId="20706"/>
    <cellStyle name="Normal 5 3 2 3 4 7" xfId="16191"/>
    <cellStyle name="Normal 5 3 2 3 5" xfId="2720"/>
    <cellStyle name="Normal 5 3 2 3 5 2" xfId="12037"/>
    <cellStyle name="Normal 5 3 2 3 5 2 2" xfId="22081"/>
    <cellStyle name="Normal 5 3 2 3 5 3" xfId="8498"/>
    <cellStyle name="Normal 5 3 2 3 5 4" xfId="17074"/>
    <cellStyle name="Normal 5 3 2 3 6" xfId="4371"/>
    <cellStyle name="Normal 5 3 2 3 6 2" xfId="13209"/>
    <cellStyle name="Normal 5 3 2 3 6 2 2" xfId="23460"/>
    <cellStyle name="Normal 5 3 2 3 6 3" xfId="9630"/>
    <cellStyle name="Normal 5 3 2 3 6 4" xfId="18453"/>
    <cellStyle name="Normal 5 3 2 3 7" xfId="1643"/>
    <cellStyle name="Normal 5 3 2 3 7 2" xfId="11020"/>
    <cellStyle name="Normal 5 3 2 3 7 3" xfId="21024"/>
    <cellStyle name="Normal 5 3 2 3 8" xfId="5827"/>
    <cellStyle name="Normal 5 3 2 3 8 2" xfId="14654"/>
    <cellStyle name="Normal 5 3 2 3 8 3" xfId="24905"/>
    <cellStyle name="Normal 5 3 2 3 9" xfId="7271"/>
    <cellStyle name="Normal 5 3 2 3 9 2" xfId="19680"/>
    <cellStyle name="Normal 5 3 2 3_Degree data" xfId="3869"/>
    <cellStyle name="Normal 5 3 2 4" xfId="490"/>
    <cellStyle name="Normal 5 3 2 4 2" xfId="809"/>
    <cellStyle name="Normal 5 3 2 4 2 2" xfId="3294"/>
    <cellStyle name="Normal 5 3 2 4 2 2 2" xfId="12436"/>
    <cellStyle name="Normal 5 3 2 4 2 2 2 2" xfId="22655"/>
    <cellStyle name="Normal 5 3 2 4 2 2 3" xfId="8858"/>
    <cellStyle name="Normal 5 3 2 4 2 2 4" xfId="17648"/>
    <cellStyle name="Normal 5 3 2 4 2 3" xfId="4623"/>
    <cellStyle name="Normal 5 3 2 4 2 3 2" xfId="13461"/>
    <cellStyle name="Normal 5 3 2 4 2 3 2 2" xfId="23712"/>
    <cellStyle name="Normal 5 3 2 4 2 3 3" xfId="9882"/>
    <cellStyle name="Normal 5 3 2 4 2 3 4" xfId="18705"/>
    <cellStyle name="Normal 5 3 2 4 2 4" xfId="2403"/>
    <cellStyle name="Normal 5 3 2 4 2 4 2" xfId="11768"/>
    <cellStyle name="Normal 5 3 2 4 2 4 3" xfId="21772"/>
    <cellStyle name="Normal 5 3 2 4 2 5" xfId="6079"/>
    <cellStyle name="Normal 5 3 2 4 2 5 2" xfId="14906"/>
    <cellStyle name="Normal 5 3 2 4 2 5 3" xfId="25157"/>
    <cellStyle name="Normal 5 3 2 4 2 6" xfId="7524"/>
    <cellStyle name="Normal 5 3 2 4 2 6 2" xfId="20254"/>
    <cellStyle name="Normal 5 3 2 4 2 7" xfId="16765"/>
    <cellStyle name="Normal 5 3 2 4 3" xfId="1262"/>
    <cellStyle name="Normal 5 3 2 4 3 2" xfId="3691"/>
    <cellStyle name="Normal 5 3 2 4 3 2 2" xfId="12827"/>
    <cellStyle name="Normal 5 3 2 4 3 2 2 2" xfId="23046"/>
    <cellStyle name="Normal 5 3 2 4 3 2 3" xfId="9248"/>
    <cellStyle name="Normal 5 3 2 4 3 2 4" xfId="18039"/>
    <cellStyle name="Normal 5 3 2 4 3 3" xfId="4972"/>
    <cellStyle name="Normal 5 3 2 4 3 3 2" xfId="13809"/>
    <cellStyle name="Normal 5 3 2 4 3 3 2 2" xfId="24060"/>
    <cellStyle name="Normal 5 3 2 4 3 3 3" xfId="10230"/>
    <cellStyle name="Normal 5 3 2 4 3 3 4" xfId="19053"/>
    <cellStyle name="Normal 5 3 2 4 3 4" xfId="2085"/>
    <cellStyle name="Normal 5 3 2 4 3 4 2" xfId="11450"/>
    <cellStyle name="Normal 5 3 2 4 3 4 3" xfId="21454"/>
    <cellStyle name="Normal 5 3 2 4 3 5" xfId="6427"/>
    <cellStyle name="Normal 5 3 2 4 3 5 2" xfId="15254"/>
    <cellStyle name="Normal 5 3 2 4 3 5 3" xfId="25505"/>
    <cellStyle name="Normal 5 3 2 4 3 6" xfId="7873"/>
    <cellStyle name="Normal 5 3 2 4 3 6 2" xfId="20645"/>
    <cellStyle name="Normal 5 3 2 4 3 7" xfId="16447"/>
    <cellStyle name="Normal 5 3 2 4 4" xfId="2976"/>
    <cellStyle name="Normal 5 3 2 4 4 2" xfId="5354"/>
    <cellStyle name="Normal 5 3 2 4 4 2 2" xfId="14191"/>
    <cellStyle name="Normal 5 3 2 4 4 2 2 2" xfId="24442"/>
    <cellStyle name="Normal 5 3 2 4 4 2 3" xfId="10612"/>
    <cellStyle name="Normal 5 3 2 4 4 2 4" xfId="19435"/>
    <cellStyle name="Normal 5 3 2 4 4 3" xfId="6809"/>
    <cellStyle name="Normal 5 3 2 4 4 3 2" xfId="15636"/>
    <cellStyle name="Normal 5 3 2 4 4 3 3" xfId="25887"/>
    <cellStyle name="Normal 5 3 2 4 4 4" xfId="8255"/>
    <cellStyle name="Normal 5 3 2 4 4 4 2" xfId="22337"/>
    <cellStyle name="Normal 5 3 2 4 4 5" xfId="17330"/>
    <cellStyle name="Normal 5 3 2 4 5" xfId="4310"/>
    <cellStyle name="Normal 5 3 2 4 5 2" xfId="13148"/>
    <cellStyle name="Normal 5 3 2 4 5 2 2" xfId="23399"/>
    <cellStyle name="Normal 5 3 2 4 5 3" xfId="9569"/>
    <cellStyle name="Normal 5 3 2 4 5 4" xfId="18392"/>
    <cellStyle name="Normal 5 3 2 4 6" xfId="1582"/>
    <cellStyle name="Normal 5 3 2 4 6 2" xfId="10959"/>
    <cellStyle name="Normal 5 3 2 4 6 3" xfId="20963"/>
    <cellStyle name="Normal 5 3 2 4 7" xfId="5766"/>
    <cellStyle name="Normal 5 3 2 4 7 2" xfId="14593"/>
    <cellStyle name="Normal 5 3 2 4 7 3" xfId="24844"/>
    <cellStyle name="Normal 5 3 2 4 8" xfId="7210"/>
    <cellStyle name="Normal 5 3 2 4 8 2" xfId="19936"/>
    <cellStyle name="Normal 5 3 2 4 9" xfId="15956"/>
    <cellStyle name="Normal 5 3 2 4_Degree data" xfId="3887"/>
    <cellStyle name="Normal 5 3 2 5" xfId="333"/>
    <cellStyle name="Normal 5 3 2 5 2" xfId="2819"/>
    <cellStyle name="Normal 5 3 2 5 2 2" xfId="12119"/>
    <cellStyle name="Normal 5 3 2 5 2 2 2" xfId="22180"/>
    <cellStyle name="Normal 5 3 2 5 2 3" xfId="8399"/>
    <cellStyle name="Normal 5 3 2 5 2 4" xfId="17173"/>
    <cellStyle name="Normal 5 3 2 5 3" xfId="4619"/>
    <cellStyle name="Normal 5 3 2 5 3 2" xfId="13457"/>
    <cellStyle name="Normal 5 3 2 5 3 2 2" xfId="23708"/>
    <cellStyle name="Normal 5 3 2 5 3 3" xfId="9878"/>
    <cellStyle name="Normal 5 3 2 5 3 4" xfId="18701"/>
    <cellStyle name="Normal 5 3 2 5 4" xfId="1928"/>
    <cellStyle name="Normal 5 3 2 5 4 2" xfId="11293"/>
    <cellStyle name="Normal 5 3 2 5 4 3" xfId="21297"/>
    <cellStyle name="Normal 5 3 2 5 5" xfId="6075"/>
    <cellStyle name="Normal 5 3 2 5 5 2" xfId="14902"/>
    <cellStyle name="Normal 5 3 2 5 5 3" xfId="25153"/>
    <cellStyle name="Normal 5 3 2 5 6" xfId="7520"/>
    <cellStyle name="Normal 5 3 2 5 6 2" xfId="19779"/>
    <cellStyle name="Normal 5 3 2 5 7" xfId="16290"/>
    <cellStyle name="Normal 5 3 2 6" xfId="805"/>
    <cellStyle name="Normal 5 3 2 6 2" xfId="3290"/>
    <cellStyle name="Normal 5 3 2 6 2 2" xfId="12432"/>
    <cellStyle name="Normal 5 3 2 6 2 2 2" xfId="22651"/>
    <cellStyle name="Normal 5 3 2 6 2 3" xfId="8854"/>
    <cellStyle name="Normal 5 3 2 6 2 4" xfId="17644"/>
    <cellStyle name="Normal 5 3 2 6 3" xfId="4968"/>
    <cellStyle name="Normal 5 3 2 6 3 2" xfId="13805"/>
    <cellStyle name="Normal 5 3 2 6 3 2 2" xfId="24056"/>
    <cellStyle name="Normal 5 3 2 6 3 3" xfId="10226"/>
    <cellStyle name="Normal 5 3 2 6 3 4" xfId="19049"/>
    <cellStyle name="Normal 5 3 2 6 4" xfId="2399"/>
    <cellStyle name="Normal 5 3 2 6 4 2" xfId="11764"/>
    <cellStyle name="Normal 5 3 2 6 4 3" xfId="21768"/>
    <cellStyle name="Normal 5 3 2 6 5" xfId="6423"/>
    <cellStyle name="Normal 5 3 2 6 5 2" xfId="15250"/>
    <cellStyle name="Normal 5 3 2 6 5 3" xfId="25501"/>
    <cellStyle name="Normal 5 3 2 6 6" xfId="7869"/>
    <cellStyle name="Normal 5 3 2 6 6 2" xfId="20250"/>
    <cellStyle name="Normal 5 3 2 6 7" xfId="16761"/>
    <cellStyle name="Normal 5 3 2 7" xfId="1105"/>
    <cellStyle name="Normal 5 3 2 7 2" xfId="3534"/>
    <cellStyle name="Normal 5 3 2 7 2 2" xfId="12670"/>
    <cellStyle name="Normal 5 3 2 7 2 2 2" xfId="22889"/>
    <cellStyle name="Normal 5 3 2 7 2 3" xfId="9091"/>
    <cellStyle name="Normal 5 3 2 7 2 4" xfId="17882"/>
    <cellStyle name="Normal 5 3 2 7 3" xfId="5197"/>
    <cellStyle name="Normal 5 3 2 7 3 2" xfId="14034"/>
    <cellStyle name="Normal 5 3 2 7 3 2 2" xfId="24285"/>
    <cellStyle name="Normal 5 3 2 7 3 3" xfId="10455"/>
    <cellStyle name="Normal 5 3 2 7 3 4" xfId="19278"/>
    <cellStyle name="Normal 5 3 2 7 4" xfId="1762"/>
    <cellStyle name="Normal 5 3 2 7 4 2" xfId="11133"/>
    <cellStyle name="Normal 5 3 2 7 4 3" xfId="21137"/>
    <cellStyle name="Normal 5 3 2 7 5" xfId="6652"/>
    <cellStyle name="Normal 5 3 2 7 5 2" xfId="15479"/>
    <cellStyle name="Normal 5 3 2 7 5 3" xfId="25730"/>
    <cellStyle name="Normal 5 3 2 7 6" xfId="8098"/>
    <cellStyle name="Normal 5 3 2 7 6 2" xfId="20488"/>
    <cellStyle name="Normal 5 3 2 7 7" xfId="16130"/>
    <cellStyle name="Normal 5 3 2 8" xfId="2659"/>
    <cellStyle name="Normal 5 3 2 8 2" xfId="11980"/>
    <cellStyle name="Normal 5 3 2 8 2 2" xfId="22020"/>
    <cellStyle name="Normal 5 3 2 8 3" xfId="8420"/>
    <cellStyle name="Normal 5 3 2 8 4" xfId="17013"/>
    <cellStyle name="Normal 5 3 2 9" xfId="4151"/>
    <cellStyle name="Normal 5 3 2 9 2" xfId="12989"/>
    <cellStyle name="Normal 5 3 2 9 2 2" xfId="23240"/>
    <cellStyle name="Normal 5 3 2 9 3" xfId="9410"/>
    <cellStyle name="Normal 5 3 2 9 4" xfId="18233"/>
    <cellStyle name="Normal 5 3 2_Degree data" xfId="3873"/>
    <cellStyle name="Normal 5 3 3" xfId="207"/>
    <cellStyle name="Normal 5 3 3 10" xfId="7153"/>
    <cellStyle name="Normal 5 3 3 10 2" xfId="19662"/>
    <cellStyle name="Normal 5 3 3 11" xfId="15899"/>
    <cellStyle name="Normal 5 3 3 2" xfId="533"/>
    <cellStyle name="Normal 5 3 3 2 2" xfId="811"/>
    <cellStyle name="Normal 5 3 3 2 2 2" xfId="3296"/>
    <cellStyle name="Normal 5 3 3 2 2 2 2" xfId="12438"/>
    <cellStyle name="Normal 5 3 3 2 2 2 2 2" xfId="22657"/>
    <cellStyle name="Normal 5 3 3 2 2 2 3" xfId="8860"/>
    <cellStyle name="Normal 5 3 3 2 2 2 4" xfId="17650"/>
    <cellStyle name="Normal 5 3 3 2 2 3" xfId="4625"/>
    <cellStyle name="Normal 5 3 3 2 2 3 2" xfId="13463"/>
    <cellStyle name="Normal 5 3 3 2 2 3 2 2" xfId="23714"/>
    <cellStyle name="Normal 5 3 3 2 2 3 3" xfId="9884"/>
    <cellStyle name="Normal 5 3 3 2 2 3 4" xfId="18707"/>
    <cellStyle name="Normal 5 3 3 2 2 4" xfId="2405"/>
    <cellStyle name="Normal 5 3 3 2 2 4 2" xfId="11770"/>
    <cellStyle name="Normal 5 3 3 2 2 4 3" xfId="21774"/>
    <cellStyle name="Normal 5 3 3 2 2 5" xfId="6081"/>
    <cellStyle name="Normal 5 3 3 2 2 5 2" xfId="14908"/>
    <cellStyle name="Normal 5 3 3 2 2 5 3" xfId="25159"/>
    <cellStyle name="Normal 5 3 3 2 2 6" xfId="7526"/>
    <cellStyle name="Normal 5 3 3 2 2 6 2" xfId="20256"/>
    <cellStyle name="Normal 5 3 3 2 2 7" xfId="16767"/>
    <cellStyle name="Normal 5 3 3 2 3" xfId="1305"/>
    <cellStyle name="Normal 5 3 3 2 3 2" xfId="3734"/>
    <cellStyle name="Normal 5 3 3 2 3 2 2" xfId="12870"/>
    <cellStyle name="Normal 5 3 3 2 3 2 2 2" xfId="23089"/>
    <cellStyle name="Normal 5 3 3 2 3 2 3" xfId="9291"/>
    <cellStyle name="Normal 5 3 3 2 3 2 4" xfId="18082"/>
    <cellStyle name="Normal 5 3 3 2 3 3" xfId="4974"/>
    <cellStyle name="Normal 5 3 3 2 3 3 2" xfId="13811"/>
    <cellStyle name="Normal 5 3 3 2 3 3 2 2" xfId="24062"/>
    <cellStyle name="Normal 5 3 3 2 3 3 3" xfId="10232"/>
    <cellStyle name="Normal 5 3 3 2 3 3 4" xfId="19055"/>
    <cellStyle name="Normal 5 3 3 2 3 4" xfId="2128"/>
    <cellStyle name="Normal 5 3 3 2 3 4 2" xfId="11493"/>
    <cellStyle name="Normal 5 3 3 2 3 4 3" xfId="21497"/>
    <cellStyle name="Normal 5 3 3 2 3 5" xfId="6429"/>
    <cellStyle name="Normal 5 3 3 2 3 5 2" xfId="15256"/>
    <cellStyle name="Normal 5 3 3 2 3 5 3" xfId="25507"/>
    <cellStyle name="Normal 5 3 3 2 3 6" xfId="7875"/>
    <cellStyle name="Normal 5 3 3 2 3 6 2" xfId="20688"/>
    <cellStyle name="Normal 5 3 3 2 3 7" xfId="16490"/>
    <cellStyle name="Normal 5 3 3 2 4" xfId="3019"/>
    <cellStyle name="Normal 5 3 3 2 4 2" xfId="5397"/>
    <cellStyle name="Normal 5 3 3 2 4 2 2" xfId="14234"/>
    <cellStyle name="Normal 5 3 3 2 4 2 2 2" xfId="24485"/>
    <cellStyle name="Normal 5 3 3 2 4 2 3" xfId="10655"/>
    <cellStyle name="Normal 5 3 3 2 4 2 4" xfId="19478"/>
    <cellStyle name="Normal 5 3 3 2 4 3" xfId="6852"/>
    <cellStyle name="Normal 5 3 3 2 4 3 2" xfId="15679"/>
    <cellStyle name="Normal 5 3 3 2 4 3 3" xfId="25930"/>
    <cellStyle name="Normal 5 3 3 2 4 4" xfId="8298"/>
    <cellStyle name="Normal 5 3 3 2 4 4 2" xfId="22380"/>
    <cellStyle name="Normal 5 3 3 2 4 5" xfId="17373"/>
    <cellStyle name="Normal 5 3 3 2 5" xfId="4353"/>
    <cellStyle name="Normal 5 3 3 2 5 2" xfId="13191"/>
    <cellStyle name="Normal 5 3 3 2 5 2 2" xfId="23442"/>
    <cellStyle name="Normal 5 3 3 2 5 3" xfId="9612"/>
    <cellStyle name="Normal 5 3 3 2 5 4" xfId="18435"/>
    <cellStyle name="Normal 5 3 3 2 6" xfId="1625"/>
    <cellStyle name="Normal 5 3 3 2 6 2" xfId="11002"/>
    <cellStyle name="Normal 5 3 3 2 6 3" xfId="21006"/>
    <cellStyle name="Normal 5 3 3 2 7" xfId="5809"/>
    <cellStyle name="Normal 5 3 3 2 7 2" xfId="14636"/>
    <cellStyle name="Normal 5 3 3 2 7 3" xfId="24887"/>
    <cellStyle name="Normal 5 3 3 2 8" xfId="7253"/>
    <cellStyle name="Normal 5 3 3 2 8 2" xfId="19979"/>
    <cellStyle name="Normal 5 3 3 2 9" xfId="15999"/>
    <cellStyle name="Normal 5 3 3 2_Degree data" xfId="3831"/>
    <cellStyle name="Normal 5 3 3 3" xfId="433"/>
    <cellStyle name="Normal 5 3 3 3 2" xfId="2919"/>
    <cellStyle name="Normal 5 3 3 3 2 2" xfId="12207"/>
    <cellStyle name="Normal 5 3 3 3 2 2 2" xfId="22280"/>
    <cellStyle name="Normal 5 3 3 3 2 3" xfId="8518"/>
    <cellStyle name="Normal 5 3 3 3 2 4" xfId="17273"/>
    <cellStyle name="Normal 5 3 3 3 3" xfId="4624"/>
    <cellStyle name="Normal 5 3 3 3 3 2" xfId="13462"/>
    <cellStyle name="Normal 5 3 3 3 3 2 2" xfId="23713"/>
    <cellStyle name="Normal 5 3 3 3 3 3" xfId="9883"/>
    <cellStyle name="Normal 5 3 3 3 3 4" xfId="18706"/>
    <cellStyle name="Normal 5 3 3 3 4" xfId="2028"/>
    <cellStyle name="Normal 5 3 3 3 4 2" xfId="11393"/>
    <cellStyle name="Normal 5 3 3 3 4 3" xfId="21397"/>
    <cellStyle name="Normal 5 3 3 3 5" xfId="6080"/>
    <cellStyle name="Normal 5 3 3 3 5 2" xfId="14907"/>
    <cellStyle name="Normal 5 3 3 3 5 3" xfId="25158"/>
    <cellStyle name="Normal 5 3 3 3 6" xfId="7525"/>
    <cellStyle name="Normal 5 3 3 3 6 2" xfId="19879"/>
    <cellStyle name="Normal 5 3 3 3 7" xfId="16390"/>
    <cellStyle name="Normal 5 3 3 4" xfId="810"/>
    <cellStyle name="Normal 5 3 3 4 2" xfId="3295"/>
    <cellStyle name="Normal 5 3 3 4 2 2" xfId="12437"/>
    <cellStyle name="Normal 5 3 3 4 2 2 2" xfId="22656"/>
    <cellStyle name="Normal 5 3 3 4 2 3" xfId="8859"/>
    <cellStyle name="Normal 5 3 3 4 2 4" xfId="17649"/>
    <cellStyle name="Normal 5 3 3 4 3" xfId="4973"/>
    <cellStyle name="Normal 5 3 3 4 3 2" xfId="13810"/>
    <cellStyle name="Normal 5 3 3 4 3 2 2" xfId="24061"/>
    <cellStyle name="Normal 5 3 3 4 3 3" xfId="10231"/>
    <cellStyle name="Normal 5 3 3 4 3 4" xfId="19054"/>
    <cellStyle name="Normal 5 3 3 4 4" xfId="2404"/>
    <cellStyle name="Normal 5 3 3 4 4 2" xfId="11769"/>
    <cellStyle name="Normal 5 3 3 4 4 3" xfId="21773"/>
    <cellStyle name="Normal 5 3 3 4 5" xfId="6428"/>
    <cellStyle name="Normal 5 3 3 4 5 2" xfId="15255"/>
    <cellStyle name="Normal 5 3 3 4 5 3" xfId="25506"/>
    <cellStyle name="Normal 5 3 3 4 6" xfId="7874"/>
    <cellStyle name="Normal 5 3 3 4 6 2" xfId="20255"/>
    <cellStyle name="Normal 5 3 3 4 7" xfId="16766"/>
    <cellStyle name="Normal 5 3 3 5" xfId="1205"/>
    <cellStyle name="Normal 5 3 3 5 2" xfId="3634"/>
    <cellStyle name="Normal 5 3 3 5 2 2" xfId="12770"/>
    <cellStyle name="Normal 5 3 3 5 2 2 2" xfId="22989"/>
    <cellStyle name="Normal 5 3 3 5 2 3" xfId="9191"/>
    <cellStyle name="Normal 5 3 3 5 2 4" xfId="17982"/>
    <cellStyle name="Normal 5 3 3 5 3" xfId="5297"/>
    <cellStyle name="Normal 5 3 3 5 3 2" xfId="14134"/>
    <cellStyle name="Normal 5 3 3 5 3 2 2" xfId="24385"/>
    <cellStyle name="Normal 5 3 3 5 3 3" xfId="10555"/>
    <cellStyle name="Normal 5 3 3 5 3 4" xfId="19378"/>
    <cellStyle name="Normal 5 3 3 5 4" xfId="1808"/>
    <cellStyle name="Normal 5 3 3 5 4 2" xfId="11176"/>
    <cellStyle name="Normal 5 3 3 5 4 3" xfId="21180"/>
    <cellStyle name="Normal 5 3 3 5 5" xfId="6752"/>
    <cellStyle name="Normal 5 3 3 5 5 2" xfId="15579"/>
    <cellStyle name="Normal 5 3 3 5 5 3" xfId="25830"/>
    <cellStyle name="Normal 5 3 3 5 6" xfId="8198"/>
    <cellStyle name="Normal 5 3 3 5 6 2" xfId="20588"/>
    <cellStyle name="Normal 5 3 3 5 7" xfId="16173"/>
    <cellStyle name="Normal 5 3 3 6" xfId="2702"/>
    <cellStyle name="Normal 5 3 3 6 2" xfId="12019"/>
    <cellStyle name="Normal 5 3 3 6 2 2" xfId="22063"/>
    <cellStyle name="Normal 5 3 3 6 3" xfId="8561"/>
    <cellStyle name="Normal 5 3 3 6 4" xfId="17056"/>
    <cellStyle name="Normal 5 3 3 7" xfId="4253"/>
    <cellStyle name="Normal 5 3 3 7 2" xfId="13091"/>
    <cellStyle name="Normal 5 3 3 7 2 2" xfId="23342"/>
    <cellStyle name="Normal 5 3 3 7 3" xfId="9512"/>
    <cellStyle name="Normal 5 3 3 7 4" xfId="18335"/>
    <cellStyle name="Normal 5 3 3 8" xfId="1525"/>
    <cellStyle name="Normal 5 3 3 8 2" xfId="10902"/>
    <cellStyle name="Normal 5 3 3 8 3" xfId="20906"/>
    <cellStyle name="Normal 5 3 3 9" xfId="5709"/>
    <cellStyle name="Normal 5 3 3 9 2" xfId="14536"/>
    <cellStyle name="Normal 5 3 3 9 3" xfId="24787"/>
    <cellStyle name="Normal 5 3 3_Degree data" xfId="3851"/>
    <cellStyle name="Normal 5 3 4" xfId="237"/>
    <cellStyle name="Normal 5 3 4 10" xfId="7075"/>
    <cellStyle name="Normal 5 3 4 10 2" xfId="19689"/>
    <cellStyle name="Normal 5 3 4 11" xfId="15821"/>
    <cellStyle name="Normal 5 3 4 2" xfId="560"/>
    <cellStyle name="Normal 5 3 4 2 2" xfId="813"/>
    <cellStyle name="Normal 5 3 4 2 2 2" xfId="3298"/>
    <cellStyle name="Normal 5 3 4 2 2 2 2" xfId="12440"/>
    <cellStyle name="Normal 5 3 4 2 2 2 2 2" xfId="22659"/>
    <cellStyle name="Normal 5 3 4 2 2 2 3" xfId="8862"/>
    <cellStyle name="Normal 5 3 4 2 2 2 4" xfId="17652"/>
    <cellStyle name="Normal 5 3 4 2 2 3" xfId="4627"/>
    <cellStyle name="Normal 5 3 4 2 2 3 2" xfId="13465"/>
    <cellStyle name="Normal 5 3 4 2 2 3 2 2" xfId="23716"/>
    <cellStyle name="Normal 5 3 4 2 2 3 3" xfId="9886"/>
    <cellStyle name="Normal 5 3 4 2 2 3 4" xfId="18709"/>
    <cellStyle name="Normal 5 3 4 2 2 4" xfId="2407"/>
    <cellStyle name="Normal 5 3 4 2 2 4 2" xfId="11772"/>
    <cellStyle name="Normal 5 3 4 2 2 4 3" xfId="21776"/>
    <cellStyle name="Normal 5 3 4 2 2 5" xfId="6083"/>
    <cellStyle name="Normal 5 3 4 2 2 5 2" xfId="14910"/>
    <cellStyle name="Normal 5 3 4 2 2 5 3" xfId="25161"/>
    <cellStyle name="Normal 5 3 4 2 2 6" xfId="7528"/>
    <cellStyle name="Normal 5 3 4 2 2 6 2" xfId="20258"/>
    <cellStyle name="Normal 5 3 4 2 2 7" xfId="16769"/>
    <cellStyle name="Normal 5 3 4 2 3" xfId="1332"/>
    <cellStyle name="Normal 5 3 4 2 3 2" xfId="3761"/>
    <cellStyle name="Normal 5 3 4 2 3 2 2" xfId="12897"/>
    <cellStyle name="Normal 5 3 4 2 3 2 2 2" xfId="23116"/>
    <cellStyle name="Normal 5 3 4 2 3 2 3" xfId="9318"/>
    <cellStyle name="Normal 5 3 4 2 3 2 4" xfId="18109"/>
    <cellStyle name="Normal 5 3 4 2 3 3" xfId="4976"/>
    <cellStyle name="Normal 5 3 4 2 3 3 2" xfId="13813"/>
    <cellStyle name="Normal 5 3 4 2 3 3 2 2" xfId="24064"/>
    <cellStyle name="Normal 5 3 4 2 3 3 3" xfId="10234"/>
    <cellStyle name="Normal 5 3 4 2 3 3 4" xfId="19057"/>
    <cellStyle name="Normal 5 3 4 2 3 4" xfId="2155"/>
    <cellStyle name="Normal 5 3 4 2 3 4 2" xfId="11520"/>
    <cellStyle name="Normal 5 3 4 2 3 4 3" xfId="21524"/>
    <cellStyle name="Normal 5 3 4 2 3 5" xfId="6431"/>
    <cellStyle name="Normal 5 3 4 2 3 5 2" xfId="15258"/>
    <cellStyle name="Normal 5 3 4 2 3 5 3" xfId="25509"/>
    <cellStyle name="Normal 5 3 4 2 3 6" xfId="7877"/>
    <cellStyle name="Normal 5 3 4 2 3 6 2" xfId="20715"/>
    <cellStyle name="Normal 5 3 4 2 3 7" xfId="16517"/>
    <cellStyle name="Normal 5 3 4 2 4" xfId="3046"/>
    <cellStyle name="Normal 5 3 4 2 4 2" xfId="5424"/>
    <cellStyle name="Normal 5 3 4 2 4 2 2" xfId="14261"/>
    <cellStyle name="Normal 5 3 4 2 4 2 2 2" xfId="24512"/>
    <cellStyle name="Normal 5 3 4 2 4 2 3" xfId="10682"/>
    <cellStyle name="Normal 5 3 4 2 4 2 4" xfId="19505"/>
    <cellStyle name="Normal 5 3 4 2 4 3" xfId="6879"/>
    <cellStyle name="Normal 5 3 4 2 4 3 2" xfId="15706"/>
    <cellStyle name="Normal 5 3 4 2 4 3 3" xfId="25957"/>
    <cellStyle name="Normal 5 3 4 2 4 4" xfId="8325"/>
    <cellStyle name="Normal 5 3 4 2 4 4 2" xfId="22407"/>
    <cellStyle name="Normal 5 3 4 2 4 5" xfId="17400"/>
    <cellStyle name="Normal 5 3 4 2 5" xfId="4380"/>
    <cellStyle name="Normal 5 3 4 2 5 2" xfId="13218"/>
    <cellStyle name="Normal 5 3 4 2 5 2 2" xfId="23469"/>
    <cellStyle name="Normal 5 3 4 2 5 3" xfId="9639"/>
    <cellStyle name="Normal 5 3 4 2 5 4" xfId="18462"/>
    <cellStyle name="Normal 5 3 4 2 6" xfId="1652"/>
    <cellStyle name="Normal 5 3 4 2 6 2" xfId="11029"/>
    <cellStyle name="Normal 5 3 4 2 6 3" xfId="21033"/>
    <cellStyle name="Normal 5 3 4 2 7" xfId="5836"/>
    <cellStyle name="Normal 5 3 4 2 7 2" xfId="14663"/>
    <cellStyle name="Normal 5 3 4 2 7 3" xfId="24914"/>
    <cellStyle name="Normal 5 3 4 2 8" xfId="7280"/>
    <cellStyle name="Normal 5 3 4 2 8 2" xfId="20006"/>
    <cellStyle name="Normal 5 3 4 2 9" xfId="16026"/>
    <cellStyle name="Normal 5 3 4 2_Degree data" xfId="3920"/>
    <cellStyle name="Normal 5 3 4 3" xfId="355"/>
    <cellStyle name="Normal 5 3 4 3 2" xfId="2841"/>
    <cellStyle name="Normal 5 3 4 3 2 2" xfId="12129"/>
    <cellStyle name="Normal 5 3 4 3 2 2 2" xfId="22202"/>
    <cellStyle name="Normal 5 3 4 3 2 3" xfId="8534"/>
    <cellStyle name="Normal 5 3 4 3 2 4" xfId="17195"/>
    <cellStyle name="Normal 5 3 4 3 3" xfId="4626"/>
    <cellStyle name="Normal 5 3 4 3 3 2" xfId="13464"/>
    <cellStyle name="Normal 5 3 4 3 3 2 2" xfId="23715"/>
    <cellStyle name="Normal 5 3 4 3 3 3" xfId="9885"/>
    <cellStyle name="Normal 5 3 4 3 3 4" xfId="18708"/>
    <cellStyle name="Normal 5 3 4 3 4" xfId="1950"/>
    <cellStyle name="Normal 5 3 4 3 4 2" xfId="11315"/>
    <cellStyle name="Normal 5 3 4 3 4 3" xfId="21319"/>
    <cellStyle name="Normal 5 3 4 3 5" xfId="6082"/>
    <cellStyle name="Normal 5 3 4 3 5 2" xfId="14909"/>
    <cellStyle name="Normal 5 3 4 3 5 3" xfId="25160"/>
    <cellStyle name="Normal 5 3 4 3 6" xfId="7527"/>
    <cellStyle name="Normal 5 3 4 3 6 2" xfId="19801"/>
    <cellStyle name="Normal 5 3 4 3 7" xfId="16312"/>
    <cellStyle name="Normal 5 3 4 4" xfId="812"/>
    <cellStyle name="Normal 5 3 4 4 2" xfId="3297"/>
    <cellStyle name="Normal 5 3 4 4 2 2" xfId="12439"/>
    <cellStyle name="Normal 5 3 4 4 2 2 2" xfId="22658"/>
    <cellStyle name="Normal 5 3 4 4 2 3" xfId="8861"/>
    <cellStyle name="Normal 5 3 4 4 2 4" xfId="17651"/>
    <cellStyle name="Normal 5 3 4 4 3" xfId="4975"/>
    <cellStyle name="Normal 5 3 4 4 3 2" xfId="13812"/>
    <cellStyle name="Normal 5 3 4 4 3 2 2" xfId="24063"/>
    <cellStyle name="Normal 5 3 4 4 3 3" xfId="10233"/>
    <cellStyle name="Normal 5 3 4 4 3 4" xfId="19056"/>
    <cellStyle name="Normal 5 3 4 4 4" xfId="2406"/>
    <cellStyle name="Normal 5 3 4 4 4 2" xfId="11771"/>
    <cellStyle name="Normal 5 3 4 4 4 3" xfId="21775"/>
    <cellStyle name="Normal 5 3 4 4 5" xfId="6430"/>
    <cellStyle name="Normal 5 3 4 4 5 2" xfId="15257"/>
    <cellStyle name="Normal 5 3 4 4 5 3" xfId="25508"/>
    <cellStyle name="Normal 5 3 4 4 6" xfId="7876"/>
    <cellStyle name="Normal 5 3 4 4 6 2" xfId="20257"/>
    <cellStyle name="Normal 5 3 4 4 7" xfId="16768"/>
    <cellStyle name="Normal 5 3 4 5" xfId="1127"/>
    <cellStyle name="Normal 5 3 4 5 2" xfId="3556"/>
    <cellStyle name="Normal 5 3 4 5 2 2" xfId="12692"/>
    <cellStyle name="Normal 5 3 4 5 2 2 2" xfId="22911"/>
    <cellStyle name="Normal 5 3 4 5 2 3" xfId="9113"/>
    <cellStyle name="Normal 5 3 4 5 2 4" xfId="17904"/>
    <cellStyle name="Normal 5 3 4 5 3" xfId="5219"/>
    <cellStyle name="Normal 5 3 4 5 3 2" xfId="14056"/>
    <cellStyle name="Normal 5 3 4 5 3 2 2" xfId="24307"/>
    <cellStyle name="Normal 5 3 4 5 3 3" xfId="10477"/>
    <cellStyle name="Normal 5 3 4 5 3 4" xfId="19300"/>
    <cellStyle name="Normal 5 3 4 5 4" xfId="1835"/>
    <cellStyle name="Normal 5 3 4 5 4 2" xfId="11203"/>
    <cellStyle name="Normal 5 3 4 5 4 3" xfId="21207"/>
    <cellStyle name="Normal 5 3 4 5 5" xfId="6674"/>
    <cellStyle name="Normal 5 3 4 5 5 2" xfId="15501"/>
    <cellStyle name="Normal 5 3 4 5 5 3" xfId="25752"/>
    <cellStyle name="Normal 5 3 4 5 6" xfId="8120"/>
    <cellStyle name="Normal 5 3 4 5 6 2" xfId="20510"/>
    <cellStyle name="Normal 5 3 4 5 7" xfId="16200"/>
    <cellStyle name="Normal 5 3 4 6" xfId="2729"/>
    <cellStyle name="Normal 5 3 4 6 2" xfId="12046"/>
    <cellStyle name="Normal 5 3 4 6 2 2" xfId="22090"/>
    <cellStyle name="Normal 5 3 4 6 3" xfId="8641"/>
    <cellStyle name="Normal 5 3 4 6 4" xfId="17083"/>
    <cellStyle name="Normal 5 3 4 7" xfId="4175"/>
    <cellStyle name="Normal 5 3 4 7 2" xfId="13013"/>
    <cellStyle name="Normal 5 3 4 7 2 2" xfId="23264"/>
    <cellStyle name="Normal 5 3 4 7 3" xfId="9434"/>
    <cellStyle name="Normal 5 3 4 7 4" xfId="18257"/>
    <cellStyle name="Normal 5 3 4 8" xfId="1447"/>
    <cellStyle name="Normal 5 3 4 8 2" xfId="10824"/>
    <cellStyle name="Normal 5 3 4 8 3" xfId="20828"/>
    <cellStyle name="Normal 5 3 4 9" xfId="5631"/>
    <cellStyle name="Normal 5 3 4 9 2" xfId="14458"/>
    <cellStyle name="Normal 5 3 4 9 3" xfId="24709"/>
    <cellStyle name="Normal 5 3 4_Degree data" xfId="3879"/>
    <cellStyle name="Normal 5 3 5" xfId="455"/>
    <cellStyle name="Normal 5 3 5 2" xfId="814"/>
    <cellStyle name="Normal 5 3 5 2 2" xfId="3299"/>
    <cellStyle name="Normal 5 3 5 2 2 2" xfId="12441"/>
    <cellStyle name="Normal 5 3 5 2 2 2 2" xfId="22660"/>
    <cellStyle name="Normal 5 3 5 2 2 3" xfId="8863"/>
    <cellStyle name="Normal 5 3 5 2 2 4" xfId="17653"/>
    <cellStyle name="Normal 5 3 5 2 3" xfId="4628"/>
    <cellStyle name="Normal 5 3 5 2 3 2" xfId="13466"/>
    <cellStyle name="Normal 5 3 5 2 3 2 2" xfId="23717"/>
    <cellStyle name="Normal 5 3 5 2 3 3" xfId="9887"/>
    <cellStyle name="Normal 5 3 5 2 3 4" xfId="18710"/>
    <cellStyle name="Normal 5 3 5 2 4" xfId="2408"/>
    <cellStyle name="Normal 5 3 5 2 4 2" xfId="11773"/>
    <cellStyle name="Normal 5 3 5 2 4 3" xfId="21777"/>
    <cellStyle name="Normal 5 3 5 2 5" xfId="6084"/>
    <cellStyle name="Normal 5 3 5 2 5 2" xfId="14911"/>
    <cellStyle name="Normal 5 3 5 2 5 3" xfId="25162"/>
    <cellStyle name="Normal 5 3 5 2 6" xfId="7529"/>
    <cellStyle name="Normal 5 3 5 2 6 2" xfId="20259"/>
    <cellStyle name="Normal 5 3 5 2 7" xfId="16770"/>
    <cellStyle name="Normal 5 3 5 3" xfId="1227"/>
    <cellStyle name="Normal 5 3 5 3 2" xfId="3656"/>
    <cellStyle name="Normal 5 3 5 3 2 2" xfId="12792"/>
    <cellStyle name="Normal 5 3 5 3 2 2 2" xfId="23011"/>
    <cellStyle name="Normal 5 3 5 3 2 3" xfId="9213"/>
    <cellStyle name="Normal 5 3 5 3 2 4" xfId="18004"/>
    <cellStyle name="Normal 5 3 5 3 3" xfId="4977"/>
    <cellStyle name="Normal 5 3 5 3 3 2" xfId="13814"/>
    <cellStyle name="Normal 5 3 5 3 3 2 2" xfId="24065"/>
    <cellStyle name="Normal 5 3 5 3 3 3" xfId="10235"/>
    <cellStyle name="Normal 5 3 5 3 3 4" xfId="19058"/>
    <cellStyle name="Normal 5 3 5 3 4" xfId="2050"/>
    <cellStyle name="Normal 5 3 5 3 4 2" xfId="11415"/>
    <cellStyle name="Normal 5 3 5 3 4 3" xfId="21419"/>
    <cellStyle name="Normal 5 3 5 3 5" xfId="6432"/>
    <cellStyle name="Normal 5 3 5 3 5 2" xfId="15259"/>
    <cellStyle name="Normal 5 3 5 3 5 3" xfId="25510"/>
    <cellStyle name="Normal 5 3 5 3 6" xfId="7878"/>
    <cellStyle name="Normal 5 3 5 3 6 2" xfId="20610"/>
    <cellStyle name="Normal 5 3 5 3 7" xfId="16412"/>
    <cellStyle name="Normal 5 3 5 4" xfId="2941"/>
    <cellStyle name="Normal 5 3 5 4 2" xfId="5319"/>
    <cellStyle name="Normal 5 3 5 4 2 2" xfId="14156"/>
    <cellStyle name="Normal 5 3 5 4 2 2 2" xfId="24407"/>
    <cellStyle name="Normal 5 3 5 4 2 3" xfId="10577"/>
    <cellStyle name="Normal 5 3 5 4 2 4" xfId="19400"/>
    <cellStyle name="Normal 5 3 5 4 3" xfId="6774"/>
    <cellStyle name="Normal 5 3 5 4 3 2" xfId="15601"/>
    <cellStyle name="Normal 5 3 5 4 3 3" xfId="25852"/>
    <cellStyle name="Normal 5 3 5 4 4" xfId="8220"/>
    <cellStyle name="Normal 5 3 5 4 4 2" xfId="22302"/>
    <cellStyle name="Normal 5 3 5 4 5" xfId="17295"/>
    <cellStyle name="Normal 5 3 5 5" xfId="4275"/>
    <cellStyle name="Normal 5 3 5 5 2" xfId="13113"/>
    <cellStyle name="Normal 5 3 5 5 2 2" xfId="23364"/>
    <cellStyle name="Normal 5 3 5 5 3" xfId="9534"/>
    <cellStyle name="Normal 5 3 5 5 4" xfId="18357"/>
    <cellStyle name="Normal 5 3 5 6" xfId="1547"/>
    <cellStyle name="Normal 5 3 5 6 2" xfId="10924"/>
    <cellStyle name="Normal 5 3 5 6 3" xfId="20928"/>
    <cellStyle name="Normal 5 3 5 7" xfId="5731"/>
    <cellStyle name="Normal 5 3 5 7 2" xfId="14558"/>
    <cellStyle name="Normal 5 3 5 7 3" xfId="24809"/>
    <cellStyle name="Normal 5 3 5 8" xfId="7175"/>
    <cellStyle name="Normal 5 3 5 8 2" xfId="19901"/>
    <cellStyle name="Normal 5 3 5 9" xfId="15921"/>
    <cellStyle name="Normal 5 3 5_Degree data" xfId="3883"/>
    <cellStyle name="Normal 5 3 6" xfId="308"/>
    <cellStyle name="Normal 5 3 6 2" xfId="815"/>
    <cellStyle name="Normal 5 3 6 2 2" xfId="3300"/>
    <cellStyle name="Normal 5 3 6 2 2 2" xfId="12442"/>
    <cellStyle name="Normal 5 3 6 2 2 2 2" xfId="22661"/>
    <cellStyle name="Normal 5 3 6 2 2 3" xfId="8864"/>
    <cellStyle name="Normal 5 3 6 2 2 4" xfId="17654"/>
    <cellStyle name="Normal 5 3 6 2 3" xfId="4629"/>
    <cellStyle name="Normal 5 3 6 2 3 2" xfId="13467"/>
    <cellStyle name="Normal 5 3 6 2 3 2 2" xfId="23718"/>
    <cellStyle name="Normal 5 3 6 2 3 3" xfId="9888"/>
    <cellStyle name="Normal 5 3 6 2 3 4" xfId="18711"/>
    <cellStyle name="Normal 5 3 6 2 4" xfId="2409"/>
    <cellStyle name="Normal 5 3 6 2 4 2" xfId="11774"/>
    <cellStyle name="Normal 5 3 6 2 4 3" xfId="21778"/>
    <cellStyle name="Normal 5 3 6 2 5" xfId="6085"/>
    <cellStyle name="Normal 5 3 6 2 5 2" xfId="14912"/>
    <cellStyle name="Normal 5 3 6 2 5 3" xfId="25163"/>
    <cellStyle name="Normal 5 3 6 2 6" xfId="7530"/>
    <cellStyle name="Normal 5 3 6 2 6 2" xfId="20260"/>
    <cellStyle name="Normal 5 3 6 2 7" xfId="16771"/>
    <cellStyle name="Normal 5 3 6 3" xfId="1080"/>
    <cellStyle name="Normal 5 3 6 3 2" xfId="3509"/>
    <cellStyle name="Normal 5 3 6 3 2 2" xfId="12645"/>
    <cellStyle name="Normal 5 3 6 3 2 2 2" xfId="22864"/>
    <cellStyle name="Normal 5 3 6 3 2 3" xfId="9067"/>
    <cellStyle name="Normal 5 3 6 3 2 4" xfId="17857"/>
    <cellStyle name="Normal 5 3 6 3 3" xfId="4978"/>
    <cellStyle name="Normal 5 3 6 3 3 2" xfId="13815"/>
    <cellStyle name="Normal 5 3 6 3 3 2 2" xfId="24066"/>
    <cellStyle name="Normal 5 3 6 3 3 3" xfId="10236"/>
    <cellStyle name="Normal 5 3 6 3 3 4" xfId="19059"/>
    <cellStyle name="Normal 5 3 6 3 4" xfId="1713"/>
    <cellStyle name="Normal 5 3 6 3 4 2" xfId="11090"/>
    <cellStyle name="Normal 5 3 6 3 4 3" xfId="21094"/>
    <cellStyle name="Normal 5 3 6 3 5" xfId="6433"/>
    <cellStyle name="Normal 5 3 6 3 5 2" xfId="15260"/>
    <cellStyle name="Normal 5 3 6 3 5 3" xfId="25511"/>
    <cellStyle name="Normal 5 3 6 3 6" xfId="7879"/>
    <cellStyle name="Normal 5 3 6 3 6 2" xfId="20463"/>
    <cellStyle name="Normal 5 3 6 3 7" xfId="16087"/>
    <cellStyle name="Normal 5 3 6 4" xfId="2794"/>
    <cellStyle name="Normal 5 3 6 4 2" xfId="5172"/>
    <cellStyle name="Normal 5 3 6 4 2 2" xfId="14009"/>
    <cellStyle name="Normal 5 3 6 4 2 2 2" xfId="24260"/>
    <cellStyle name="Normal 5 3 6 4 2 3" xfId="10430"/>
    <cellStyle name="Normal 5 3 6 4 2 4" xfId="19253"/>
    <cellStyle name="Normal 5 3 6 4 3" xfId="6627"/>
    <cellStyle name="Normal 5 3 6 4 3 2" xfId="15454"/>
    <cellStyle name="Normal 5 3 6 4 3 3" xfId="25705"/>
    <cellStyle name="Normal 5 3 6 4 4" xfId="8073"/>
    <cellStyle name="Normal 5 3 6 4 4 2" xfId="22155"/>
    <cellStyle name="Normal 5 3 6 4 5" xfId="17148"/>
    <cellStyle name="Normal 5 3 6 5" xfId="4126"/>
    <cellStyle name="Normal 5 3 6 5 2" xfId="12964"/>
    <cellStyle name="Normal 5 3 6 5 2 2" xfId="23215"/>
    <cellStyle name="Normal 5 3 6 5 3" xfId="9385"/>
    <cellStyle name="Normal 5 3 6 5 4" xfId="18208"/>
    <cellStyle name="Normal 5 3 6 6" xfId="1903"/>
    <cellStyle name="Normal 5 3 6 6 2" xfId="11268"/>
    <cellStyle name="Normal 5 3 6 6 3" xfId="21272"/>
    <cellStyle name="Normal 5 3 6 7" xfId="5584"/>
    <cellStyle name="Normal 5 3 6 7 2" xfId="14411"/>
    <cellStyle name="Normal 5 3 6 7 3" xfId="24662"/>
    <cellStyle name="Normal 5 3 6 8" xfId="7028"/>
    <cellStyle name="Normal 5 3 6 8 2" xfId="19754"/>
    <cellStyle name="Normal 5 3 6 9" xfId="16265"/>
    <cellStyle name="Normal 5 3 6_Degree data" xfId="3911"/>
    <cellStyle name="Normal 5 3 7" xfId="804"/>
    <cellStyle name="Normal 5 3 7 2" xfId="3289"/>
    <cellStyle name="Normal 5 3 7 2 2" xfId="12431"/>
    <cellStyle name="Normal 5 3 7 2 2 2" xfId="22650"/>
    <cellStyle name="Normal 5 3 7 2 3" xfId="8853"/>
    <cellStyle name="Normal 5 3 7 2 4" xfId="17643"/>
    <cellStyle name="Normal 5 3 7 3" xfId="4618"/>
    <cellStyle name="Normal 5 3 7 3 2" xfId="13456"/>
    <cellStyle name="Normal 5 3 7 3 2 2" xfId="23707"/>
    <cellStyle name="Normal 5 3 7 3 3" xfId="9877"/>
    <cellStyle name="Normal 5 3 7 3 4" xfId="18700"/>
    <cellStyle name="Normal 5 3 7 4" xfId="2398"/>
    <cellStyle name="Normal 5 3 7 4 2" xfId="11763"/>
    <cellStyle name="Normal 5 3 7 4 3" xfId="21767"/>
    <cellStyle name="Normal 5 3 7 5" xfId="6074"/>
    <cellStyle name="Normal 5 3 7 5 2" xfId="14901"/>
    <cellStyle name="Normal 5 3 7 5 3" xfId="25152"/>
    <cellStyle name="Normal 5 3 7 6" xfId="7519"/>
    <cellStyle name="Normal 5 3 7 6 2" xfId="20249"/>
    <cellStyle name="Normal 5 3 7 7" xfId="16760"/>
    <cellStyle name="Normal 5 3 8" xfId="1060"/>
    <cellStyle name="Normal 5 3 8 2" xfId="3489"/>
    <cellStyle name="Normal 5 3 8 2 2" xfId="12625"/>
    <cellStyle name="Normal 5 3 8 2 2 2" xfId="22844"/>
    <cellStyle name="Normal 5 3 8 2 3" xfId="9047"/>
    <cellStyle name="Normal 5 3 8 2 4" xfId="17837"/>
    <cellStyle name="Normal 5 3 8 3" xfId="4967"/>
    <cellStyle name="Normal 5 3 8 3 2" xfId="13804"/>
    <cellStyle name="Normal 5 3 8 3 2 2" xfId="24055"/>
    <cellStyle name="Normal 5 3 8 3 3" xfId="10225"/>
    <cellStyle name="Normal 5 3 8 3 4" xfId="19048"/>
    <cellStyle name="Normal 5 3 8 4" xfId="1723"/>
    <cellStyle name="Normal 5 3 8 4 2" xfId="11097"/>
    <cellStyle name="Normal 5 3 8 4 3" xfId="21101"/>
    <cellStyle name="Normal 5 3 8 5" xfId="6422"/>
    <cellStyle name="Normal 5 3 8 5 2" xfId="15249"/>
    <cellStyle name="Normal 5 3 8 5 3" xfId="25500"/>
    <cellStyle name="Normal 5 3 8 6" xfId="7868"/>
    <cellStyle name="Normal 5 3 8 6 2" xfId="20443"/>
    <cellStyle name="Normal 5 3 8 7" xfId="16094"/>
    <cellStyle name="Normal 5 3 9" xfId="2621"/>
    <cellStyle name="Normal 5 3 9 2" xfId="5152"/>
    <cellStyle name="Normal 5 3 9 2 2" xfId="13989"/>
    <cellStyle name="Normal 5 3 9 2 2 2" xfId="24240"/>
    <cellStyle name="Normal 5 3 9 2 3" xfId="10410"/>
    <cellStyle name="Normal 5 3 9 2 4" xfId="19233"/>
    <cellStyle name="Normal 5 3 9 3" xfId="6607"/>
    <cellStyle name="Normal 5 3 9 3 2" xfId="15434"/>
    <cellStyle name="Normal 5 3 9 3 3" xfId="25685"/>
    <cellStyle name="Normal 5 3 9 4" xfId="8053"/>
    <cellStyle name="Normal 5 3 9 4 2" xfId="21984"/>
    <cellStyle name="Normal 5 3 9 5" xfId="16977"/>
    <cellStyle name="Normal 5 3_Degree data" xfId="3900"/>
    <cellStyle name="Normal 5 4" xfId="154"/>
    <cellStyle name="Normal 5 4 10" xfId="1422"/>
    <cellStyle name="Normal 5 4 10 2" xfId="10799"/>
    <cellStyle name="Normal 5 4 10 3" xfId="20803"/>
    <cellStyle name="Normal 5 4 11" xfId="5533"/>
    <cellStyle name="Normal 5 4 11 2" xfId="14360"/>
    <cellStyle name="Normal 5 4 11 3" xfId="24611"/>
    <cellStyle name="Normal 5 4 12" xfId="6974"/>
    <cellStyle name="Normal 5 4 12 2" xfId="19618"/>
    <cellStyle name="Normal 5 4 13" xfId="15796"/>
    <cellStyle name="Normal 5 4 2" xfId="204"/>
    <cellStyle name="Normal 5 4 2 10" xfId="7152"/>
    <cellStyle name="Normal 5 4 2 10 2" xfId="19661"/>
    <cellStyle name="Normal 5 4 2 11" xfId="15898"/>
    <cellStyle name="Normal 5 4 2 2" xfId="532"/>
    <cellStyle name="Normal 5 4 2 2 2" xfId="818"/>
    <cellStyle name="Normal 5 4 2 2 2 2" xfId="3303"/>
    <cellStyle name="Normal 5 4 2 2 2 2 2" xfId="12445"/>
    <cellStyle name="Normal 5 4 2 2 2 2 2 2" xfId="22664"/>
    <cellStyle name="Normal 5 4 2 2 2 2 3" xfId="8867"/>
    <cellStyle name="Normal 5 4 2 2 2 2 4" xfId="17657"/>
    <cellStyle name="Normal 5 4 2 2 2 3" xfId="4632"/>
    <cellStyle name="Normal 5 4 2 2 2 3 2" xfId="13470"/>
    <cellStyle name="Normal 5 4 2 2 2 3 2 2" xfId="23721"/>
    <cellStyle name="Normal 5 4 2 2 2 3 3" xfId="9891"/>
    <cellStyle name="Normal 5 4 2 2 2 3 4" xfId="18714"/>
    <cellStyle name="Normal 5 4 2 2 2 4" xfId="2412"/>
    <cellStyle name="Normal 5 4 2 2 2 4 2" xfId="11777"/>
    <cellStyle name="Normal 5 4 2 2 2 4 3" xfId="21781"/>
    <cellStyle name="Normal 5 4 2 2 2 5" xfId="6088"/>
    <cellStyle name="Normal 5 4 2 2 2 5 2" xfId="14915"/>
    <cellStyle name="Normal 5 4 2 2 2 5 3" xfId="25166"/>
    <cellStyle name="Normal 5 4 2 2 2 6" xfId="7533"/>
    <cellStyle name="Normal 5 4 2 2 2 6 2" xfId="20263"/>
    <cellStyle name="Normal 5 4 2 2 2 7" xfId="16774"/>
    <cellStyle name="Normal 5 4 2 2 3" xfId="1304"/>
    <cellStyle name="Normal 5 4 2 2 3 2" xfId="3733"/>
    <cellStyle name="Normal 5 4 2 2 3 2 2" xfId="12869"/>
    <cellStyle name="Normal 5 4 2 2 3 2 2 2" xfId="23088"/>
    <cellStyle name="Normal 5 4 2 2 3 2 3" xfId="9290"/>
    <cellStyle name="Normal 5 4 2 2 3 2 4" xfId="18081"/>
    <cellStyle name="Normal 5 4 2 2 3 3" xfId="4981"/>
    <cellStyle name="Normal 5 4 2 2 3 3 2" xfId="13818"/>
    <cellStyle name="Normal 5 4 2 2 3 3 2 2" xfId="24069"/>
    <cellStyle name="Normal 5 4 2 2 3 3 3" xfId="10239"/>
    <cellStyle name="Normal 5 4 2 2 3 3 4" xfId="19062"/>
    <cellStyle name="Normal 5 4 2 2 3 4" xfId="2127"/>
    <cellStyle name="Normal 5 4 2 2 3 4 2" xfId="11492"/>
    <cellStyle name="Normal 5 4 2 2 3 4 3" xfId="21496"/>
    <cellStyle name="Normal 5 4 2 2 3 5" xfId="6436"/>
    <cellStyle name="Normal 5 4 2 2 3 5 2" xfId="15263"/>
    <cellStyle name="Normal 5 4 2 2 3 5 3" xfId="25514"/>
    <cellStyle name="Normal 5 4 2 2 3 6" xfId="7882"/>
    <cellStyle name="Normal 5 4 2 2 3 6 2" xfId="20687"/>
    <cellStyle name="Normal 5 4 2 2 3 7" xfId="16489"/>
    <cellStyle name="Normal 5 4 2 2 4" xfId="3018"/>
    <cellStyle name="Normal 5 4 2 2 4 2" xfId="5396"/>
    <cellStyle name="Normal 5 4 2 2 4 2 2" xfId="14233"/>
    <cellStyle name="Normal 5 4 2 2 4 2 2 2" xfId="24484"/>
    <cellStyle name="Normal 5 4 2 2 4 2 3" xfId="10654"/>
    <cellStyle name="Normal 5 4 2 2 4 2 4" xfId="19477"/>
    <cellStyle name="Normal 5 4 2 2 4 3" xfId="6851"/>
    <cellStyle name="Normal 5 4 2 2 4 3 2" xfId="15678"/>
    <cellStyle name="Normal 5 4 2 2 4 3 3" xfId="25929"/>
    <cellStyle name="Normal 5 4 2 2 4 4" xfId="8297"/>
    <cellStyle name="Normal 5 4 2 2 4 4 2" xfId="22379"/>
    <cellStyle name="Normal 5 4 2 2 4 5" xfId="17372"/>
    <cellStyle name="Normal 5 4 2 2 5" xfId="4352"/>
    <cellStyle name="Normal 5 4 2 2 5 2" xfId="13190"/>
    <cellStyle name="Normal 5 4 2 2 5 2 2" xfId="23441"/>
    <cellStyle name="Normal 5 4 2 2 5 3" xfId="9611"/>
    <cellStyle name="Normal 5 4 2 2 5 4" xfId="18434"/>
    <cellStyle name="Normal 5 4 2 2 6" xfId="1624"/>
    <cellStyle name="Normal 5 4 2 2 6 2" xfId="11001"/>
    <cellStyle name="Normal 5 4 2 2 6 3" xfId="21005"/>
    <cellStyle name="Normal 5 4 2 2 7" xfId="5808"/>
    <cellStyle name="Normal 5 4 2 2 7 2" xfId="14635"/>
    <cellStyle name="Normal 5 4 2 2 7 3" xfId="24886"/>
    <cellStyle name="Normal 5 4 2 2 8" xfId="7252"/>
    <cellStyle name="Normal 5 4 2 2 8 2" xfId="19978"/>
    <cellStyle name="Normal 5 4 2 2 9" xfId="15998"/>
    <cellStyle name="Normal 5 4 2 2_Degree data" xfId="3867"/>
    <cellStyle name="Normal 5 4 2 3" xfId="432"/>
    <cellStyle name="Normal 5 4 2 3 2" xfId="2918"/>
    <cellStyle name="Normal 5 4 2 3 2 2" xfId="12206"/>
    <cellStyle name="Normal 5 4 2 3 2 2 2" xfId="22279"/>
    <cellStyle name="Normal 5 4 2 3 2 3" xfId="8628"/>
    <cellStyle name="Normal 5 4 2 3 2 4" xfId="17272"/>
    <cellStyle name="Normal 5 4 2 3 3" xfId="4631"/>
    <cellStyle name="Normal 5 4 2 3 3 2" xfId="13469"/>
    <cellStyle name="Normal 5 4 2 3 3 2 2" xfId="23720"/>
    <cellStyle name="Normal 5 4 2 3 3 3" xfId="9890"/>
    <cellStyle name="Normal 5 4 2 3 3 4" xfId="18713"/>
    <cellStyle name="Normal 5 4 2 3 4" xfId="2027"/>
    <cellStyle name="Normal 5 4 2 3 4 2" xfId="11392"/>
    <cellStyle name="Normal 5 4 2 3 4 3" xfId="21396"/>
    <cellStyle name="Normal 5 4 2 3 5" xfId="6087"/>
    <cellStyle name="Normal 5 4 2 3 5 2" xfId="14914"/>
    <cellStyle name="Normal 5 4 2 3 5 3" xfId="25165"/>
    <cellStyle name="Normal 5 4 2 3 6" xfId="7532"/>
    <cellStyle name="Normal 5 4 2 3 6 2" xfId="19878"/>
    <cellStyle name="Normal 5 4 2 3 7" xfId="16389"/>
    <cellStyle name="Normal 5 4 2 4" xfId="817"/>
    <cellStyle name="Normal 5 4 2 4 2" xfId="3302"/>
    <cellStyle name="Normal 5 4 2 4 2 2" xfId="12444"/>
    <cellStyle name="Normal 5 4 2 4 2 2 2" xfId="22663"/>
    <cellStyle name="Normal 5 4 2 4 2 3" xfId="8866"/>
    <cellStyle name="Normal 5 4 2 4 2 4" xfId="17656"/>
    <cellStyle name="Normal 5 4 2 4 3" xfId="4980"/>
    <cellStyle name="Normal 5 4 2 4 3 2" xfId="13817"/>
    <cellStyle name="Normal 5 4 2 4 3 2 2" xfId="24068"/>
    <cellStyle name="Normal 5 4 2 4 3 3" xfId="10238"/>
    <cellStyle name="Normal 5 4 2 4 3 4" xfId="19061"/>
    <cellStyle name="Normal 5 4 2 4 4" xfId="2411"/>
    <cellStyle name="Normal 5 4 2 4 4 2" xfId="11776"/>
    <cellStyle name="Normal 5 4 2 4 4 3" xfId="21780"/>
    <cellStyle name="Normal 5 4 2 4 5" xfId="6435"/>
    <cellStyle name="Normal 5 4 2 4 5 2" xfId="15262"/>
    <cellStyle name="Normal 5 4 2 4 5 3" xfId="25513"/>
    <cellStyle name="Normal 5 4 2 4 6" xfId="7881"/>
    <cellStyle name="Normal 5 4 2 4 6 2" xfId="20262"/>
    <cellStyle name="Normal 5 4 2 4 7" xfId="16773"/>
    <cellStyle name="Normal 5 4 2 5" xfId="1204"/>
    <cellStyle name="Normal 5 4 2 5 2" xfId="3633"/>
    <cellStyle name="Normal 5 4 2 5 2 2" xfId="12769"/>
    <cellStyle name="Normal 5 4 2 5 2 2 2" xfId="22988"/>
    <cellStyle name="Normal 5 4 2 5 2 3" xfId="9190"/>
    <cellStyle name="Normal 5 4 2 5 2 4" xfId="17981"/>
    <cellStyle name="Normal 5 4 2 5 3" xfId="5296"/>
    <cellStyle name="Normal 5 4 2 5 3 2" xfId="14133"/>
    <cellStyle name="Normal 5 4 2 5 3 2 2" xfId="24384"/>
    <cellStyle name="Normal 5 4 2 5 3 3" xfId="10554"/>
    <cellStyle name="Normal 5 4 2 5 3 4" xfId="19377"/>
    <cellStyle name="Normal 5 4 2 5 4" xfId="1806"/>
    <cellStyle name="Normal 5 4 2 5 4 2" xfId="11175"/>
    <cellStyle name="Normal 5 4 2 5 4 3" xfId="21179"/>
    <cellStyle name="Normal 5 4 2 5 5" xfId="6751"/>
    <cellStyle name="Normal 5 4 2 5 5 2" xfId="15578"/>
    <cellStyle name="Normal 5 4 2 5 5 3" xfId="25829"/>
    <cellStyle name="Normal 5 4 2 5 6" xfId="8197"/>
    <cellStyle name="Normal 5 4 2 5 6 2" xfId="20587"/>
    <cellStyle name="Normal 5 4 2 5 7" xfId="16172"/>
    <cellStyle name="Normal 5 4 2 6" xfId="2701"/>
    <cellStyle name="Normal 5 4 2 6 2" xfId="12018"/>
    <cellStyle name="Normal 5 4 2 6 2 2" xfId="22062"/>
    <cellStyle name="Normal 5 4 2 6 3" xfId="8616"/>
    <cellStyle name="Normal 5 4 2 6 4" xfId="17055"/>
    <cellStyle name="Normal 5 4 2 7" xfId="4252"/>
    <cellStyle name="Normal 5 4 2 7 2" xfId="13090"/>
    <cellStyle name="Normal 5 4 2 7 2 2" xfId="23341"/>
    <cellStyle name="Normal 5 4 2 7 3" xfId="9511"/>
    <cellStyle name="Normal 5 4 2 7 4" xfId="18334"/>
    <cellStyle name="Normal 5 4 2 8" xfId="1524"/>
    <cellStyle name="Normal 5 4 2 8 2" xfId="10901"/>
    <cellStyle name="Normal 5 4 2 8 3" xfId="20905"/>
    <cellStyle name="Normal 5 4 2 9" xfId="5708"/>
    <cellStyle name="Normal 5 4 2 9 2" xfId="14535"/>
    <cellStyle name="Normal 5 4 2 9 3" xfId="24786"/>
    <cellStyle name="Normal 5 4 2_Degree data" xfId="3862"/>
    <cellStyle name="Normal 5 4 3" xfId="270"/>
    <cellStyle name="Normal 5 4 3 10" xfId="7109"/>
    <cellStyle name="Normal 5 4 3 10 2" xfId="19722"/>
    <cellStyle name="Normal 5 4 3 11" xfId="15855"/>
    <cellStyle name="Normal 5 4 3 2" xfId="593"/>
    <cellStyle name="Normal 5 4 3 2 2" xfId="820"/>
    <cellStyle name="Normal 5 4 3 2 2 2" xfId="3305"/>
    <cellStyle name="Normal 5 4 3 2 2 2 2" xfId="12447"/>
    <cellStyle name="Normal 5 4 3 2 2 2 2 2" xfId="22666"/>
    <cellStyle name="Normal 5 4 3 2 2 2 3" xfId="8869"/>
    <cellStyle name="Normal 5 4 3 2 2 2 4" xfId="17659"/>
    <cellStyle name="Normal 5 4 3 2 2 3" xfId="4634"/>
    <cellStyle name="Normal 5 4 3 2 2 3 2" xfId="13472"/>
    <cellStyle name="Normal 5 4 3 2 2 3 2 2" xfId="23723"/>
    <cellStyle name="Normal 5 4 3 2 2 3 3" xfId="9893"/>
    <cellStyle name="Normal 5 4 3 2 2 3 4" xfId="18716"/>
    <cellStyle name="Normal 5 4 3 2 2 4" xfId="2414"/>
    <cellStyle name="Normal 5 4 3 2 2 4 2" xfId="11779"/>
    <cellStyle name="Normal 5 4 3 2 2 4 3" xfId="21783"/>
    <cellStyle name="Normal 5 4 3 2 2 5" xfId="6090"/>
    <cellStyle name="Normal 5 4 3 2 2 5 2" xfId="14917"/>
    <cellStyle name="Normal 5 4 3 2 2 5 3" xfId="25168"/>
    <cellStyle name="Normal 5 4 3 2 2 6" xfId="7535"/>
    <cellStyle name="Normal 5 4 3 2 2 6 2" xfId="20265"/>
    <cellStyle name="Normal 5 4 3 2 2 7" xfId="16776"/>
    <cellStyle name="Normal 5 4 3 2 3" xfId="1365"/>
    <cellStyle name="Normal 5 4 3 2 3 2" xfId="3794"/>
    <cellStyle name="Normal 5 4 3 2 3 2 2" xfId="12930"/>
    <cellStyle name="Normal 5 4 3 2 3 2 2 2" xfId="23149"/>
    <cellStyle name="Normal 5 4 3 2 3 2 3" xfId="9351"/>
    <cellStyle name="Normal 5 4 3 2 3 2 4" xfId="18142"/>
    <cellStyle name="Normal 5 4 3 2 3 3" xfId="4983"/>
    <cellStyle name="Normal 5 4 3 2 3 3 2" xfId="13820"/>
    <cellStyle name="Normal 5 4 3 2 3 3 2 2" xfId="24071"/>
    <cellStyle name="Normal 5 4 3 2 3 3 3" xfId="10241"/>
    <cellStyle name="Normal 5 4 3 2 3 3 4" xfId="19064"/>
    <cellStyle name="Normal 5 4 3 2 3 4" xfId="2188"/>
    <cellStyle name="Normal 5 4 3 2 3 4 2" xfId="11553"/>
    <cellStyle name="Normal 5 4 3 2 3 4 3" xfId="21557"/>
    <cellStyle name="Normal 5 4 3 2 3 5" xfId="6438"/>
    <cellStyle name="Normal 5 4 3 2 3 5 2" xfId="15265"/>
    <cellStyle name="Normal 5 4 3 2 3 5 3" xfId="25516"/>
    <cellStyle name="Normal 5 4 3 2 3 6" xfId="7884"/>
    <cellStyle name="Normal 5 4 3 2 3 6 2" xfId="20748"/>
    <cellStyle name="Normal 5 4 3 2 3 7" xfId="16550"/>
    <cellStyle name="Normal 5 4 3 2 4" xfId="3079"/>
    <cellStyle name="Normal 5 4 3 2 4 2" xfId="5457"/>
    <cellStyle name="Normal 5 4 3 2 4 2 2" xfId="14294"/>
    <cellStyle name="Normal 5 4 3 2 4 2 2 2" xfId="24545"/>
    <cellStyle name="Normal 5 4 3 2 4 2 3" xfId="10715"/>
    <cellStyle name="Normal 5 4 3 2 4 2 4" xfId="19538"/>
    <cellStyle name="Normal 5 4 3 2 4 3" xfId="6912"/>
    <cellStyle name="Normal 5 4 3 2 4 3 2" xfId="15739"/>
    <cellStyle name="Normal 5 4 3 2 4 3 3" xfId="25990"/>
    <cellStyle name="Normal 5 4 3 2 4 4" xfId="8358"/>
    <cellStyle name="Normal 5 4 3 2 4 4 2" xfId="22440"/>
    <cellStyle name="Normal 5 4 3 2 4 5" xfId="17433"/>
    <cellStyle name="Normal 5 4 3 2 5" xfId="4413"/>
    <cellStyle name="Normal 5 4 3 2 5 2" xfId="13251"/>
    <cellStyle name="Normal 5 4 3 2 5 2 2" xfId="23502"/>
    <cellStyle name="Normal 5 4 3 2 5 3" xfId="9672"/>
    <cellStyle name="Normal 5 4 3 2 5 4" xfId="18495"/>
    <cellStyle name="Normal 5 4 3 2 6" xfId="1685"/>
    <cellStyle name="Normal 5 4 3 2 6 2" xfId="11062"/>
    <cellStyle name="Normal 5 4 3 2 6 3" xfId="21066"/>
    <cellStyle name="Normal 5 4 3 2 7" xfId="5869"/>
    <cellStyle name="Normal 5 4 3 2 7 2" xfId="14696"/>
    <cellStyle name="Normal 5 4 3 2 7 3" xfId="24947"/>
    <cellStyle name="Normal 5 4 3 2 8" xfId="7313"/>
    <cellStyle name="Normal 5 4 3 2 8 2" xfId="20039"/>
    <cellStyle name="Normal 5 4 3 2 9" xfId="16059"/>
    <cellStyle name="Normal 5 4 3 2_Degree data" xfId="3471"/>
    <cellStyle name="Normal 5 4 3 3" xfId="389"/>
    <cellStyle name="Normal 5 4 3 3 2" xfId="2875"/>
    <cellStyle name="Normal 5 4 3 3 2 2" xfId="12163"/>
    <cellStyle name="Normal 5 4 3 3 2 2 2" xfId="22236"/>
    <cellStyle name="Normal 5 4 3 3 2 3" xfId="8466"/>
    <cellStyle name="Normal 5 4 3 3 2 4" xfId="17229"/>
    <cellStyle name="Normal 5 4 3 3 3" xfId="4633"/>
    <cellStyle name="Normal 5 4 3 3 3 2" xfId="13471"/>
    <cellStyle name="Normal 5 4 3 3 3 2 2" xfId="23722"/>
    <cellStyle name="Normal 5 4 3 3 3 3" xfId="9892"/>
    <cellStyle name="Normal 5 4 3 3 3 4" xfId="18715"/>
    <cellStyle name="Normal 5 4 3 3 4" xfId="1984"/>
    <cellStyle name="Normal 5 4 3 3 4 2" xfId="11349"/>
    <cellStyle name="Normal 5 4 3 3 4 3" xfId="21353"/>
    <cellStyle name="Normal 5 4 3 3 5" xfId="6089"/>
    <cellStyle name="Normal 5 4 3 3 5 2" xfId="14916"/>
    <cellStyle name="Normal 5 4 3 3 5 3" xfId="25167"/>
    <cellStyle name="Normal 5 4 3 3 6" xfId="7534"/>
    <cellStyle name="Normal 5 4 3 3 6 2" xfId="19835"/>
    <cellStyle name="Normal 5 4 3 3 7" xfId="16346"/>
    <cellStyle name="Normal 5 4 3 4" xfId="819"/>
    <cellStyle name="Normal 5 4 3 4 2" xfId="3304"/>
    <cellStyle name="Normal 5 4 3 4 2 2" xfId="12446"/>
    <cellStyle name="Normal 5 4 3 4 2 2 2" xfId="22665"/>
    <cellStyle name="Normal 5 4 3 4 2 3" xfId="8868"/>
    <cellStyle name="Normal 5 4 3 4 2 4" xfId="17658"/>
    <cellStyle name="Normal 5 4 3 4 3" xfId="4982"/>
    <cellStyle name="Normal 5 4 3 4 3 2" xfId="13819"/>
    <cellStyle name="Normal 5 4 3 4 3 2 2" xfId="24070"/>
    <cellStyle name="Normal 5 4 3 4 3 3" xfId="10240"/>
    <cellStyle name="Normal 5 4 3 4 3 4" xfId="19063"/>
    <cellStyle name="Normal 5 4 3 4 4" xfId="2413"/>
    <cellStyle name="Normal 5 4 3 4 4 2" xfId="11778"/>
    <cellStyle name="Normal 5 4 3 4 4 3" xfId="21782"/>
    <cellStyle name="Normal 5 4 3 4 5" xfId="6437"/>
    <cellStyle name="Normal 5 4 3 4 5 2" xfId="15264"/>
    <cellStyle name="Normal 5 4 3 4 5 3" xfId="25515"/>
    <cellStyle name="Normal 5 4 3 4 6" xfId="7883"/>
    <cellStyle name="Normal 5 4 3 4 6 2" xfId="20264"/>
    <cellStyle name="Normal 5 4 3 4 7" xfId="16775"/>
    <cellStyle name="Normal 5 4 3 5" xfId="1161"/>
    <cellStyle name="Normal 5 4 3 5 2" xfId="3590"/>
    <cellStyle name="Normal 5 4 3 5 2 2" xfId="12726"/>
    <cellStyle name="Normal 5 4 3 5 2 2 2" xfId="22945"/>
    <cellStyle name="Normal 5 4 3 5 2 3" xfId="9147"/>
    <cellStyle name="Normal 5 4 3 5 2 4" xfId="17938"/>
    <cellStyle name="Normal 5 4 3 5 3" xfId="5253"/>
    <cellStyle name="Normal 5 4 3 5 3 2" xfId="14090"/>
    <cellStyle name="Normal 5 4 3 5 3 2 2" xfId="24341"/>
    <cellStyle name="Normal 5 4 3 5 3 3" xfId="10511"/>
    <cellStyle name="Normal 5 4 3 5 3 4" xfId="19334"/>
    <cellStyle name="Normal 5 4 3 5 4" xfId="1868"/>
    <cellStyle name="Normal 5 4 3 5 4 2" xfId="11236"/>
    <cellStyle name="Normal 5 4 3 5 4 3" xfId="21240"/>
    <cellStyle name="Normal 5 4 3 5 5" xfId="6708"/>
    <cellStyle name="Normal 5 4 3 5 5 2" xfId="15535"/>
    <cellStyle name="Normal 5 4 3 5 5 3" xfId="25786"/>
    <cellStyle name="Normal 5 4 3 5 6" xfId="8154"/>
    <cellStyle name="Normal 5 4 3 5 6 2" xfId="20544"/>
    <cellStyle name="Normal 5 4 3 5 7" xfId="16233"/>
    <cellStyle name="Normal 5 4 3 6" xfId="2762"/>
    <cellStyle name="Normal 5 4 3 6 2" xfId="12079"/>
    <cellStyle name="Normal 5 4 3 6 2 2" xfId="22123"/>
    <cellStyle name="Normal 5 4 3 6 3" xfId="8387"/>
    <cellStyle name="Normal 5 4 3 6 4" xfId="17116"/>
    <cellStyle name="Normal 5 4 3 7" xfId="4209"/>
    <cellStyle name="Normal 5 4 3 7 2" xfId="13047"/>
    <cellStyle name="Normal 5 4 3 7 2 2" xfId="23298"/>
    <cellStyle name="Normal 5 4 3 7 3" xfId="9468"/>
    <cellStyle name="Normal 5 4 3 7 4" xfId="18291"/>
    <cellStyle name="Normal 5 4 3 8" xfId="1481"/>
    <cellStyle name="Normal 5 4 3 8 2" xfId="10858"/>
    <cellStyle name="Normal 5 4 3 8 3" xfId="20862"/>
    <cellStyle name="Normal 5 4 3 9" xfId="5665"/>
    <cellStyle name="Normal 5 4 3 9 2" xfId="14492"/>
    <cellStyle name="Normal 5 4 3 9 3" xfId="24743"/>
    <cellStyle name="Normal 5 4 3_Degree data" xfId="3844"/>
    <cellStyle name="Normal 5 4 4" xfId="489"/>
    <cellStyle name="Normal 5 4 4 2" xfId="821"/>
    <cellStyle name="Normal 5 4 4 2 2" xfId="3306"/>
    <cellStyle name="Normal 5 4 4 2 2 2" xfId="12448"/>
    <cellStyle name="Normal 5 4 4 2 2 2 2" xfId="22667"/>
    <cellStyle name="Normal 5 4 4 2 2 3" xfId="8870"/>
    <cellStyle name="Normal 5 4 4 2 2 4" xfId="17660"/>
    <cellStyle name="Normal 5 4 4 2 3" xfId="4635"/>
    <cellStyle name="Normal 5 4 4 2 3 2" xfId="13473"/>
    <cellStyle name="Normal 5 4 4 2 3 2 2" xfId="23724"/>
    <cellStyle name="Normal 5 4 4 2 3 3" xfId="9894"/>
    <cellStyle name="Normal 5 4 4 2 3 4" xfId="18717"/>
    <cellStyle name="Normal 5 4 4 2 4" xfId="2415"/>
    <cellStyle name="Normal 5 4 4 2 4 2" xfId="11780"/>
    <cellStyle name="Normal 5 4 4 2 4 3" xfId="21784"/>
    <cellStyle name="Normal 5 4 4 2 5" xfId="6091"/>
    <cellStyle name="Normal 5 4 4 2 5 2" xfId="14918"/>
    <cellStyle name="Normal 5 4 4 2 5 3" xfId="25169"/>
    <cellStyle name="Normal 5 4 4 2 6" xfId="7536"/>
    <cellStyle name="Normal 5 4 4 2 6 2" xfId="20266"/>
    <cellStyle name="Normal 5 4 4 2 7" xfId="16777"/>
    <cellStyle name="Normal 5 4 4 3" xfId="1261"/>
    <cellStyle name="Normal 5 4 4 3 2" xfId="3690"/>
    <cellStyle name="Normal 5 4 4 3 2 2" xfId="12826"/>
    <cellStyle name="Normal 5 4 4 3 2 2 2" xfId="23045"/>
    <cellStyle name="Normal 5 4 4 3 2 3" xfId="9247"/>
    <cellStyle name="Normal 5 4 4 3 2 4" xfId="18038"/>
    <cellStyle name="Normal 5 4 4 3 3" xfId="4984"/>
    <cellStyle name="Normal 5 4 4 3 3 2" xfId="13821"/>
    <cellStyle name="Normal 5 4 4 3 3 2 2" xfId="24072"/>
    <cellStyle name="Normal 5 4 4 3 3 3" xfId="10242"/>
    <cellStyle name="Normal 5 4 4 3 3 4" xfId="19065"/>
    <cellStyle name="Normal 5 4 4 3 4" xfId="2084"/>
    <cellStyle name="Normal 5 4 4 3 4 2" xfId="11449"/>
    <cellStyle name="Normal 5 4 4 3 4 3" xfId="21453"/>
    <cellStyle name="Normal 5 4 4 3 5" xfId="6439"/>
    <cellStyle name="Normal 5 4 4 3 5 2" xfId="15266"/>
    <cellStyle name="Normal 5 4 4 3 5 3" xfId="25517"/>
    <cellStyle name="Normal 5 4 4 3 6" xfId="7885"/>
    <cellStyle name="Normal 5 4 4 3 6 2" xfId="20644"/>
    <cellStyle name="Normal 5 4 4 3 7" xfId="16446"/>
    <cellStyle name="Normal 5 4 4 4" xfId="2975"/>
    <cellStyle name="Normal 5 4 4 4 2" xfId="5353"/>
    <cellStyle name="Normal 5 4 4 4 2 2" xfId="14190"/>
    <cellStyle name="Normal 5 4 4 4 2 2 2" xfId="24441"/>
    <cellStyle name="Normal 5 4 4 4 2 3" xfId="10611"/>
    <cellStyle name="Normal 5 4 4 4 2 4" xfId="19434"/>
    <cellStyle name="Normal 5 4 4 4 3" xfId="6808"/>
    <cellStyle name="Normal 5 4 4 4 3 2" xfId="15635"/>
    <cellStyle name="Normal 5 4 4 4 3 3" xfId="25886"/>
    <cellStyle name="Normal 5 4 4 4 4" xfId="8254"/>
    <cellStyle name="Normal 5 4 4 4 4 2" xfId="22336"/>
    <cellStyle name="Normal 5 4 4 4 5" xfId="17329"/>
    <cellStyle name="Normal 5 4 4 5" xfId="4309"/>
    <cellStyle name="Normal 5 4 4 5 2" xfId="13147"/>
    <cellStyle name="Normal 5 4 4 5 2 2" xfId="23398"/>
    <cellStyle name="Normal 5 4 4 5 3" xfId="9568"/>
    <cellStyle name="Normal 5 4 4 5 4" xfId="18391"/>
    <cellStyle name="Normal 5 4 4 6" xfId="1581"/>
    <cellStyle name="Normal 5 4 4 6 2" xfId="10958"/>
    <cellStyle name="Normal 5 4 4 6 3" xfId="20962"/>
    <cellStyle name="Normal 5 4 4 7" xfId="5765"/>
    <cellStyle name="Normal 5 4 4 7 2" xfId="14592"/>
    <cellStyle name="Normal 5 4 4 7 3" xfId="24843"/>
    <cellStyle name="Normal 5 4 4 8" xfId="7209"/>
    <cellStyle name="Normal 5 4 4 8 2" xfId="19935"/>
    <cellStyle name="Normal 5 4 4 9" xfId="15955"/>
    <cellStyle name="Normal 5 4 4_Degree data" xfId="3850"/>
    <cellStyle name="Normal 5 4 5" xfId="330"/>
    <cellStyle name="Normal 5 4 5 2" xfId="822"/>
    <cellStyle name="Normal 5 4 5 2 2" xfId="3307"/>
    <cellStyle name="Normal 5 4 5 2 2 2" xfId="12449"/>
    <cellStyle name="Normal 5 4 5 2 2 2 2" xfId="22668"/>
    <cellStyle name="Normal 5 4 5 2 2 3" xfId="8871"/>
    <cellStyle name="Normal 5 4 5 2 2 4" xfId="17661"/>
    <cellStyle name="Normal 5 4 5 2 3" xfId="4636"/>
    <cellStyle name="Normal 5 4 5 2 3 2" xfId="13474"/>
    <cellStyle name="Normal 5 4 5 2 3 2 2" xfId="23725"/>
    <cellStyle name="Normal 5 4 5 2 3 3" xfId="9895"/>
    <cellStyle name="Normal 5 4 5 2 3 4" xfId="18718"/>
    <cellStyle name="Normal 5 4 5 2 4" xfId="2416"/>
    <cellStyle name="Normal 5 4 5 2 4 2" xfId="11781"/>
    <cellStyle name="Normal 5 4 5 2 4 3" xfId="21785"/>
    <cellStyle name="Normal 5 4 5 2 5" xfId="6092"/>
    <cellStyle name="Normal 5 4 5 2 5 2" xfId="14919"/>
    <cellStyle name="Normal 5 4 5 2 5 3" xfId="25170"/>
    <cellStyle name="Normal 5 4 5 2 6" xfId="7537"/>
    <cellStyle name="Normal 5 4 5 2 6 2" xfId="20267"/>
    <cellStyle name="Normal 5 4 5 2 7" xfId="16778"/>
    <cellStyle name="Normal 5 4 5 3" xfId="1102"/>
    <cellStyle name="Normal 5 4 5 3 2" xfId="3531"/>
    <cellStyle name="Normal 5 4 5 3 2 2" xfId="12667"/>
    <cellStyle name="Normal 5 4 5 3 2 2 2" xfId="22886"/>
    <cellStyle name="Normal 5 4 5 3 2 3" xfId="9089"/>
    <cellStyle name="Normal 5 4 5 3 2 4" xfId="17879"/>
    <cellStyle name="Normal 5 4 5 3 3" xfId="4985"/>
    <cellStyle name="Normal 5 4 5 3 3 2" xfId="13822"/>
    <cellStyle name="Normal 5 4 5 3 3 2 2" xfId="24073"/>
    <cellStyle name="Normal 5 4 5 3 3 3" xfId="10243"/>
    <cellStyle name="Normal 5 4 5 3 3 4" xfId="19066"/>
    <cellStyle name="Normal 5 4 5 3 4" xfId="2584"/>
    <cellStyle name="Normal 5 4 5 3 4 2" xfId="11948"/>
    <cellStyle name="Normal 5 4 5 3 4 3" xfId="21952"/>
    <cellStyle name="Normal 5 4 5 3 5" xfId="6440"/>
    <cellStyle name="Normal 5 4 5 3 5 2" xfId="15267"/>
    <cellStyle name="Normal 5 4 5 3 5 3" xfId="25518"/>
    <cellStyle name="Normal 5 4 5 3 6" xfId="7886"/>
    <cellStyle name="Normal 5 4 5 3 6 2" xfId="20485"/>
    <cellStyle name="Normal 5 4 5 3 7" xfId="16945"/>
    <cellStyle name="Normal 5 4 5 4" xfId="2816"/>
    <cellStyle name="Normal 5 4 5 4 2" xfId="5194"/>
    <cellStyle name="Normal 5 4 5 4 2 2" xfId="14031"/>
    <cellStyle name="Normal 5 4 5 4 2 2 2" xfId="24282"/>
    <cellStyle name="Normal 5 4 5 4 2 3" xfId="10452"/>
    <cellStyle name="Normal 5 4 5 4 2 4" xfId="19275"/>
    <cellStyle name="Normal 5 4 5 4 3" xfId="6649"/>
    <cellStyle name="Normal 5 4 5 4 3 2" xfId="15476"/>
    <cellStyle name="Normal 5 4 5 4 3 3" xfId="25727"/>
    <cellStyle name="Normal 5 4 5 4 4" xfId="8095"/>
    <cellStyle name="Normal 5 4 5 4 4 2" xfId="22177"/>
    <cellStyle name="Normal 5 4 5 4 5" xfId="17170"/>
    <cellStyle name="Normal 5 4 5 5" xfId="4148"/>
    <cellStyle name="Normal 5 4 5 5 2" xfId="12986"/>
    <cellStyle name="Normal 5 4 5 5 2 2" xfId="23237"/>
    <cellStyle name="Normal 5 4 5 5 3" xfId="9407"/>
    <cellStyle name="Normal 5 4 5 5 4" xfId="18230"/>
    <cellStyle name="Normal 5 4 5 6" xfId="1925"/>
    <cellStyle name="Normal 5 4 5 6 2" xfId="11290"/>
    <cellStyle name="Normal 5 4 5 6 3" xfId="21294"/>
    <cellStyle name="Normal 5 4 5 7" xfId="5606"/>
    <cellStyle name="Normal 5 4 5 7 2" xfId="14433"/>
    <cellStyle name="Normal 5 4 5 7 3" xfId="24684"/>
    <cellStyle name="Normal 5 4 5 8" xfId="7050"/>
    <cellStyle name="Normal 5 4 5 8 2" xfId="19776"/>
    <cellStyle name="Normal 5 4 5 9" xfId="16287"/>
    <cellStyle name="Normal 5 4 5_Degree data" xfId="3929"/>
    <cellStyle name="Normal 5 4 6" xfId="816"/>
    <cellStyle name="Normal 5 4 6 2" xfId="3301"/>
    <cellStyle name="Normal 5 4 6 2 2" xfId="12443"/>
    <cellStyle name="Normal 5 4 6 2 2 2" xfId="22662"/>
    <cellStyle name="Normal 5 4 6 2 3" xfId="8865"/>
    <cellStyle name="Normal 5 4 6 2 4" xfId="17655"/>
    <cellStyle name="Normal 5 4 6 3" xfId="4630"/>
    <cellStyle name="Normal 5 4 6 3 2" xfId="13468"/>
    <cellStyle name="Normal 5 4 6 3 2 2" xfId="23719"/>
    <cellStyle name="Normal 5 4 6 3 3" xfId="9889"/>
    <cellStyle name="Normal 5 4 6 3 4" xfId="18712"/>
    <cellStyle name="Normal 5 4 6 4" xfId="2410"/>
    <cellStyle name="Normal 5 4 6 4 2" xfId="11775"/>
    <cellStyle name="Normal 5 4 6 4 3" xfId="21779"/>
    <cellStyle name="Normal 5 4 6 5" xfId="6086"/>
    <cellStyle name="Normal 5 4 6 5 2" xfId="14913"/>
    <cellStyle name="Normal 5 4 6 5 3" xfId="25164"/>
    <cellStyle name="Normal 5 4 6 6" xfId="7531"/>
    <cellStyle name="Normal 5 4 6 6 2" xfId="20261"/>
    <cellStyle name="Normal 5 4 6 7" xfId="16772"/>
    <cellStyle name="Normal 5 4 7" xfId="1059"/>
    <cellStyle name="Normal 5 4 7 2" xfId="3488"/>
    <cellStyle name="Normal 5 4 7 2 2" xfId="12624"/>
    <cellStyle name="Normal 5 4 7 2 2 2" xfId="22843"/>
    <cellStyle name="Normal 5 4 7 2 3" xfId="9046"/>
    <cellStyle name="Normal 5 4 7 2 4" xfId="17836"/>
    <cellStyle name="Normal 5 4 7 3" xfId="4979"/>
    <cellStyle name="Normal 5 4 7 3 2" xfId="13816"/>
    <cellStyle name="Normal 5 4 7 3 2 2" xfId="24067"/>
    <cellStyle name="Normal 5 4 7 3 3" xfId="10237"/>
    <cellStyle name="Normal 5 4 7 3 4" xfId="19060"/>
    <cellStyle name="Normal 5 4 7 4" xfId="1760"/>
    <cellStyle name="Normal 5 4 7 4 2" xfId="11131"/>
    <cellStyle name="Normal 5 4 7 4 3" xfId="21135"/>
    <cellStyle name="Normal 5 4 7 5" xfId="6434"/>
    <cellStyle name="Normal 5 4 7 5 2" xfId="15261"/>
    <cellStyle name="Normal 5 4 7 5 3" xfId="25512"/>
    <cellStyle name="Normal 5 4 7 6" xfId="7880"/>
    <cellStyle name="Normal 5 4 7 6 2" xfId="20442"/>
    <cellStyle name="Normal 5 4 7 7" xfId="16128"/>
    <cellStyle name="Normal 5 4 8" xfId="2658"/>
    <cellStyle name="Normal 5 4 8 2" xfId="5151"/>
    <cellStyle name="Normal 5 4 8 2 2" xfId="13988"/>
    <cellStyle name="Normal 5 4 8 2 2 2" xfId="24239"/>
    <cellStyle name="Normal 5 4 8 2 3" xfId="10409"/>
    <cellStyle name="Normal 5 4 8 2 4" xfId="19232"/>
    <cellStyle name="Normal 5 4 8 3" xfId="6606"/>
    <cellStyle name="Normal 5 4 8 3 2" xfId="15433"/>
    <cellStyle name="Normal 5 4 8 3 3" xfId="25684"/>
    <cellStyle name="Normal 5 4 8 4" xfId="8052"/>
    <cellStyle name="Normal 5 4 8 4 2" xfId="22019"/>
    <cellStyle name="Normal 5 4 8 5" xfId="17012"/>
    <cellStyle name="Normal 5 4 9" xfId="4105"/>
    <cellStyle name="Normal 5 4 9 2" xfId="5563"/>
    <cellStyle name="Normal 5 4 9 2 2" xfId="14390"/>
    <cellStyle name="Normal 5 4 9 2 3" xfId="24641"/>
    <cellStyle name="Normal 5 4 9 3" xfId="7007"/>
    <cellStyle name="Normal 5 4 9 3 2" xfId="23194"/>
    <cellStyle name="Normal 5 4 9 4" xfId="18187"/>
    <cellStyle name="Normal 5 4_Degree data" xfId="3828"/>
    <cellStyle name="Normal 5 5" xfId="142"/>
    <cellStyle name="Normal 5 5 10" xfId="1410"/>
    <cellStyle name="Normal 5 5 10 2" xfId="10787"/>
    <cellStyle name="Normal 5 5 10 3" xfId="20791"/>
    <cellStyle name="Normal 5 5 11" xfId="5521"/>
    <cellStyle name="Normal 5 5 11 2" xfId="14348"/>
    <cellStyle name="Normal 5 5 11 3" xfId="24599"/>
    <cellStyle name="Normal 5 5 12" xfId="6961"/>
    <cellStyle name="Normal 5 5 12 2" xfId="19606"/>
    <cellStyle name="Normal 5 5 13" xfId="15784"/>
    <cellStyle name="Normal 5 5 2" xfId="192"/>
    <cellStyle name="Normal 5 5 2 10" xfId="7140"/>
    <cellStyle name="Normal 5 5 2 10 2" xfId="19649"/>
    <cellStyle name="Normal 5 5 2 11" xfId="15886"/>
    <cellStyle name="Normal 5 5 2 2" xfId="520"/>
    <cellStyle name="Normal 5 5 2 2 2" xfId="825"/>
    <cellStyle name="Normal 5 5 2 2 2 2" xfId="3310"/>
    <cellStyle name="Normal 5 5 2 2 2 2 2" xfId="12452"/>
    <cellStyle name="Normal 5 5 2 2 2 2 2 2" xfId="22671"/>
    <cellStyle name="Normal 5 5 2 2 2 2 3" xfId="8874"/>
    <cellStyle name="Normal 5 5 2 2 2 2 4" xfId="17664"/>
    <cellStyle name="Normal 5 5 2 2 2 3" xfId="4639"/>
    <cellStyle name="Normal 5 5 2 2 2 3 2" xfId="13477"/>
    <cellStyle name="Normal 5 5 2 2 2 3 2 2" xfId="23728"/>
    <cellStyle name="Normal 5 5 2 2 2 3 3" xfId="9898"/>
    <cellStyle name="Normal 5 5 2 2 2 3 4" xfId="18721"/>
    <cellStyle name="Normal 5 5 2 2 2 4" xfId="2419"/>
    <cellStyle name="Normal 5 5 2 2 2 4 2" xfId="11784"/>
    <cellStyle name="Normal 5 5 2 2 2 4 3" xfId="21788"/>
    <cellStyle name="Normal 5 5 2 2 2 5" xfId="6095"/>
    <cellStyle name="Normal 5 5 2 2 2 5 2" xfId="14922"/>
    <cellStyle name="Normal 5 5 2 2 2 5 3" xfId="25173"/>
    <cellStyle name="Normal 5 5 2 2 2 6" xfId="7540"/>
    <cellStyle name="Normal 5 5 2 2 2 6 2" xfId="20270"/>
    <cellStyle name="Normal 5 5 2 2 2 7" xfId="16781"/>
    <cellStyle name="Normal 5 5 2 2 3" xfId="1292"/>
    <cellStyle name="Normal 5 5 2 2 3 2" xfId="3721"/>
    <cellStyle name="Normal 5 5 2 2 3 2 2" xfId="12857"/>
    <cellStyle name="Normal 5 5 2 2 3 2 2 2" xfId="23076"/>
    <cellStyle name="Normal 5 5 2 2 3 2 3" xfId="9278"/>
    <cellStyle name="Normal 5 5 2 2 3 2 4" xfId="18069"/>
    <cellStyle name="Normal 5 5 2 2 3 3" xfId="4988"/>
    <cellStyle name="Normal 5 5 2 2 3 3 2" xfId="13825"/>
    <cellStyle name="Normal 5 5 2 2 3 3 2 2" xfId="24076"/>
    <cellStyle name="Normal 5 5 2 2 3 3 3" xfId="10246"/>
    <cellStyle name="Normal 5 5 2 2 3 3 4" xfId="19069"/>
    <cellStyle name="Normal 5 5 2 2 3 4" xfId="2115"/>
    <cellStyle name="Normal 5 5 2 2 3 4 2" xfId="11480"/>
    <cellStyle name="Normal 5 5 2 2 3 4 3" xfId="21484"/>
    <cellStyle name="Normal 5 5 2 2 3 5" xfId="6443"/>
    <cellStyle name="Normal 5 5 2 2 3 5 2" xfId="15270"/>
    <cellStyle name="Normal 5 5 2 2 3 5 3" xfId="25521"/>
    <cellStyle name="Normal 5 5 2 2 3 6" xfId="7889"/>
    <cellStyle name="Normal 5 5 2 2 3 6 2" xfId="20675"/>
    <cellStyle name="Normal 5 5 2 2 3 7" xfId="16477"/>
    <cellStyle name="Normal 5 5 2 2 4" xfId="3006"/>
    <cellStyle name="Normal 5 5 2 2 4 2" xfId="5384"/>
    <cellStyle name="Normal 5 5 2 2 4 2 2" xfId="14221"/>
    <cellStyle name="Normal 5 5 2 2 4 2 2 2" xfId="24472"/>
    <cellStyle name="Normal 5 5 2 2 4 2 3" xfId="10642"/>
    <cellStyle name="Normal 5 5 2 2 4 2 4" xfId="19465"/>
    <cellStyle name="Normal 5 5 2 2 4 3" xfId="6839"/>
    <cellStyle name="Normal 5 5 2 2 4 3 2" xfId="15666"/>
    <cellStyle name="Normal 5 5 2 2 4 3 3" xfId="25917"/>
    <cellStyle name="Normal 5 5 2 2 4 4" xfId="8285"/>
    <cellStyle name="Normal 5 5 2 2 4 4 2" xfId="22367"/>
    <cellStyle name="Normal 5 5 2 2 4 5" xfId="17360"/>
    <cellStyle name="Normal 5 5 2 2 5" xfId="4340"/>
    <cellStyle name="Normal 5 5 2 2 5 2" xfId="13178"/>
    <cellStyle name="Normal 5 5 2 2 5 2 2" xfId="23429"/>
    <cellStyle name="Normal 5 5 2 2 5 3" xfId="9599"/>
    <cellStyle name="Normal 5 5 2 2 5 4" xfId="18422"/>
    <cellStyle name="Normal 5 5 2 2 6" xfId="1612"/>
    <cellStyle name="Normal 5 5 2 2 6 2" xfId="10989"/>
    <cellStyle name="Normal 5 5 2 2 6 3" xfId="20993"/>
    <cellStyle name="Normal 5 5 2 2 7" xfId="5796"/>
    <cellStyle name="Normal 5 5 2 2 7 2" xfId="14623"/>
    <cellStyle name="Normal 5 5 2 2 7 3" xfId="24874"/>
    <cellStyle name="Normal 5 5 2 2 8" xfId="7240"/>
    <cellStyle name="Normal 5 5 2 2 8 2" xfId="19966"/>
    <cellStyle name="Normal 5 5 2 2 9" xfId="15986"/>
    <cellStyle name="Normal 5 5 2 2_Degree data" xfId="3904"/>
    <cellStyle name="Normal 5 5 2 3" xfId="420"/>
    <cellStyle name="Normal 5 5 2 3 2" xfId="2906"/>
    <cellStyle name="Normal 5 5 2 3 2 2" xfId="12194"/>
    <cellStyle name="Normal 5 5 2 3 2 2 2" xfId="22267"/>
    <cellStyle name="Normal 5 5 2 3 2 3" xfId="8450"/>
    <cellStyle name="Normal 5 5 2 3 2 4" xfId="17260"/>
    <cellStyle name="Normal 5 5 2 3 3" xfId="4638"/>
    <cellStyle name="Normal 5 5 2 3 3 2" xfId="13476"/>
    <cellStyle name="Normal 5 5 2 3 3 2 2" xfId="23727"/>
    <cellStyle name="Normal 5 5 2 3 3 3" xfId="9897"/>
    <cellStyle name="Normal 5 5 2 3 3 4" xfId="18720"/>
    <cellStyle name="Normal 5 5 2 3 4" xfId="2015"/>
    <cellStyle name="Normal 5 5 2 3 4 2" xfId="11380"/>
    <cellStyle name="Normal 5 5 2 3 4 3" xfId="21384"/>
    <cellStyle name="Normal 5 5 2 3 5" xfId="6094"/>
    <cellStyle name="Normal 5 5 2 3 5 2" xfId="14921"/>
    <cellStyle name="Normal 5 5 2 3 5 3" xfId="25172"/>
    <cellStyle name="Normal 5 5 2 3 6" xfId="7539"/>
    <cellStyle name="Normal 5 5 2 3 6 2" xfId="19866"/>
    <cellStyle name="Normal 5 5 2 3 7" xfId="16377"/>
    <cellStyle name="Normal 5 5 2 4" xfId="824"/>
    <cellStyle name="Normal 5 5 2 4 2" xfId="3309"/>
    <cellStyle name="Normal 5 5 2 4 2 2" xfId="12451"/>
    <cellStyle name="Normal 5 5 2 4 2 2 2" xfId="22670"/>
    <cellStyle name="Normal 5 5 2 4 2 3" xfId="8873"/>
    <cellStyle name="Normal 5 5 2 4 2 4" xfId="17663"/>
    <cellStyle name="Normal 5 5 2 4 3" xfId="4987"/>
    <cellStyle name="Normal 5 5 2 4 3 2" xfId="13824"/>
    <cellStyle name="Normal 5 5 2 4 3 2 2" xfId="24075"/>
    <cellStyle name="Normal 5 5 2 4 3 3" xfId="10245"/>
    <cellStyle name="Normal 5 5 2 4 3 4" xfId="19068"/>
    <cellStyle name="Normal 5 5 2 4 4" xfId="2418"/>
    <cellStyle name="Normal 5 5 2 4 4 2" xfId="11783"/>
    <cellStyle name="Normal 5 5 2 4 4 3" xfId="21787"/>
    <cellStyle name="Normal 5 5 2 4 5" xfId="6442"/>
    <cellStyle name="Normal 5 5 2 4 5 2" xfId="15269"/>
    <cellStyle name="Normal 5 5 2 4 5 3" xfId="25520"/>
    <cellStyle name="Normal 5 5 2 4 6" xfId="7888"/>
    <cellStyle name="Normal 5 5 2 4 6 2" xfId="20269"/>
    <cellStyle name="Normal 5 5 2 4 7" xfId="16780"/>
    <cellStyle name="Normal 5 5 2 5" xfId="1192"/>
    <cellStyle name="Normal 5 5 2 5 2" xfId="3621"/>
    <cellStyle name="Normal 5 5 2 5 2 2" xfId="12757"/>
    <cellStyle name="Normal 5 5 2 5 2 2 2" xfId="22976"/>
    <cellStyle name="Normal 5 5 2 5 2 3" xfId="9178"/>
    <cellStyle name="Normal 5 5 2 5 2 4" xfId="17969"/>
    <cellStyle name="Normal 5 5 2 5 3" xfId="5284"/>
    <cellStyle name="Normal 5 5 2 5 3 2" xfId="14121"/>
    <cellStyle name="Normal 5 5 2 5 3 2 2" xfId="24372"/>
    <cellStyle name="Normal 5 5 2 5 3 3" xfId="10542"/>
    <cellStyle name="Normal 5 5 2 5 3 4" xfId="19365"/>
    <cellStyle name="Normal 5 5 2 5 4" xfId="1794"/>
    <cellStyle name="Normal 5 5 2 5 4 2" xfId="11163"/>
    <cellStyle name="Normal 5 5 2 5 4 3" xfId="21167"/>
    <cellStyle name="Normal 5 5 2 5 5" xfId="6739"/>
    <cellStyle name="Normal 5 5 2 5 5 2" xfId="15566"/>
    <cellStyle name="Normal 5 5 2 5 5 3" xfId="25817"/>
    <cellStyle name="Normal 5 5 2 5 6" xfId="8185"/>
    <cellStyle name="Normal 5 5 2 5 6 2" xfId="20575"/>
    <cellStyle name="Normal 5 5 2 5 7" xfId="16160"/>
    <cellStyle name="Normal 5 5 2 6" xfId="2689"/>
    <cellStyle name="Normal 5 5 2 6 2" xfId="12006"/>
    <cellStyle name="Normal 5 5 2 6 2 2" xfId="22050"/>
    <cellStyle name="Normal 5 5 2 6 3" xfId="8426"/>
    <cellStyle name="Normal 5 5 2 6 4" xfId="17043"/>
    <cellStyle name="Normal 5 5 2 7" xfId="4240"/>
    <cellStyle name="Normal 5 5 2 7 2" xfId="13078"/>
    <cellStyle name="Normal 5 5 2 7 2 2" xfId="23329"/>
    <cellStyle name="Normal 5 5 2 7 3" xfId="9499"/>
    <cellStyle name="Normal 5 5 2 7 4" xfId="18322"/>
    <cellStyle name="Normal 5 5 2 8" xfId="1512"/>
    <cellStyle name="Normal 5 5 2 8 2" xfId="10889"/>
    <cellStyle name="Normal 5 5 2 8 3" xfId="20893"/>
    <cellStyle name="Normal 5 5 2 9" xfId="5696"/>
    <cellStyle name="Normal 5 5 2 9 2" xfId="14523"/>
    <cellStyle name="Normal 5 5 2 9 3" xfId="24774"/>
    <cellStyle name="Normal 5 5 2_Degree data" xfId="3890"/>
    <cellStyle name="Normal 5 5 3" xfId="259"/>
    <cellStyle name="Normal 5 5 3 10" xfId="7097"/>
    <cellStyle name="Normal 5 5 3 10 2" xfId="19711"/>
    <cellStyle name="Normal 5 5 3 11" xfId="15843"/>
    <cellStyle name="Normal 5 5 3 2" xfId="582"/>
    <cellStyle name="Normal 5 5 3 2 2" xfId="827"/>
    <cellStyle name="Normal 5 5 3 2 2 2" xfId="3312"/>
    <cellStyle name="Normal 5 5 3 2 2 2 2" xfId="12454"/>
    <cellStyle name="Normal 5 5 3 2 2 2 2 2" xfId="22673"/>
    <cellStyle name="Normal 5 5 3 2 2 2 3" xfId="8876"/>
    <cellStyle name="Normal 5 5 3 2 2 2 4" xfId="17666"/>
    <cellStyle name="Normal 5 5 3 2 2 3" xfId="4641"/>
    <cellStyle name="Normal 5 5 3 2 2 3 2" xfId="13479"/>
    <cellStyle name="Normal 5 5 3 2 2 3 2 2" xfId="23730"/>
    <cellStyle name="Normal 5 5 3 2 2 3 3" xfId="9900"/>
    <cellStyle name="Normal 5 5 3 2 2 3 4" xfId="18723"/>
    <cellStyle name="Normal 5 5 3 2 2 4" xfId="2421"/>
    <cellStyle name="Normal 5 5 3 2 2 4 2" xfId="11786"/>
    <cellStyle name="Normal 5 5 3 2 2 4 3" xfId="21790"/>
    <cellStyle name="Normal 5 5 3 2 2 5" xfId="6097"/>
    <cellStyle name="Normal 5 5 3 2 2 5 2" xfId="14924"/>
    <cellStyle name="Normal 5 5 3 2 2 5 3" xfId="25175"/>
    <cellStyle name="Normal 5 5 3 2 2 6" xfId="7542"/>
    <cellStyle name="Normal 5 5 3 2 2 6 2" xfId="20272"/>
    <cellStyle name="Normal 5 5 3 2 2 7" xfId="16783"/>
    <cellStyle name="Normal 5 5 3 2 3" xfId="1354"/>
    <cellStyle name="Normal 5 5 3 2 3 2" xfId="3783"/>
    <cellStyle name="Normal 5 5 3 2 3 2 2" xfId="12919"/>
    <cellStyle name="Normal 5 5 3 2 3 2 2 2" xfId="23138"/>
    <cellStyle name="Normal 5 5 3 2 3 2 3" xfId="9340"/>
    <cellStyle name="Normal 5 5 3 2 3 2 4" xfId="18131"/>
    <cellStyle name="Normal 5 5 3 2 3 3" xfId="4990"/>
    <cellStyle name="Normal 5 5 3 2 3 3 2" xfId="13827"/>
    <cellStyle name="Normal 5 5 3 2 3 3 2 2" xfId="24078"/>
    <cellStyle name="Normal 5 5 3 2 3 3 3" xfId="10248"/>
    <cellStyle name="Normal 5 5 3 2 3 3 4" xfId="19071"/>
    <cellStyle name="Normal 5 5 3 2 3 4" xfId="2177"/>
    <cellStyle name="Normal 5 5 3 2 3 4 2" xfId="11542"/>
    <cellStyle name="Normal 5 5 3 2 3 4 3" xfId="21546"/>
    <cellStyle name="Normal 5 5 3 2 3 5" xfId="6445"/>
    <cellStyle name="Normal 5 5 3 2 3 5 2" xfId="15272"/>
    <cellStyle name="Normal 5 5 3 2 3 5 3" xfId="25523"/>
    <cellStyle name="Normal 5 5 3 2 3 6" xfId="7891"/>
    <cellStyle name="Normal 5 5 3 2 3 6 2" xfId="20737"/>
    <cellStyle name="Normal 5 5 3 2 3 7" xfId="16539"/>
    <cellStyle name="Normal 5 5 3 2 4" xfId="3068"/>
    <cellStyle name="Normal 5 5 3 2 4 2" xfId="5446"/>
    <cellStyle name="Normal 5 5 3 2 4 2 2" xfId="14283"/>
    <cellStyle name="Normal 5 5 3 2 4 2 2 2" xfId="24534"/>
    <cellStyle name="Normal 5 5 3 2 4 2 3" xfId="10704"/>
    <cellStyle name="Normal 5 5 3 2 4 2 4" xfId="19527"/>
    <cellStyle name="Normal 5 5 3 2 4 3" xfId="6901"/>
    <cellStyle name="Normal 5 5 3 2 4 3 2" xfId="15728"/>
    <cellStyle name="Normal 5 5 3 2 4 3 3" xfId="25979"/>
    <cellStyle name="Normal 5 5 3 2 4 4" xfId="8347"/>
    <cellStyle name="Normal 5 5 3 2 4 4 2" xfId="22429"/>
    <cellStyle name="Normal 5 5 3 2 4 5" xfId="17422"/>
    <cellStyle name="Normal 5 5 3 2 5" xfId="4402"/>
    <cellStyle name="Normal 5 5 3 2 5 2" xfId="13240"/>
    <cellStyle name="Normal 5 5 3 2 5 2 2" xfId="23491"/>
    <cellStyle name="Normal 5 5 3 2 5 3" xfId="9661"/>
    <cellStyle name="Normal 5 5 3 2 5 4" xfId="18484"/>
    <cellStyle name="Normal 5 5 3 2 6" xfId="1674"/>
    <cellStyle name="Normal 5 5 3 2 6 2" xfId="11051"/>
    <cellStyle name="Normal 5 5 3 2 6 3" xfId="21055"/>
    <cellStyle name="Normal 5 5 3 2 7" xfId="5858"/>
    <cellStyle name="Normal 5 5 3 2 7 2" xfId="14685"/>
    <cellStyle name="Normal 5 5 3 2 7 3" xfId="24936"/>
    <cellStyle name="Normal 5 5 3 2 8" xfId="7302"/>
    <cellStyle name="Normal 5 5 3 2 8 2" xfId="20028"/>
    <cellStyle name="Normal 5 5 3 2 9" xfId="16048"/>
    <cellStyle name="Normal 5 5 3 2_Degree data" xfId="3859"/>
    <cellStyle name="Normal 5 5 3 3" xfId="377"/>
    <cellStyle name="Normal 5 5 3 3 2" xfId="2863"/>
    <cellStyle name="Normal 5 5 3 3 2 2" xfId="12151"/>
    <cellStyle name="Normal 5 5 3 3 2 2 2" xfId="22224"/>
    <cellStyle name="Normal 5 5 3 3 2 3" xfId="8470"/>
    <cellStyle name="Normal 5 5 3 3 2 4" xfId="17217"/>
    <cellStyle name="Normal 5 5 3 3 3" xfId="4640"/>
    <cellStyle name="Normal 5 5 3 3 3 2" xfId="13478"/>
    <cellStyle name="Normal 5 5 3 3 3 2 2" xfId="23729"/>
    <cellStyle name="Normal 5 5 3 3 3 3" xfId="9899"/>
    <cellStyle name="Normal 5 5 3 3 3 4" xfId="18722"/>
    <cellStyle name="Normal 5 5 3 3 4" xfId="1972"/>
    <cellStyle name="Normal 5 5 3 3 4 2" xfId="11337"/>
    <cellStyle name="Normal 5 5 3 3 4 3" xfId="21341"/>
    <cellStyle name="Normal 5 5 3 3 5" xfId="6096"/>
    <cellStyle name="Normal 5 5 3 3 5 2" xfId="14923"/>
    <cellStyle name="Normal 5 5 3 3 5 3" xfId="25174"/>
    <cellStyle name="Normal 5 5 3 3 6" xfId="7541"/>
    <cellStyle name="Normal 5 5 3 3 6 2" xfId="19823"/>
    <cellStyle name="Normal 5 5 3 3 7" xfId="16334"/>
    <cellStyle name="Normal 5 5 3 4" xfId="826"/>
    <cellStyle name="Normal 5 5 3 4 2" xfId="3311"/>
    <cellStyle name="Normal 5 5 3 4 2 2" xfId="12453"/>
    <cellStyle name="Normal 5 5 3 4 2 2 2" xfId="22672"/>
    <cellStyle name="Normal 5 5 3 4 2 3" xfId="8875"/>
    <cellStyle name="Normal 5 5 3 4 2 4" xfId="17665"/>
    <cellStyle name="Normal 5 5 3 4 3" xfId="4989"/>
    <cellStyle name="Normal 5 5 3 4 3 2" xfId="13826"/>
    <cellStyle name="Normal 5 5 3 4 3 2 2" xfId="24077"/>
    <cellStyle name="Normal 5 5 3 4 3 3" xfId="10247"/>
    <cellStyle name="Normal 5 5 3 4 3 4" xfId="19070"/>
    <cellStyle name="Normal 5 5 3 4 4" xfId="2420"/>
    <cellStyle name="Normal 5 5 3 4 4 2" xfId="11785"/>
    <cellStyle name="Normal 5 5 3 4 4 3" xfId="21789"/>
    <cellStyle name="Normal 5 5 3 4 5" xfId="6444"/>
    <cellStyle name="Normal 5 5 3 4 5 2" xfId="15271"/>
    <cellStyle name="Normal 5 5 3 4 5 3" xfId="25522"/>
    <cellStyle name="Normal 5 5 3 4 6" xfId="7890"/>
    <cellStyle name="Normal 5 5 3 4 6 2" xfId="20271"/>
    <cellStyle name="Normal 5 5 3 4 7" xfId="16782"/>
    <cellStyle name="Normal 5 5 3 5" xfId="1149"/>
    <cellStyle name="Normal 5 5 3 5 2" xfId="3578"/>
    <cellStyle name="Normal 5 5 3 5 2 2" xfId="12714"/>
    <cellStyle name="Normal 5 5 3 5 2 2 2" xfId="22933"/>
    <cellStyle name="Normal 5 5 3 5 2 3" xfId="9135"/>
    <cellStyle name="Normal 5 5 3 5 2 4" xfId="17926"/>
    <cellStyle name="Normal 5 5 3 5 3" xfId="5241"/>
    <cellStyle name="Normal 5 5 3 5 3 2" xfId="14078"/>
    <cellStyle name="Normal 5 5 3 5 3 2 2" xfId="24329"/>
    <cellStyle name="Normal 5 5 3 5 3 3" xfId="10499"/>
    <cellStyle name="Normal 5 5 3 5 3 4" xfId="19322"/>
    <cellStyle name="Normal 5 5 3 5 4" xfId="1857"/>
    <cellStyle name="Normal 5 5 3 5 4 2" xfId="11225"/>
    <cellStyle name="Normal 5 5 3 5 4 3" xfId="21229"/>
    <cellStyle name="Normal 5 5 3 5 5" xfId="6696"/>
    <cellStyle name="Normal 5 5 3 5 5 2" xfId="15523"/>
    <cellStyle name="Normal 5 5 3 5 5 3" xfId="25774"/>
    <cellStyle name="Normal 5 5 3 5 6" xfId="8142"/>
    <cellStyle name="Normal 5 5 3 5 6 2" xfId="20532"/>
    <cellStyle name="Normal 5 5 3 5 7" xfId="16222"/>
    <cellStyle name="Normal 5 5 3 6" xfId="2751"/>
    <cellStyle name="Normal 5 5 3 6 2" xfId="12068"/>
    <cellStyle name="Normal 5 5 3 6 2 2" xfId="22112"/>
    <cellStyle name="Normal 5 5 3 6 3" xfId="8491"/>
    <cellStyle name="Normal 5 5 3 6 4" xfId="17105"/>
    <cellStyle name="Normal 5 5 3 7" xfId="4197"/>
    <cellStyle name="Normal 5 5 3 7 2" xfId="13035"/>
    <cellStyle name="Normal 5 5 3 7 2 2" xfId="23286"/>
    <cellStyle name="Normal 5 5 3 7 3" xfId="9456"/>
    <cellStyle name="Normal 5 5 3 7 4" xfId="18279"/>
    <cellStyle name="Normal 5 5 3 8" xfId="1469"/>
    <cellStyle name="Normal 5 5 3 8 2" xfId="10846"/>
    <cellStyle name="Normal 5 5 3 8 3" xfId="20850"/>
    <cellStyle name="Normal 5 5 3 9" xfId="5653"/>
    <cellStyle name="Normal 5 5 3 9 2" xfId="14480"/>
    <cellStyle name="Normal 5 5 3 9 3" xfId="24731"/>
    <cellStyle name="Normal 5 5 3_Degree data" xfId="3888"/>
    <cellStyle name="Normal 5 5 4" xfId="477"/>
    <cellStyle name="Normal 5 5 4 2" xfId="828"/>
    <cellStyle name="Normal 5 5 4 2 2" xfId="3313"/>
    <cellStyle name="Normal 5 5 4 2 2 2" xfId="12455"/>
    <cellStyle name="Normal 5 5 4 2 2 2 2" xfId="22674"/>
    <cellStyle name="Normal 5 5 4 2 2 3" xfId="8877"/>
    <cellStyle name="Normal 5 5 4 2 2 4" xfId="17667"/>
    <cellStyle name="Normal 5 5 4 2 3" xfId="4642"/>
    <cellStyle name="Normal 5 5 4 2 3 2" xfId="13480"/>
    <cellStyle name="Normal 5 5 4 2 3 2 2" xfId="23731"/>
    <cellStyle name="Normal 5 5 4 2 3 3" xfId="9901"/>
    <cellStyle name="Normal 5 5 4 2 3 4" xfId="18724"/>
    <cellStyle name="Normal 5 5 4 2 4" xfId="2422"/>
    <cellStyle name="Normal 5 5 4 2 4 2" xfId="11787"/>
    <cellStyle name="Normal 5 5 4 2 4 3" xfId="21791"/>
    <cellStyle name="Normal 5 5 4 2 5" xfId="6098"/>
    <cellStyle name="Normal 5 5 4 2 5 2" xfId="14925"/>
    <cellStyle name="Normal 5 5 4 2 5 3" xfId="25176"/>
    <cellStyle name="Normal 5 5 4 2 6" xfId="7543"/>
    <cellStyle name="Normal 5 5 4 2 6 2" xfId="20273"/>
    <cellStyle name="Normal 5 5 4 2 7" xfId="16784"/>
    <cellStyle name="Normal 5 5 4 3" xfId="1249"/>
    <cellStyle name="Normal 5 5 4 3 2" xfId="3678"/>
    <cellStyle name="Normal 5 5 4 3 2 2" xfId="12814"/>
    <cellStyle name="Normal 5 5 4 3 2 2 2" xfId="23033"/>
    <cellStyle name="Normal 5 5 4 3 2 3" xfId="9235"/>
    <cellStyle name="Normal 5 5 4 3 2 4" xfId="18026"/>
    <cellStyle name="Normal 5 5 4 3 3" xfId="4991"/>
    <cellStyle name="Normal 5 5 4 3 3 2" xfId="13828"/>
    <cellStyle name="Normal 5 5 4 3 3 2 2" xfId="24079"/>
    <cellStyle name="Normal 5 5 4 3 3 3" xfId="10249"/>
    <cellStyle name="Normal 5 5 4 3 3 4" xfId="19072"/>
    <cellStyle name="Normal 5 5 4 3 4" xfId="2072"/>
    <cellStyle name="Normal 5 5 4 3 4 2" xfId="11437"/>
    <cellStyle name="Normal 5 5 4 3 4 3" xfId="21441"/>
    <cellStyle name="Normal 5 5 4 3 5" xfId="6446"/>
    <cellStyle name="Normal 5 5 4 3 5 2" xfId="15273"/>
    <cellStyle name="Normal 5 5 4 3 5 3" xfId="25524"/>
    <cellStyle name="Normal 5 5 4 3 6" xfId="7892"/>
    <cellStyle name="Normal 5 5 4 3 6 2" xfId="20632"/>
    <cellStyle name="Normal 5 5 4 3 7" xfId="16434"/>
    <cellStyle name="Normal 5 5 4 4" xfId="2963"/>
    <cellStyle name="Normal 5 5 4 4 2" xfId="5341"/>
    <cellStyle name="Normal 5 5 4 4 2 2" xfId="14178"/>
    <cellStyle name="Normal 5 5 4 4 2 2 2" xfId="24429"/>
    <cellStyle name="Normal 5 5 4 4 2 3" xfId="10599"/>
    <cellStyle name="Normal 5 5 4 4 2 4" xfId="19422"/>
    <cellStyle name="Normal 5 5 4 4 3" xfId="6796"/>
    <cellStyle name="Normal 5 5 4 4 3 2" xfId="15623"/>
    <cellStyle name="Normal 5 5 4 4 3 3" xfId="25874"/>
    <cellStyle name="Normal 5 5 4 4 4" xfId="8242"/>
    <cellStyle name="Normal 5 5 4 4 4 2" xfId="22324"/>
    <cellStyle name="Normal 5 5 4 4 5" xfId="17317"/>
    <cellStyle name="Normal 5 5 4 5" xfId="4297"/>
    <cellStyle name="Normal 5 5 4 5 2" xfId="13135"/>
    <cellStyle name="Normal 5 5 4 5 2 2" xfId="23386"/>
    <cellStyle name="Normal 5 5 4 5 3" xfId="9556"/>
    <cellStyle name="Normal 5 5 4 5 4" xfId="18379"/>
    <cellStyle name="Normal 5 5 4 6" xfId="1569"/>
    <cellStyle name="Normal 5 5 4 6 2" xfId="10946"/>
    <cellStyle name="Normal 5 5 4 6 3" xfId="20950"/>
    <cellStyle name="Normal 5 5 4 7" xfId="5753"/>
    <cellStyle name="Normal 5 5 4 7 2" xfId="14580"/>
    <cellStyle name="Normal 5 5 4 7 3" xfId="24831"/>
    <cellStyle name="Normal 5 5 4 8" xfId="7197"/>
    <cellStyle name="Normal 5 5 4 8 2" xfId="19923"/>
    <cellStyle name="Normal 5 5 4 9" xfId="15943"/>
    <cellStyle name="Normal 5 5 4_Degree data" xfId="3897"/>
    <cellStyle name="Normal 5 5 5" xfId="318"/>
    <cellStyle name="Normal 5 5 5 2" xfId="2804"/>
    <cellStyle name="Normal 5 5 5 2 2" xfId="12108"/>
    <cellStyle name="Normal 5 5 5 2 2 2" xfId="22165"/>
    <cellStyle name="Normal 5 5 5 2 3" xfId="8612"/>
    <cellStyle name="Normal 5 5 5 2 4" xfId="17158"/>
    <cellStyle name="Normal 5 5 5 3" xfId="4637"/>
    <cellStyle name="Normal 5 5 5 3 2" xfId="13475"/>
    <cellStyle name="Normal 5 5 5 3 2 2" xfId="23726"/>
    <cellStyle name="Normal 5 5 5 3 3" xfId="9896"/>
    <cellStyle name="Normal 5 5 5 3 4" xfId="18719"/>
    <cellStyle name="Normal 5 5 5 4" xfId="1913"/>
    <cellStyle name="Normal 5 5 5 4 2" xfId="11278"/>
    <cellStyle name="Normal 5 5 5 4 3" xfId="21282"/>
    <cellStyle name="Normal 5 5 5 5" xfId="6093"/>
    <cellStyle name="Normal 5 5 5 5 2" xfId="14920"/>
    <cellStyle name="Normal 5 5 5 5 3" xfId="25171"/>
    <cellStyle name="Normal 5 5 5 6" xfId="7538"/>
    <cellStyle name="Normal 5 5 5 6 2" xfId="19764"/>
    <cellStyle name="Normal 5 5 5 7" xfId="16275"/>
    <cellStyle name="Normal 5 5 6" xfId="823"/>
    <cellStyle name="Normal 5 5 6 2" xfId="3308"/>
    <cellStyle name="Normal 5 5 6 2 2" xfId="12450"/>
    <cellStyle name="Normal 5 5 6 2 2 2" xfId="22669"/>
    <cellStyle name="Normal 5 5 6 2 3" xfId="8872"/>
    <cellStyle name="Normal 5 5 6 2 4" xfId="17662"/>
    <cellStyle name="Normal 5 5 6 3" xfId="4986"/>
    <cellStyle name="Normal 5 5 6 3 2" xfId="13823"/>
    <cellStyle name="Normal 5 5 6 3 2 2" xfId="24074"/>
    <cellStyle name="Normal 5 5 6 3 3" xfId="10244"/>
    <cellStyle name="Normal 5 5 6 3 4" xfId="19067"/>
    <cellStyle name="Normal 5 5 6 4" xfId="2417"/>
    <cellStyle name="Normal 5 5 6 4 2" xfId="11782"/>
    <cellStyle name="Normal 5 5 6 4 3" xfId="21786"/>
    <cellStyle name="Normal 5 5 6 5" xfId="6441"/>
    <cellStyle name="Normal 5 5 6 5 2" xfId="15268"/>
    <cellStyle name="Normal 5 5 6 5 3" xfId="25519"/>
    <cellStyle name="Normal 5 5 6 6" xfId="7887"/>
    <cellStyle name="Normal 5 5 6 6 2" xfId="20268"/>
    <cellStyle name="Normal 5 5 6 7" xfId="16779"/>
    <cellStyle name="Normal 5 5 7" xfId="1090"/>
    <cellStyle name="Normal 5 5 7 2" xfId="3519"/>
    <cellStyle name="Normal 5 5 7 2 2" xfId="12655"/>
    <cellStyle name="Normal 5 5 7 2 2 2" xfId="22874"/>
    <cellStyle name="Normal 5 5 7 2 3" xfId="9077"/>
    <cellStyle name="Normal 5 5 7 2 4" xfId="17867"/>
    <cellStyle name="Normal 5 5 7 3" xfId="5182"/>
    <cellStyle name="Normal 5 5 7 3 2" xfId="14019"/>
    <cellStyle name="Normal 5 5 7 3 2 2" xfId="24270"/>
    <cellStyle name="Normal 5 5 7 3 3" xfId="10440"/>
    <cellStyle name="Normal 5 5 7 3 4" xfId="19263"/>
    <cellStyle name="Normal 5 5 7 4" xfId="1748"/>
    <cellStyle name="Normal 5 5 7 4 2" xfId="11119"/>
    <cellStyle name="Normal 5 5 7 4 3" xfId="21123"/>
    <cellStyle name="Normal 5 5 7 5" xfId="6637"/>
    <cellStyle name="Normal 5 5 7 5 2" xfId="15464"/>
    <cellStyle name="Normal 5 5 7 5 3" xfId="25715"/>
    <cellStyle name="Normal 5 5 7 6" xfId="8083"/>
    <cellStyle name="Normal 5 5 7 6 2" xfId="20473"/>
    <cellStyle name="Normal 5 5 7 7" xfId="16116"/>
    <cellStyle name="Normal 5 5 8" xfId="2646"/>
    <cellStyle name="Normal 5 5 8 2" xfId="5594"/>
    <cellStyle name="Normal 5 5 8 2 2" xfId="14421"/>
    <cellStyle name="Normal 5 5 8 2 3" xfId="24672"/>
    <cellStyle name="Normal 5 5 8 3" xfId="7038"/>
    <cellStyle name="Normal 5 5 8 3 2" xfId="22007"/>
    <cellStyle name="Normal 5 5 8 4" xfId="17000"/>
    <cellStyle name="Normal 5 5 9" xfId="4136"/>
    <cellStyle name="Normal 5 5 9 2" xfId="12974"/>
    <cellStyle name="Normal 5 5 9 2 2" xfId="23225"/>
    <cellStyle name="Normal 5 5 9 3" xfId="9395"/>
    <cellStyle name="Normal 5 5 9 4" xfId="18218"/>
    <cellStyle name="Normal 5 5_Degree data" xfId="3832"/>
    <cellStyle name="Normal 5 6" xfId="183"/>
    <cellStyle name="Normal 5 6 10" xfId="7131"/>
    <cellStyle name="Normal 5 6 10 2" xfId="19640"/>
    <cellStyle name="Normal 5 6 11" xfId="15877"/>
    <cellStyle name="Normal 5 6 2" xfId="511"/>
    <cellStyle name="Normal 5 6 2 2" xfId="830"/>
    <cellStyle name="Normal 5 6 2 2 2" xfId="3315"/>
    <cellStyle name="Normal 5 6 2 2 2 2" xfId="12457"/>
    <cellStyle name="Normal 5 6 2 2 2 2 2" xfId="22676"/>
    <cellStyle name="Normal 5 6 2 2 2 3" xfId="8879"/>
    <cellStyle name="Normal 5 6 2 2 2 4" xfId="17669"/>
    <cellStyle name="Normal 5 6 2 2 3" xfId="4644"/>
    <cellStyle name="Normal 5 6 2 2 3 2" xfId="13482"/>
    <cellStyle name="Normal 5 6 2 2 3 2 2" xfId="23733"/>
    <cellStyle name="Normal 5 6 2 2 3 3" xfId="9903"/>
    <cellStyle name="Normal 5 6 2 2 3 4" xfId="18726"/>
    <cellStyle name="Normal 5 6 2 2 4" xfId="2424"/>
    <cellStyle name="Normal 5 6 2 2 4 2" xfId="11789"/>
    <cellStyle name="Normal 5 6 2 2 4 3" xfId="21793"/>
    <cellStyle name="Normal 5 6 2 2 5" xfId="6100"/>
    <cellStyle name="Normal 5 6 2 2 5 2" xfId="14927"/>
    <cellStyle name="Normal 5 6 2 2 5 3" xfId="25178"/>
    <cellStyle name="Normal 5 6 2 2 6" xfId="7545"/>
    <cellStyle name="Normal 5 6 2 2 6 2" xfId="20275"/>
    <cellStyle name="Normal 5 6 2 2 7" xfId="16786"/>
    <cellStyle name="Normal 5 6 2 3" xfId="1283"/>
    <cellStyle name="Normal 5 6 2 3 2" xfId="3712"/>
    <cellStyle name="Normal 5 6 2 3 2 2" xfId="12848"/>
    <cellStyle name="Normal 5 6 2 3 2 2 2" xfId="23067"/>
    <cellStyle name="Normal 5 6 2 3 2 3" xfId="9269"/>
    <cellStyle name="Normal 5 6 2 3 2 4" xfId="18060"/>
    <cellStyle name="Normal 5 6 2 3 3" xfId="4993"/>
    <cellStyle name="Normal 5 6 2 3 3 2" xfId="13830"/>
    <cellStyle name="Normal 5 6 2 3 3 2 2" xfId="24081"/>
    <cellStyle name="Normal 5 6 2 3 3 3" xfId="10251"/>
    <cellStyle name="Normal 5 6 2 3 3 4" xfId="19074"/>
    <cellStyle name="Normal 5 6 2 3 4" xfId="2106"/>
    <cellStyle name="Normal 5 6 2 3 4 2" xfId="11471"/>
    <cellStyle name="Normal 5 6 2 3 4 3" xfId="21475"/>
    <cellStyle name="Normal 5 6 2 3 5" xfId="6448"/>
    <cellStyle name="Normal 5 6 2 3 5 2" xfId="15275"/>
    <cellStyle name="Normal 5 6 2 3 5 3" xfId="25526"/>
    <cellStyle name="Normal 5 6 2 3 6" xfId="7894"/>
    <cellStyle name="Normal 5 6 2 3 6 2" xfId="20666"/>
    <cellStyle name="Normal 5 6 2 3 7" xfId="16468"/>
    <cellStyle name="Normal 5 6 2 4" xfId="2997"/>
    <cellStyle name="Normal 5 6 2 4 2" xfId="5375"/>
    <cellStyle name="Normal 5 6 2 4 2 2" xfId="14212"/>
    <cellStyle name="Normal 5 6 2 4 2 2 2" xfId="24463"/>
    <cellStyle name="Normal 5 6 2 4 2 3" xfId="10633"/>
    <cellStyle name="Normal 5 6 2 4 2 4" xfId="19456"/>
    <cellStyle name="Normal 5 6 2 4 3" xfId="6830"/>
    <cellStyle name="Normal 5 6 2 4 3 2" xfId="15657"/>
    <cellStyle name="Normal 5 6 2 4 3 3" xfId="25908"/>
    <cellStyle name="Normal 5 6 2 4 4" xfId="8276"/>
    <cellStyle name="Normal 5 6 2 4 4 2" xfId="22358"/>
    <cellStyle name="Normal 5 6 2 4 5" xfId="17351"/>
    <cellStyle name="Normal 5 6 2 5" xfId="4331"/>
    <cellStyle name="Normal 5 6 2 5 2" xfId="13169"/>
    <cellStyle name="Normal 5 6 2 5 2 2" xfId="23420"/>
    <cellStyle name="Normal 5 6 2 5 3" xfId="9590"/>
    <cellStyle name="Normal 5 6 2 5 4" xfId="18413"/>
    <cellStyle name="Normal 5 6 2 6" xfId="1603"/>
    <cellStyle name="Normal 5 6 2 6 2" xfId="10980"/>
    <cellStyle name="Normal 5 6 2 6 3" xfId="20984"/>
    <cellStyle name="Normal 5 6 2 7" xfId="5787"/>
    <cellStyle name="Normal 5 6 2 7 2" xfId="14614"/>
    <cellStyle name="Normal 5 6 2 7 3" xfId="24865"/>
    <cellStyle name="Normal 5 6 2 8" xfId="7231"/>
    <cellStyle name="Normal 5 6 2 8 2" xfId="19957"/>
    <cellStyle name="Normal 5 6 2 9" xfId="15977"/>
    <cellStyle name="Normal 5 6 2_Degree data" xfId="3868"/>
    <cellStyle name="Normal 5 6 3" xfId="411"/>
    <cellStyle name="Normal 5 6 3 2" xfId="2897"/>
    <cellStyle name="Normal 5 6 3 2 2" xfId="12185"/>
    <cellStyle name="Normal 5 6 3 2 2 2" xfId="22258"/>
    <cellStyle name="Normal 5 6 3 2 3" xfId="8461"/>
    <cellStyle name="Normal 5 6 3 2 4" xfId="17251"/>
    <cellStyle name="Normal 5 6 3 3" xfId="4643"/>
    <cellStyle name="Normal 5 6 3 3 2" xfId="13481"/>
    <cellStyle name="Normal 5 6 3 3 2 2" xfId="23732"/>
    <cellStyle name="Normal 5 6 3 3 3" xfId="9902"/>
    <cellStyle name="Normal 5 6 3 3 4" xfId="18725"/>
    <cellStyle name="Normal 5 6 3 4" xfId="2006"/>
    <cellStyle name="Normal 5 6 3 4 2" xfId="11371"/>
    <cellStyle name="Normal 5 6 3 4 3" xfId="21375"/>
    <cellStyle name="Normal 5 6 3 5" xfId="6099"/>
    <cellStyle name="Normal 5 6 3 5 2" xfId="14926"/>
    <cellStyle name="Normal 5 6 3 5 3" xfId="25177"/>
    <cellStyle name="Normal 5 6 3 6" xfId="7544"/>
    <cellStyle name="Normal 5 6 3 6 2" xfId="19857"/>
    <cellStyle name="Normal 5 6 3 7" xfId="16368"/>
    <cellStyle name="Normal 5 6 4" xfId="829"/>
    <cellStyle name="Normal 5 6 4 2" xfId="3314"/>
    <cellStyle name="Normal 5 6 4 2 2" xfId="12456"/>
    <cellStyle name="Normal 5 6 4 2 2 2" xfId="22675"/>
    <cellStyle name="Normal 5 6 4 2 3" xfId="8878"/>
    <cellStyle name="Normal 5 6 4 2 4" xfId="17668"/>
    <cellStyle name="Normal 5 6 4 3" xfId="4992"/>
    <cellStyle name="Normal 5 6 4 3 2" xfId="13829"/>
    <cellStyle name="Normal 5 6 4 3 2 2" xfId="24080"/>
    <cellStyle name="Normal 5 6 4 3 3" xfId="10250"/>
    <cellStyle name="Normal 5 6 4 3 4" xfId="19073"/>
    <cellStyle name="Normal 5 6 4 4" xfId="2423"/>
    <cellStyle name="Normal 5 6 4 4 2" xfId="11788"/>
    <cellStyle name="Normal 5 6 4 4 3" xfId="21792"/>
    <cellStyle name="Normal 5 6 4 5" xfId="6447"/>
    <cellStyle name="Normal 5 6 4 5 2" xfId="15274"/>
    <cellStyle name="Normal 5 6 4 5 3" xfId="25525"/>
    <cellStyle name="Normal 5 6 4 6" xfId="7893"/>
    <cellStyle name="Normal 5 6 4 6 2" xfId="20274"/>
    <cellStyle name="Normal 5 6 4 7" xfId="16785"/>
    <cellStyle name="Normal 5 6 5" xfId="1183"/>
    <cellStyle name="Normal 5 6 5 2" xfId="3612"/>
    <cellStyle name="Normal 5 6 5 2 2" xfId="12748"/>
    <cellStyle name="Normal 5 6 5 2 2 2" xfId="22967"/>
    <cellStyle name="Normal 5 6 5 2 3" xfId="9169"/>
    <cellStyle name="Normal 5 6 5 2 4" xfId="17960"/>
    <cellStyle name="Normal 5 6 5 3" xfId="5275"/>
    <cellStyle name="Normal 5 6 5 3 2" xfId="14112"/>
    <cellStyle name="Normal 5 6 5 3 2 2" xfId="24363"/>
    <cellStyle name="Normal 5 6 5 3 3" xfId="10533"/>
    <cellStyle name="Normal 5 6 5 3 4" xfId="19356"/>
    <cellStyle name="Normal 5 6 5 4" xfId="1785"/>
    <cellStyle name="Normal 5 6 5 4 2" xfId="11154"/>
    <cellStyle name="Normal 5 6 5 4 3" xfId="21158"/>
    <cellStyle name="Normal 5 6 5 5" xfId="6730"/>
    <cellStyle name="Normal 5 6 5 5 2" xfId="15557"/>
    <cellStyle name="Normal 5 6 5 5 3" xfId="25808"/>
    <cellStyle name="Normal 5 6 5 6" xfId="8176"/>
    <cellStyle name="Normal 5 6 5 6 2" xfId="20566"/>
    <cellStyle name="Normal 5 6 5 7" xfId="16151"/>
    <cellStyle name="Normal 5 6 6" xfId="2680"/>
    <cellStyle name="Normal 5 6 6 2" xfId="11997"/>
    <cellStyle name="Normal 5 6 6 2 2" xfId="22041"/>
    <cellStyle name="Normal 5 6 6 3" xfId="8574"/>
    <cellStyle name="Normal 5 6 6 4" xfId="17034"/>
    <cellStyle name="Normal 5 6 7" xfId="4231"/>
    <cellStyle name="Normal 5 6 7 2" xfId="13069"/>
    <cellStyle name="Normal 5 6 7 2 2" xfId="23320"/>
    <cellStyle name="Normal 5 6 7 3" xfId="9490"/>
    <cellStyle name="Normal 5 6 7 4" xfId="18313"/>
    <cellStyle name="Normal 5 6 8" xfId="1503"/>
    <cellStyle name="Normal 5 6 8 2" xfId="10880"/>
    <cellStyle name="Normal 5 6 8 3" xfId="20884"/>
    <cellStyle name="Normal 5 6 9" xfId="5687"/>
    <cellStyle name="Normal 5 6 9 2" xfId="14514"/>
    <cellStyle name="Normal 5 6 9 3" xfId="24765"/>
    <cellStyle name="Normal 5 6_Degree data" xfId="3861"/>
    <cellStyle name="Normal 5 7" xfId="295"/>
    <cellStyle name="Normal 5 7 10" xfId="16082"/>
    <cellStyle name="Normal 5 7 2" xfId="616"/>
    <cellStyle name="Normal 5 7 2 2" xfId="3102"/>
    <cellStyle name="Normal 5 7 2 2 2" xfId="12245"/>
    <cellStyle name="Normal 5 7 2 2 2 2" xfId="22463"/>
    <cellStyle name="Normal 5 7 2 2 3" xfId="8667"/>
    <cellStyle name="Normal 5 7 2 2 4" xfId="17456"/>
    <cellStyle name="Normal 5 7 2 3" xfId="4645"/>
    <cellStyle name="Normal 5 7 2 3 2" xfId="13483"/>
    <cellStyle name="Normal 5 7 2 3 2 2" xfId="23734"/>
    <cellStyle name="Normal 5 7 2 3 3" xfId="9904"/>
    <cellStyle name="Normal 5 7 2 3 4" xfId="18727"/>
    <cellStyle name="Normal 5 7 2 4" xfId="2211"/>
    <cellStyle name="Normal 5 7 2 4 2" xfId="11576"/>
    <cellStyle name="Normal 5 7 2 4 3" xfId="21580"/>
    <cellStyle name="Normal 5 7 2 5" xfId="6101"/>
    <cellStyle name="Normal 5 7 2 5 2" xfId="14928"/>
    <cellStyle name="Normal 5 7 2 5 3" xfId="25179"/>
    <cellStyle name="Normal 5 7 2 6" xfId="7546"/>
    <cellStyle name="Normal 5 7 2 6 2" xfId="20062"/>
    <cellStyle name="Normal 5 7 2 7" xfId="16573"/>
    <cellStyle name="Normal 5 7 3" xfId="831"/>
    <cellStyle name="Normal 5 7 3 2" xfId="3316"/>
    <cellStyle name="Normal 5 7 3 2 2" xfId="12458"/>
    <cellStyle name="Normal 5 7 3 2 2 2" xfId="22677"/>
    <cellStyle name="Normal 5 7 3 2 3" xfId="8880"/>
    <cellStyle name="Normal 5 7 3 2 4" xfId="17670"/>
    <cellStyle name="Normal 5 7 3 3" xfId="4994"/>
    <cellStyle name="Normal 5 7 3 3 2" xfId="13831"/>
    <cellStyle name="Normal 5 7 3 3 2 2" xfId="24082"/>
    <cellStyle name="Normal 5 7 3 3 3" xfId="10252"/>
    <cellStyle name="Normal 5 7 3 3 4" xfId="19075"/>
    <cellStyle name="Normal 5 7 3 4" xfId="2425"/>
    <cellStyle name="Normal 5 7 3 4 2" xfId="11790"/>
    <cellStyle name="Normal 5 7 3 4 3" xfId="21794"/>
    <cellStyle name="Normal 5 7 3 5" xfId="6449"/>
    <cellStyle name="Normal 5 7 3 5 2" xfId="15276"/>
    <cellStyle name="Normal 5 7 3 5 3" xfId="25527"/>
    <cellStyle name="Normal 5 7 3 6" xfId="7895"/>
    <cellStyle name="Normal 5 7 3 6 2" xfId="20276"/>
    <cellStyle name="Normal 5 7 3 7" xfId="16787"/>
    <cellStyle name="Normal 5 7 4" xfId="1388"/>
    <cellStyle name="Normal 5 7 4 2" xfId="3817"/>
    <cellStyle name="Normal 5 7 4 2 2" xfId="12953"/>
    <cellStyle name="Normal 5 7 4 2 2 2" xfId="23172"/>
    <cellStyle name="Normal 5 7 4 2 3" xfId="9374"/>
    <cellStyle name="Normal 5 7 4 2 4" xfId="18165"/>
    <cellStyle name="Normal 5 7 4 3" xfId="5480"/>
    <cellStyle name="Normal 5 7 4 3 2" xfId="14317"/>
    <cellStyle name="Normal 5 7 4 3 2 2" xfId="24568"/>
    <cellStyle name="Normal 5 7 4 3 3" xfId="10738"/>
    <cellStyle name="Normal 5 7 4 3 4" xfId="19561"/>
    <cellStyle name="Normal 5 7 4 4" xfId="1891"/>
    <cellStyle name="Normal 5 7 4 4 2" xfId="11259"/>
    <cellStyle name="Normal 5 7 4 4 3" xfId="21263"/>
    <cellStyle name="Normal 5 7 4 5" xfId="6935"/>
    <cellStyle name="Normal 5 7 4 5 2" xfId="15762"/>
    <cellStyle name="Normal 5 7 4 5 3" xfId="26013"/>
    <cellStyle name="Normal 5 7 4 6" xfId="8381"/>
    <cellStyle name="Normal 5 7 4 6 2" xfId="20771"/>
    <cellStyle name="Normal 5 7 4 7" xfId="16256"/>
    <cellStyle name="Normal 5 7 5" xfId="2785"/>
    <cellStyle name="Normal 5 7 5 2" xfId="12102"/>
    <cellStyle name="Normal 5 7 5 2 2" xfId="22146"/>
    <cellStyle name="Normal 5 7 5 3" xfId="8482"/>
    <cellStyle name="Normal 5 7 5 4" xfId="17139"/>
    <cellStyle name="Normal 5 7 6" xfId="4436"/>
    <cellStyle name="Normal 5 7 6 2" xfId="13274"/>
    <cellStyle name="Normal 5 7 6 2 2" xfId="23525"/>
    <cellStyle name="Normal 5 7 6 3" xfId="9695"/>
    <cellStyle name="Normal 5 7 6 4" xfId="18518"/>
    <cellStyle name="Normal 5 7 7" xfId="1708"/>
    <cellStyle name="Normal 5 7 7 2" xfId="11085"/>
    <cellStyle name="Normal 5 7 7 3" xfId="21089"/>
    <cellStyle name="Normal 5 7 8" xfId="5892"/>
    <cellStyle name="Normal 5 7 8 2" xfId="14719"/>
    <cellStyle name="Normal 5 7 8 3" xfId="24970"/>
    <cellStyle name="Normal 5 7 9" xfId="7336"/>
    <cellStyle name="Normal 5 7 9 2" xfId="19745"/>
    <cellStyle name="Normal 5 7_Degree data" xfId="3905"/>
    <cellStyle name="Normal 5 8" xfId="307"/>
    <cellStyle name="Normal 5 8 2" xfId="832"/>
    <cellStyle name="Normal 5 8 2 2" xfId="3317"/>
    <cellStyle name="Normal 5 8 2 2 2" xfId="12459"/>
    <cellStyle name="Normal 5 8 2 2 2 2" xfId="22678"/>
    <cellStyle name="Normal 5 8 2 2 3" xfId="8881"/>
    <cellStyle name="Normal 5 8 2 2 4" xfId="17671"/>
    <cellStyle name="Normal 5 8 2 3" xfId="4646"/>
    <cellStyle name="Normal 5 8 2 3 2" xfId="13484"/>
    <cellStyle name="Normal 5 8 2 3 2 2" xfId="23735"/>
    <cellStyle name="Normal 5 8 2 3 3" xfId="9905"/>
    <cellStyle name="Normal 5 8 2 3 4" xfId="18728"/>
    <cellStyle name="Normal 5 8 2 4" xfId="2426"/>
    <cellStyle name="Normal 5 8 2 4 2" xfId="11791"/>
    <cellStyle name="Normal 5 8 2 4 3" xfId="21795"/>
    <cellStyle name="Normal 5 8 2 5" xfId="6102"/>
    <cellStyle name="Normal 5 8 2 5 2" xfId="14929"/>
    <cellStyle name="Normal 5 8 2 5 3" xfId="25180"/>
    <cellStyle name="Normal 5 8 2 6" xfId="7547"/>
    <cellStyle name="Normal 5 8 2 6 2" xfId="20277"/>
    <cellStyle name="Normal 5 8 2 7" xfId="16788"/>
    <cellStyle name="Normal 5 8 3" xfId="1079"/>
    <cellStyle name="Normal 5 8 3 2" xfId="3508"/>
    <cellStyle name="Normal 5 8 3 2 2" xfId="12644"/>
    <cellStyle name="Normal 5 8 3 2 2 2" xfId="22863"/>
    <cellStyle name="Normal 5 8 3 2 3" xfId="9066"/>
    <cellStyle name="Normal 5 8 3 2 4" xfId="17856"/>
    <cellStyle name="Normal 5 8 3 3" xfId="4995"/>
    <cellStyle name="Normal 5 8 3 3 2" xfId="13832"/>
    <cellStyle name="Normal 5 8 3 3 2 2" xfId="24083"/>
    <cellStyle name="Normal 5 8 3 3 3" xfId="10253"/>
    <cellStyle name="Normal 5 8 3 3 4" xfId="19076"/>
    <cellStyle name="Normal 5 8 3 4" xfId="2588"/>
    <cellStyle name="Normal 5 8 3 4 2" xfId="11952"/>
    <cellStyle name="Normal 5 8 3 4 3" xfId="21956"/>
    <cellStyle name="Normal 5 8 3 5" xfId="6450"/>
    <cellStyle name="Normal 5 8 3 5 2" xfId="15277"/>
    <cellStyle name="Normal 5 8 3 5 3" xfId="25528"/>
    <cellStyle name="Normal 5 8 3 6" xfId="7896"/>
    <cellStyle name="Normal 5 8 3 6 2" xfId="20462"/>
    <cellStyle name="Normal 5 8 3 7" xfId="16949"/>
    <cellStyle name="Normal 5 8 4" xfId="2793"/>
    <cellStyle name="Normal 5 8 4 2" xfId="5171"/>
    <cellStyle name="Normal 5 8 4 2 2" xfId="14008"/>
    <cellStyle name="Normal 5 8 4 2 2 2" xfId="24259"/>
    <cellStyle name="Normal 5 8 4 2 3" xfId="10429"/>
    <cellStyle name="Normal 5 8 4 2 4" xfId="19252"/>
    <cellStyle name="Normal 5 8 4 3" xfId="6626"/>
    <cellStyle name="Normal 5 8 4 3 2" xfId="15453"/>
    <cellStyle name="Normal 5 8 4 3 3" xfId="25704"/>
    <cellStyle name="Normal 5 8 4 4" xfId="8072"/>
    <cellStyle name="Normal 5 8 4 4 2" xfId="22154"/>
    <cellStyle name="Normal 5 8 4 5" xfId="17147"/>
    <cellStyle name="Normal 5 8 5" xfId="4125"/>
    <cellStyle name="Normal 5 8 5 2" xfId="12963"/>
    <cellStyle name="Normal 5 8 5 2 2" xfId="23214"/>
    <cellStyle name="Normal 5 8 5 3" xfId="9384"/>
    <cellStyle name="Normal 5 8 5 4" xfId="18207"/>
    <cellStyle name="Normal 5 8 6" xfId="1902"/>
    <cellStyle name="Normal 5 8 6 2" xfId="11267"/>
    <cellStyle name="Normal 5 8 6 3" xfId="21271"/>
    <cellStyle name="Normal 5 8 7" xfId="5583"/>
    <cellStyle name="Normal 5 8 7 2" xfId="14410"/>
    <cellStyle name="Normal 5 8 7 3" xfId="24661"/>
    <cellStyle name="Normal 5 8 8" xfId="7027"/>
    <cellStyle name="Normal 5 8 8 2" xfId="19753"/>
    <cellStyle name="Normal 5 8 9" xfId="16264"/>
    <cellStyle name="Normal 5 8_Degree data" xfId="3938"/>
    <cellStyle name="Normal 5 9" xfId="790"/>
    <cellStyle name="Normal 5 9 2" xfId="3275"/>
    <cellStyle name="Normal 5 9 2 2" xfId="12417"/>
    <cellStyle name="Normal 5 9 2 2 2" xfId="22636"/>
    <cellStyle name="Normal 5 9 2 3" xfId="8839"/>
    <cellStyle name="Normal 5 9 2 4" xfId="17629"/>
    <cellStyle name="Normal 5 9 3" xfId="4604"/>
    <cellStyle name="Normal 5 9 3 2" xfId="13442"/>
    <cellStyle name="Normal 5 9 3 2 2" xfId="23693"/>
    <cellStyle name="Normal 5 9 3 3" xfId="9863"/>
    <cellStyle name="Normal 5 9 3 4" xfId="18686"/>
    <cellStyle name="Normal 5 9 4" xfId="2384"/>
    <cellStyle name="Normal 5 9 4 2" xfId="11749"/>
    <cellStyle name="Normal 5 9 4 3" xfId="21753"/>
    <cellStyle name="Normal 5 9 5" xfId="6060"/>
    <cellStyle name="Normal 5 9 5 2" xfId="14887"/>
    <cellStyle name="Normal 5 9 5 3" xfId="25138"/>
    <cellStyle name="Normal 5 9 6" xfId="7505"/>
    <cellStyle name="Normal 5 9 6 2" xfId="20235"/>
    <cellStyle name="Normal 5 9 7" xfId="16746"/>
    <cellStyle name="Normal 5_Degree data" xfId="3841"/>
    <cellStyle name="Normal 50" xfId="98"/>
    <cellStyle name="Normal 51" xfId="99"/>
    <cellStyle name="Normal 510" xfId="26053"/>
    <cellStyle name="Normal 511" xfId="26051"/>
    <cellStyle name="Normal 512" xfId="26052"/>
    <cellStyle name="Normal 514" xfId="26054"/>
    <cellStyle name="Normal 515" xfId="26055"/>
    <cellStyle name="Normal 516" xfId="26056"/>
    <cellStyle name="Normal 517" xfId="26057"/>
    <cellStyle name="Normal 518" xfId="26058"/>
    <cellStyle name="Normal 52" xfId="94"/>
    <cellStyle name="Normal 520" xfId="26060"/>
    <cellStyle name="Normal 521" xfId="26059"/>
    <cellStyle name="Normal 53" xfId="14"/>
    <cellStyle name="Normal 54" xfId="15"/>
    <cellStyle name="Normal 55" xfId="16"/>
    <cellStyle name="Normal 56" xfId="51"/>
    <cellStyle name="Normal 57" xfId="34"/>
    <cellStyle name="Normal 57 10" xfId="287"/>
    <cellStyle name="Normal 57 10 10" xfId="16075"/>
    <cellStyle name="Normal 57 10 2" xfId="609"/>
    <cellStyle name="Normal 57 10 2 2" xfId="3095"/>
    <cellStyle name="Normal 57 10 2 2 2" xfId="12238"/>
    <cellStyle name="Normal 57 10 2 2 2 2" xfId="22456"/>
    <cellStyle name="Normal 57 10 2 2 3" xfId="8660"/>
    <cellStyle name="Normal 57 10 2 2 4" xfId="17449"/>
    <cellStyle name="Normal 57 10 2 3" xfId="4648"/>
    <cellStyle name="Normal 57 10 2 3 2" xfId="13486"/>
    <cellStyle name="Normal 57 10 2 3 2 2" xfId="23737"/>
    <cellStyle name="Normal 57 10 2 3 3" xfId="9907"/>
    <cellStyle name="Normal 57 10 2 3 4" xfId="18730"/>
    <cellStyle name="Normal 57 10 2 4" xfId="2204"/>
    <cellStyle name="Normal 57 10 2 4 2" xfId="11569"/>
    <cellStyle name="Normal 57 10 2 4 3" xfId="21573"/>
    <cellStyle name="Normal 57 10 2 5" xfId="6104"/>
    <cellStyle name="Normal 57 10 2 5 2" xfId="14931"/>
    <cellStyle name="Normal 57 10 2 5 3" xfId="25182"/>
    <cellStyle name="Normal 57 10 2 6" xfId="7549"/>
    <cellStyle name="Normal 57 10 2 6 2" xfId="20055"/>
    <cellStyle name="Normal 57 10 2 7" xfId="16566"/>
    <cellStyle name="Normal 57 10 3" xfId="834"/>
    <cellStyle name="Normal 57 10 3 2" xfId="3319"/>
    <cellStyle name="Normal 57 10 3 2 2" xfId="12461"/>
    <cellStyle name="Normal 57 10 3 2 2 2" xfId="22680"/>
    <cellStyle name="Normal 57 10 3 2 3" xfId="8883"/>
    <cellStyle name="Normal 57 10 3 2 4" xfId="17673"/>
    <cellStyle name="Normal 57 10 3 3" xfId="4997"/>
    <cellStyle name="Normal 57 10 3 3 2" xfId="13834"/>
    <cellStyle name="Normal 57 10 3 3 2 2" xfId="24085"/>
    <cellStyle name="Normal 57 10 3 3 3" xfId="10255"/>
    <cellStyle name="Normal 57 10 3 3 4" xfId="19078"/>
    <cellStyle name="Normal 57 10 3 4" xfId="2428"/>
    <cellStyle name="Normal 57 10 3 4 2" xfId="11793"/>
    <cellStyle name="Normal 57 10 3 4 3" xfId="21797"/>
    <cellStyle name="Normal 57 10 3 5" xfId="6452"/>
    <cellStyle name="Normal 57 10 3 5 2" xfId="15279"/>
    <cellStyle name="Normal 57 10 3 5 3" xfId="25530"/>
    <cellStyle name="Normal 57 10 3 6" xfId="7898"/>
    <cellStyle name="Normal 57 10 3 6 2" xfId="20279"/>
    <cellStyle name="Normal 57 10 3 7" xfId="16790"/>
    <cellStyle name="Normal 57 10 4" xfId="1381"/>
    <cellStyle name="Normal 57 10 4 2" xfId="3810"/>
    <cellStyle name="Normal 57 10 4 2 2" xfId="12946"/>
    <cellStyle name="Normal 57 10 4 2 2 2" xfId="23165"/>
    <cellStyle name="Normal 57 10 4 2 3" xfId="9367"/>
    <cellStyle name="Normal 57 10 4 2 4" xfId="18158"/>
    <cellStyle name="Normal 57 10 4 3" xfId="5473"/>
    <cellStyle name="Normal 57 10 4 3 2" xfId="14310"/>
    <cellStyle name="Normal 57 10 4 3 2 2" xfId="24561"/>
    <cellStyle name="Normal 57 10 4 3 3" xfId="10731"/>
    <cellStyle name="Normal 57 10 4 3 4" xfId="19554"/>
    <cellStyle name="Normal 57 10 4 4" xfId="1884"/>
    <cellStyle name="Normal 57 10 4 4 2" xfId="11252"/>
    <cellStyle name="Normal 57 10 4 4 3" xfId="21256"/>
    <cellStyle name="Normal 57 10 4 5" xfId="6928"/>
    <cellStyle name="Normal 57 10 4 5 2" xfId="15755"/>
    <cellStyle name="Normal 57 10 4 5 3" xfId="26006"/>
    <cellStyle name="Normal 57 10 4 6" xfId="8374"/>
    <cellStyle name="Normal 57 10 4 6 2" xfId="20764"/>
    <cellStyle name="Normal 57 10 4 7" xfId="16249"/>
    <cellStyle name="Normal 57 10 5" xfId="2778"/>
    <cellStyle name="Normal 57 10 5 2" xfId="12095"/>
    <cellStyle name="Normal 57 10 5 2 2" xfId="22139"/>
    <cellStyle name="Normal 57 10 5 3" xfId="8437"/>
    <cellStyle name="Normal 57 10 5 4" xfId="17132"/>
    <cellStyle name="Normal 57 10 6" xfId="4429"/>
    <cellStyle name="Normal 57 10 6 2" xfId="13267"/>
    <cellStyle name="Normal 57 10 6 2 2" xfId="23518"/>
    <cellStyle name="Normal 57 10 6 3" xfId="9688"/>
    <cellStyle name="Normal 57 10 6 4" xfId="18511"/>
    <cellStyle name="Normal 57 10 7" xfId="1701"/>
    <cellStyle name="Normal 57 10 7 2" xfId="11078"/>
    <cellStyle name="Normal 57 10 7 3" xfId="21082"/>
    <cellStyle name="Normal 57 10 8" xfId="5885"/>
    <cellStyle name="Normal 57 10 8 2" xfId="14712"/>
    <cellStyle name="Normal 57 10 8 3" xfId="24963"/>
    <cellStyle name="Normal 57 10 9" xfId="7329"/>
    <cellStyle name="Normal 57 10 9 2" xfId="19738"/>
    <cellStyle name="Normal 57 10_Degree data" xfId="3940"/>
    <cellStyle name="Normal 57 11" xfId="448"/>
    <cellStyle name="Normal 57 11 2" xfId="835"/>
    <cellStyle name="Normal 57 11 2 2" xfId="3320"/>
    <cellStyle name="Normal 57 11 2 2 2" xfId="12462"/>
    <cellStyle name="Normal 57 11 2 2 2 2" xfId="22681"/>
    <cellStyle name="Normal 57 11 2 2 3" xfId="8884"/>
    <cellStyle name="Normal 57 11 2 2 4" xfId="17674"/>
    <cellStyle name="Normal 57 11 2 3" xfId="4649"/>
    <cellStyle name="Normal 57 11 2 3 2" xfId="13487"/>
    <cellStyle name="Normal 57 11 2 3 2 2" xfId="23738"/>
    <cellStyle name="Normal 57 11 2 3 3" xfId="9908"/>
    <cellStyle name="Normal 57 11 2 3 4" xfId="18731"/>
    <cellStyle name="Normal 57 11 2 4" xfId="2429"/>
    <cellStyle name="Normal 57 11 2 4 2" xfId="11794"/>
    <cellStyle name="Normal 57 11 2 4 3" xfId="21798"/>
    <cellStyle name="Normal 57 11 2 5" xfId="6105"/>
    <cellStyle name="Normal 57 11 2 5 2" xfId="14932"/>
    <cellStyle name="Normal 57 11 2 5 3" xfId="25183"/>
    <cellStyle name="Normal 57 11 2 6" xfId="7550"/>
    <cellStyle name="Normal 57 11 2 6 2" xfId="20280"/>
    <cellStyle name="Normal 57 11 2 7" xfId="16791"/>
    <cellStyle name="Normal 57 11 3" xfId="1220"/>
    <cellStyle name="Normal 57 11 3 2" xfId="3649"/>
    <cellStyle name="Normal 57 11 3 2 2" xfId="12785"/>
    <cellStyle name="Normal 57 11 3 2 2 2" xfId="23004"/>
    <cellStyle name="Normal 57 11 3 2 3" xfId="9206"/>
    <cellStyle name="Normal 57 11 3 2 4" xfId="17997"/>
    <cellStyle name="Normal 57 11 3 3" xfId="4998"/>
    <cellStyle name="Normal 57 11 3 3 2" xfId="13835"/>
    <cellStyle name="Normal 57 11 3 3 2 2" xfId="24086"/>
    <cellStyle name="Normal 57 11 3 3 3" xfId="10256"/>
    <cellStyle name="Normal 57 11 3 3 4" xfId="19079"/>
    <cellStyle name="Normal 57 11 3 4" xfId="2043"/>
    <cellStyle name="Normal 57 11 3 4 2" xfId="11408"/>
    <cellStyle name="Normal 57 11 3 4 3" xfId="21412"/>
    <cellStyle name="Normal 57 11 3 5" xfId="6453"/>
    <cellStyle name="Normal 57 11 3 5 2" xfId="15280"/>
    <cellStyle name="Normal 57 11 3 5 3" xfId="25531"/>
    <cellStyle name="Normal 57 11 3 6" xfId="7899"/>
    <cellStyle name="Normal 57 11 3 6 2" xfId="20603"/>
    <cellStyle name="Normal 57 11 3 7" xfId="16405"/>
    <cellStyle name="Normal 57 11 4" xfId="2934"/>
    <cellStyle name="Normal 57 11 4 2" xfId="5312"/>
    <cellStyle name="Normal 57 11 4 2 2" xfId="14149"/>
    <cellStyle name="Normal 57 11 4 2 2 2" xfId="24400"/>
    <cellStyle name="Normal 57 11 4 2 3" xfId="10570"/>
    <cellStyle name="Normal 57 11 4 2 4" xfId="19393"/>
    <cellStyle name="Normal 57 11 4 3" xfId="6767"/>
    <cellStyle name="Normal 57 11 4 3 2" xfId="15594"/>
    <cellStyle name="Normal 57 11 4 3 3" xfId="25845"/>
    <cellStyle name="Normal 57 11 4 4" xfId="8213"/>
    <cellStyle name="Normal 57 11 4 4 2" xfId="22295"/>
    <cellStyle name="Normal 57 11 4 5" xfId="17288"/>
    <cellStyle name="Normal 57 11 5" xfId="4268"/>
    <cellStyle name="Normal 57 11 5 2" xfId="13106"/>
    <cellStyle name="Normal 57 11 5 2 2" xfId="23357"/>
    <cellStyle name="Normal 57 11 5 3" xfId="9527"/>
    <cellStyle name="Normal 57 11 5 4" xfId="18350"/>
    <cellStyle name="Normal 57 11 6" xfId="1540"/>
    <cellStyle name="Normal 57 11 6 2" xfId="10917"/>
    <cellStyle name="Normal 57 11 6 3" xfId="20921"/>
    <cellStyle name="Normal 57 11 7" xfId="5724"/>
    <cellStyle name="Normal 57 11 7 2" xfId="14551"/>
    <cellStyle name="Normal 57 11 7 3" xfId="24802"/>
    <cellStyle name="Normal 57 11 8" xfId="7168"/>
    <cellStyle name="Normal 57 11 8 2" xfId="19894"/>
    <cellStyle name="Normal 57 11 9" xfId="15914"/>
    <cellStyle name="Normal 57 11_Degree data" xfId="3941"/>
    <cellStyle name="Normal 57 12" xfId="303"/>
    <cellStyle name="Normal 57 12 2" xfId="836"/>
    <cellStyle name="Normal 57 12 2 2" xfId="3321"/>
    <cellStyle name="Normal 57 12 2 2 2" xfId="12463"/>
    <cellStyle name="Normal 57 12 2 2 2 2" xfId="22682"/>
    <cellStyle name="Normal 57 12 2 2 3" xfId="8885"/>
    <cellStyle name="Normal 57 12 2 2 4" xfId="17675"/>
    <cellStyle name="Normal 57 12 2 3" xfId="4650"/>
    <cellStyle name="Normal 57 12 2 3 2" xfId="13488"/>
    <cellStyle name="Normal 57 12 2 3 2 2" xfId="23739"/>
    <cellStyle name="Normal 57 12 2 3 3" xfId="9909"/>
    <cellStyle name="Normal 57 12 2 3 4" xfId="18732"/>
    <cellStyle name="Normal 57 12 2 4" xfId="2430"/>
    <cellStyle name="Normal 57 12 2 4 2" xfId="11795"/>
    <cellStyle name="Normal 57 12 2 4 3" xfId="21799"/>
    <cellStyle name="Normal 57 12 2 5" xfId="6106"/>
    <cellStyle name="Normal 57 12 2 5 2" xfId="14933"/>
    <cellStyle name="Normal 57 12 2 5 3" xfId="25184"/>
    <cellStyle name="Normal 57 12 2 6" xfId="7551"/>
    <cellStyle name="Normal 57 12 2 6 2" xfId="20281"/>
    <cellStyle name="Normal 57 12 2 7" xfId="16792"/>
    <cellStyle name="Normal 57 12 3" xfId="1075"/>
    <cellStyle name="Normal 57 12 3 2" xfId="3504"/>
    <cellStyle name="Normal 57 12 3 2 2" xfId="12640"/>
    <cellStyle name="Normal 57 12 3 2 2 2" xfId="22859"/>
    <cellStyle name="Normal 57 12 3 2 3" xfId="9062"/>
    <cellStyle name="Normal 57 12 3 2 4" xfId="17852"/>
    <cellStyle name="Normal 57 12 3 3" xfId="4999"/>
    <cellStyle name="Normal 57 12 3 3 2" xfId="13836"/>
    <cellStyle name="Normal 57 12 3 3 2 2" xfId="24087"/>
    <cellStyle name="Normal 57 12 3 3 3" xfId="10257"/>
    <cellStyle name="Normal 57 12 3 3 4" xfId="19080"/>
    <cellStyle name="Normal 57 12 3 4" xfId="2582"/>
    <cellStyle name="Normal 57 12 3 4 2" xfId="11946"/>
    <cellStyle name="Normal 57 12 3 4 3" xfId="21950"/>
    <cellStyle name="Normal 57 12 3 5" xfId="6454"/>
    <cellStyle name="Normal 57 12 3 5 2" xfId="15281"/>
    <cellStyle name="Normal 57 12 3 5 3" xfId="25532"/>
    <cellStyle name="Normal 57 12 3 6" xfId="7900"/>
    <cellStyle name="Normal 57 12 3 6 2" xfId="20458"/>
    <cellStyle name="Normal 57 12 3 7" xfId="16943"/>
    <cellStyle name="Normal 57 12 4" xfId="2789"/>
    <cellStyle name="Normal 57 12 4 2" xfId="5167"/>
    <cellStyle name="Normal 57 12 4 2 2" xfId="14004"/>
    <cellStyle name="Normal 57 12 4 2 2 2" xfId="24255"/>
    <cellStyle name="Normal 57 12 4 2 3" xfId="10425"/>
    <cellStyle name="Normal 57 12 4 2 4" xfId="19248"/>
    <cellStyle name="Normal 57 12 4 3" xfId="6622"/>
    <cellStyle name="Normal 57 12 4 3 2" xfId="15449"/>
    <cellStyle name="Normal 57 12 4 3 3" xfId="25700"/>
    <cellStyle name="Normal 57 12 4 4" xfId="8068"/>
    <cellStyle name="Normal 57 12 4 4 2" xfId="22150"/>
    <cellStyle name="Normal 57 12 4 5" xfId="17143"/>
    <cellStyle name="Normal 57 12 5" xfId="4121"/>
    <cellStyle name="Normal 57 12 5 2" xfId="12959"/>
    <cellStyle name="Normal 57 12 5 2 2" xfId="23210"/>
    <cellStyle name="Normal 57 12 5 3" xfId="9380"/>
    <cellStyle name="Normal 57 12 5 4" xfId="18203"/>
    <cellStyle name="Normal 57 12 6" xfId="1898"/>
    <cellStyle name="Normal 57 12 6 2" xfId="11263"/>
    <cellStyle name="Normal 57 12 6 3" xfId="21267"/>
    <cellStyle name="Normal 57 12 7" xfId="5579"/>
    <cellStyle name="Normal 57 12 7 2" xfId="14406"/>
    <cellStyle name="Normal 57 12 7 3" xfId="24657"/>
    <cellStyle name="Normal 57 12 8" xfId="7023"/>
    <cellStyle name="Normal 57 12 8 2" xfId="19749"/>
    <cellStyle name="Normal 57 12 9" xfId="16260"/>
    <cellStyle name="Normal 57 12_Degree data" xfId="3942"/>
    <cellStyle name="Normal 57 13" xfId="833"/>
    <cellStyle name="Normal 57 13 2" xfId="3318"/>
    <cellStyle name="Normal 57 13 2 2" xfId="12460"/>
    <cellStyle name="Normal 57 13 2 2 2" xfId="22679"/>
    <cellStyle name="Normal 57 13 2 3" xfId="8882"/>
    <cellStyle name="Normal 57 13 2 4" xfId="17672"/>
    <cellStyle name="Normal 57 13 3" xfId="4647"/>
    <cellStyle name="Normal 57 13 3 2" xfId="13485"/>
    <cellStyle name="Normal 57 13 3 2 2" xfId="23736"/>
    <cellStyle name="Normal 57 13 3 3" xfId="9906"/>
    <cellStyle name="Normal 57 13 3 4" xfId="18729"/>
    <cellStyle name="Normal 57 13 4" xfId="2427"/>
    <cellStyle name="Normal 57 13 4 2" xfId="11792"/>
    <cellStyle name="Normal 57 13 4 3" xfId="21796"/>
    <cellStyle name="Normal 57 13 5" xfId="6103"/>
    <cellStyle name="Normal 57 13 5 2" xfId="14930"/>
    <cellStyle name="Normal 57 13 5 3" xfId="25181"/>
    <cellStyle name="Normal 57 13 6" xfId="7548"/>
    <cellStyle name="Normal 57 13 6 2" xfId="20278"/>
    <cellStyle name="Normal 57 13 7" xfId="16789"/>
    <cellStyle name="Normal 57 14" xfId="1045"/>
    <cellStyle name="Normal 57 14 2" xfId="3474"/>
    <cellStyle name="Normal 57 14 2 2" xfId="12610"/>
    <cellStyle name="Normal 57 14 2 2 2" xfId="22829"/>
    <cellStyle name="Normal 57 14 2 3" xfId="9032"/>
    <cellStyle name="Normal 57 14 2 4" xfId="17822"/>
    <cellStyle name="Normal 57 14 3" xfId="4996"/>
    <cellStyle name="Normal 57 14 3 2" xfId="13833"/>
    <cellStyle name="Normal 57 14 3 2 2" xfId="24084"/>
    <cellStyle name="Normal 57 14 3 3" xfId="10254"/>
    <cellStyle name="Normal 57 14 3 4" xfId="19077"/>
    <cellStyle name="Normal 57 14 4" xfId="1712"/>
    <cellStyle name="Normal 57 14 4 2" xfId="11089"/>
    <cellStyle name="Normal 57 14 4 3" xfId="21093"/>
    <cellStyle name="Normal 57 14 5" xfId="6451"/>
    <cellStyle name="Normal 57 14 5 2" xfId="15278"/>
    <cellStyle name="Normal 57 14 5 3" xfId="25529"/>
    <cellStyle name="Normal 57 14 6" xfId="7897"/>
    <cellStyle name="Normal 57 14 6 2" xfId="20428"/>
    <cellStyle name="Normal 57 14 7" xfId="16086"/>
    <cellStyle name="Normal 57 15" xfId="2612"/>
    <cellStyle name="Normal 57 15 2" xfId="5137"/>
    <cellStyle name="Normal 57 15 2 2" xfId="13974"/>
    <cellStyle name="Normal 57 15 2 2 2" xfId="24225"/>
    <cellStyle name="Normal 57 15 2 3" xfId="10395"/>
    <cellStyle name="Normal 57 15 2 4" xfId="19218"/>
    <cellStyle name="Normal 57 15 3" xfId="6592"/>
    <cellStyle name="Normal 57 15 3 2" xfId="15419"/>
    <cellStyle name="Normal 57 15 3 3" xfId="25670"/>
    <cellStyle name="Normal 57 15 4" xfId="8038"/>
    <cellStyle name="Normal 57 15 4 2" xfId="21977"/>
    <cellStyle name="Normal 57 15 5" xfId="16970"/>
    <cellStyle name="Normal 57 16" xfId="4090"/>
    <cellStyle name="Normal 57 16 2" xfId="5549"/>
    <cellStyle name="Normal 57 16 2 2" xfId="14376"/>
    <cellStyle name="Normal 57 16 2 3" xfId="24627"/>
    <cellStyle name="Normal 57 16 3" xfId="6993"/>
    <cellStyle name="Normal 57 16 3 2" xfId="23179"/>
    <cellStyle name="Normal 57 16 4" xfId="18172"/>
    <cellStyle name="Normal 57 17" xfId="1395"/>
    <cellStyle name="Normal 57 17 2" xfId="10772"/>
    <cellStyle name="Normal 57 17 3" xfId="20776"/>
    <cellStyle name="Normal 57 18" xfId="5506"/>
    <cellStyle name="Normal 57 18 2" xfId="14333"/>
    <cellStyle name="Normal 57 18 3" xfId="24584"/>
    <cellStyle name="Normal 57 19" xfId="6944"/>
    <cellStyle name="Normal 57 19 2" xfId="19577"/>
    <cellStyle name="Normal 57 2" xfId="44"/>
    <cellStyle name="Normal 57 20" xfId="15769"/>
    <cellStyle name="Normal 57 3" xfId="117"/>
    <cellStyle name="Normal 57 3 10" xfId="2627"/>
    <cellStyle name="Normal 57 3 10 2" xfId="5141"/>
    <cellStyle name="Normal 57 3 10 2 2" xfId="13978"/>
    <cellStyle name="Normal 57 3 10 2 2 2" xfId="24229"/>
    <cellStyle name="Normal 57 3 10 2 3" xfId="10399"/>
    <cellStyle name="Normal 57 3 10 2 4" xfId="19222"/>
    <cellStyle name="Normal 57 3 10 3" xfId="6596"/>
    <cellStyle name="Normal 57 3 10 3 2" xfId="15423"/>
    <cellStyle name="Normal 57 3 10 3 3" xfId="25674"/>
    <cellStyle name="Normal 57 3 10 4" xfId="8042"/>
    <cellStyle name="Normal 57 3 10 4 2" xfId="21990"/>
    <cellStyle name="Normal 57 3 10 5" xfId="16983"/>
    <cellStyle name="Normal 57 3 11" xfId="4094"/>
    <cellStyle name="Normal 57 3 11 2" xfId="5553"/>
    <cellStyle name="Normal 57 3 11 2 2" xfId="14380"/>
    <cellStyle name="Normal 57 3 11 2 3" xfId="24631"/>
    <cellStyle name="Normal 57 3 11 3" xfId="6997"/>
    <cellStyle name="Normal 57 3 11 3 2" xfId="23183"/>
    <cellStyle name="Normal 57 3 11 4" xfId="18176"/>
    <cellStyle name="Normal 57 3 12" xfId="1401"/>
    <cellStyle name="Normal 57 3 12 2" xfId="10778"/>
    <cellStyle name="Normal 57 3 12 3" xfId="20782"/>
    <cellStyle name="Normal 57 3 13" xfId="5513"/>
    <cellStyle name="Normal 57 3 13 2" xfId="14340"/>
    <cellStyle name="Normal 57 3 13 3" xfId="24591"/>
    <cellStyle name="Normal 57 3 14" xfId="6952"/>
    <cellStyle name="Normal 57 3 14 2" xfId="19590"/>
    <cellStyle name="Normal 57 3 15" xfId="15775"/>
    <cellStyle name="Normal 57 3 2" xfId="161"/>
    <cellStyle name="Normal 57 3 2 10" xfId="1426"/>
    <cellStyle name="Normal 57 3 2 10 2" xfId="10803"/>
    <cellStyle name="Normal 57 3 2 10 3" xfId="20807"/>
    <cellStyle name="Normal 57 3 2 11" xfId="5535"/>
    <cellStyle name="Normal 57 3 2 11 2" xfId="14362"/>
    <cellStyle name="Normal 57 3 2 11 3" xfId="24613"/>
    <cellStyle name="Normal 57 3 2 12" xfId="6979"/>
    <cellStyle name="Normal 57 3 2 12 2" xfId="19620"/>
    <cellStyle name="Normal 57 3 2 13" xfId="15800"/>
    <cellStyle name="Normal 57 3 2 2" xfId="208"/>
    <cellStyle name="Normal 57 3 2 2 10" xfId="7154"/>
    <cellStyle name="Normal 57 3 2 2 10 2" xfId="19663"/>
    <cellStyle name="Normal 57 3 2 2 11" xfId="15900"/>
    <cellStyle name="Normal 57 3 2 2 2" xfId="534"/>
    <cellStyle name="Normal 57 3 2 2 2 2" xfId="840"/>
    <cellStyle name="Normal 57 3 2 2 2 2 2" xfId="3325"/>
    <cellStyle name="Normal 57 3 2 2 2 2 2 2" xfId="12467"/>
    <cellStyle name="Normal 57 3 2 2 2 2 2 2 2" xfId="22686"/>
    <cellStyle name="Normal 57 3 2 2 2 2 2 3" xfId="8889"/>
    <cellStyle name="Normal 57 3 2 2 2 2 2 4" xfId="17679"/>
    <cellStyle name="Normal 57 3 2 2 2 2 3" xfId="4654"/>
    <cellStyle name="Normal 57 3 2 2 2 2 3 2" xfId="13492"/>
    <cellStyle name="Normal 57 3 2 2 2 2 3 2 2" xfId="23743"/>
    <cellStyle name="Normal 57 3 2 2 2 2 3 3" xfId="9913"/>
    <cellStyle name="Normal 57 3 2 2 2 2 3 4" xfId="18736"/>
    <cellStyle name="Normal 57 3 2 2 2 2 4" xfId="2434"/>
    <cellStyle name="Normal 57 3 2 2 2 2 4 2" xfId="11799"/>
    <cellStyle name="Normal 57 3 2 2 2 2 4 3" xfId="21803"/>
    <cellStyle name="Normal 57 3 2 2 2 2 5" xfId="6110"/>
    <cellStyle name="Normal 57 3 2 2 2 2 5 2" xfId="14937"/>
    <cellStyle name="Normal 57 3 2 2 2 2 5 3" xfId="25188"/>
    <cellStyle name="Normal 57 3 2 2 2 2 6" xfId="7555"/>
    <cellStyle name="Normal 57 3 2 2 2 2 6 2" xfId="20285"/>
    <cellStyle name="Normal 57 3 2 2 2 2 7" xfId="16796"/>
    <cellStyle name="Normal 57 3 2 2 2 3" xfId="1306"/>
    <cellStyle name="Normal 57 3 2 2 2 3 2" xfId="3735"/>
    <cellStyle name="Normal 57 3 2 2 2 3 2 2" xfId="12871"/>
    <cellStyle name="Normal 57 3 2 2 2 3 2 2 2" xfId="23090"/>
    <cellStyle name="Normal 57 3 2 2 2 3 2 3" xfId="9292"/>
    <cellStyle name="Normal 57 3 2 2 2 3 2 4" xfId="18083"/>
    <cellStyle name="Normal 57 3 2 2 2 3 3" xfId="5003"/>
    <cellStyle name="Normal 57 3 2 2 2 3 3 2" xfId="13840"/>
    <cellStyle name="Normal 57 3 2 2 2 3 3 2 2" xfId="24091"/>
    <cellStyle name="Normal 57 3 2 2 2 3 3 3" xfId="10261"/>
    <cellStyle name="Normal 57 3 2 2 2 3 3 4" xfId="19084"/>
    <cellStyle name="Normal 57 3 2 2 2 3 4" xfId="2129"/>
    <cellStyle name="Normal 57 3 2 2 2 3 4 2" xfId="11494"/>
    <cellStyle name="Normal 57 3 2 2 2 3 4 3" xfId="21498"/>
    <cellStyle name="Normal 57 3 2 2 2 3 5" xfId="6458"/>
    <cellStyle name="Normal 57 3 2 2 2 3 5 2" xfId="15285"/>
    <cellStyle name="Normal 57 3 2 2 2 3 5 3" xfId="25536"/>
    <cellStyle name="Normal 57 3 2 2 2 3 6" xfId="7904"/>
    <cellStyle name="Normal 57 3 2 2 2 3 6 2" xfId="20689"/>
    <cellStyle name="Normal 57 3 2 2 2 3 7" xfId="16491"/>
    <cellStyle name="Normal 57 3 2 2 2 4" xfId="3020"/>
    <cellStyle name="Normal 57 3 2 2 2 4 2" xfId="5398"/>
    <cellStyle name="Normal 57 3 2 2 2 4 2 2" xfId="14235"/>
    <cellStyle name="Normal 57 3 2 2 2 4 2 2 2" xfId="24486"/>
    <cellStyle name="Normal 57 3 2 2 2 4 2 3" xfId="10656"/>
    <cellStyle name="Normal 57 3 2 2 2 4 2 4" xfId="19479"/>
    <cellStyle name="Normal 57 3 2 2 2 4 3" xfId="6853"/>
    <cellStyle name="Normal 57 3 2 2 2 4 3 2" xfId="15680"/>
    <cellStyle name="Normal 57 3 2 2 2 4 3 3" xfId="25931"/>
    <cellStyle name="Normal 57 3 2 2 2 4 4" xfId="8299"/>
    <cellStyle name="Normal 57 3 2 2 2 4 4 2" xfId="22381"/>
    <cellStyle name="Normal 57 3 2 2 2 4 5" xfId="17374"/>
    <cellStyle name="Normal 57 3 2 2 2 5" xfId="4354"/>
    <cellStyle name="Normal 57 3 2 2 2 5 2" xfId="13192"/>
    <cellStyle name="Normal 57 3 2 2 2 5 2 2" xfId="23443"/>
    <cellStyle name="Normal 57 3 2 2 2 5 3" xfId="9613"/>
    <cellStyle name="Normal 57 3 2 2 2 5 4" xfId="18436"/>
    <cellStyle name="Normal 57 3 2 2 2 6" xfId="1626"/>
    <cellStyle name="Normal 57 3 2 2 2 6 2" xfId="11003"/>
    <cellStyle name="Normal 57 3 2 2 2 6 3" xfId="21007"/>
    <cellStyle name="Normal 57 3 2 2 2 7" xfId="5810"/>
    <cellStyle name="Normal 57 3 2 2 2 7 2" xfId="14637"/>
    <cellStyle name="Normal 57 3 2 2 2 7 3" xfId="24888"/>
    <cellStyle name="Normal 57 3 2 2 2 8" xfId="7254"/>
    <cellStyle name="Normal 57 3 2 2 2 8 2" xfId="19980"/>
    <cellStyle name="Normal 57 3 2 2 2 9" xfId="16000"/>
    <cellStyle name="Normal 57 3 2 2 2_Degree data" xfId="3946"/>
    <cellStyle name="Normal 57 3 2 2 3" xfId="434"/>
    <cellStyle name="Normal 57 3 2 2 3 2" xfId="2920"/>
    <cellStyle name="Normal 57 3 2 2 3 2 2" xfId="12208"/>
    <cellStyle name="Normal 57 3 2 2 3 2 2 2" xfId="22281"/>
    <cellStyle name="Normal 57 3 2 2 3 2 3" xfId="8456"/>
    <cellStyle name="Normal 57 3 2 2 3 2 4" xfId="17274"/>
    <cellStyle name="Normal 57 3 2 2 3 3" xfId="4653"/>
    <cellStyle name="Normal 57 3 2 2 3 3 2" xfId="13491"/>
    <cellStyle name="Normal 57 3 2 2 3 3 2 2" xfId="23742"/>
    <cellStyle name="Normal 57 3 2 2 3 3 3" xfId="9912"/>
    <cellStyle name="Normal 57 3 2 2 3 3 4" xfId="18735"/>
    <cellStyle name="Normal 57 3 2 2 3 4" xfId="2029"/>
    <cellStyle name="Normal 57 3 2 2 3 4 2" xfId="11394"/>
    <cellStyle name="Normal 57 3 2 2 3 4 3" xfId="21398"/>
    <cellStyle name="Normal 57 3 2 2 3 5" xfId="6109"/>
    <cellStyle name="Normal 57 3 2 2 3 5 2" xfId="14936"/>
    <cellStyle name="Normal 57 3 2 2 3 5 3" xfId="25187"/>
    <cellStyle name="Normal 57 3 2 2 3 6" xfId="7554"/>
    <cellStyle name="Normal 57 3 2 2 3 6 2" xfId="19880"/>
    <cellStyle name="Normal 57 3 2 2 3 7" xfId="16391"/>
    <cellStyle name="Normal 57 3 2 2 4" xfId="839"/>
    <cellStyle name="Normal 57 3 2 2 4 2" xfId="3324"/>
    <cellStyle name="Normal 57 3 2 2 4 2 2" xfId="12466"/>
    <cellStyle name="Normal 57 3 2 2 4 2 2 2" xfId="22685"/>
    <cellStyle name="Normal 57 3 2 2 4 2 3" xfId="8888"/>
    <cellStyle name="Normal 57 3 2 2 4 2 4" xfId="17678"/>
    <cellStyle name="Normal 57 3 2 2 4 3" xfId="5002"/>
    <cellStyle name="Normal 57 3 2 2 4 3 2" xfId="13839"/>
    <cellStyle name="Normal 57 3 2 2 4 3 2 2" xfId="24090"/>
    <cellStyle name="Normal 57 3 2 2 4 3 3" xfId="10260"/>
    <cellStyle name="Normal 57 3 2 2 4 3 4" xfId="19083"/>
    <cellStyle name="Normal 57 3 2 2 4 4" xfId="2433"/>
    <cellStyle name="Normal 57 3 2 2 4 4 2" xfId="11798"/>
    <cellStyle name="Normal 57 3 2 2 4 4 3" xfId="21802"/>
    <cellStyle name="Normal 57 3 2 2 4 5" xfId="6457"/>
    <cellStyle name="Normal 57 3 2 2 4 5 2" xfId="15284"/>
    <cellStyle name="Normal 57 3 2 2 4 5 3" xfId="25535"/>
    <cellStyle name="Normal 57 3 2 2 4 6" xfId="7903"/>
    <cellStyle name="Normal 57 3 2 2 4 6 2" xfId="20284"/>
    <cellStyle name="Normal 57 3 2 2 4 7" xfId="16795"/>
    <cellStyle name="Normal 57 3 2 2 5" xfId="1206"/>
    <cellStyle name="Normal 57 3 2 2 5 2" xfId="3635"/>
    <cellStyle name="Normal 57 3 2 2 5 2 2" xfId="12771"/>
    <cellStyle name="Normal 57 3 2 2 5 2 2 2" xfId="22990"/>
    <cellStyle name="Normal 57 3 2 2 5 2 3" xfId="9192"/>
    <cellStyle name="Normal 57 3 2 2 5 2 4" xfId="17983"/>
    <cellStyle name="Normal 57 3 2 2 5 3" xfId="5298"/>
    <cellStyle name="Normal 57 3 2 2 5 3 2" xfId="14135"/>
    <cellStyle name="Normal 57 3 2 2 5 3 2 2" xfId="24386"/>
    <cellStyle name="Normal 57 3 2 2 5 3 3" xfId="10556"/>
    <cellStyle name="Normal 57 3 2 2 5 3 4" xfId="19379"/>
    <cellStyle name="Normal 57 3 2 2 5 4" xfId="1809"/>
    <cellStyle name="Normal 57 3 2 2 5 4 2" xfId="11177"/>
    <cellStyle name="Normal 57 3 2 2 5 4 3" xfId="21181"/>
    <cellStyle name="Normal 57 3 2 2 5 5" xfId="6753"/>
    <cellStyle name="Normal 57 3 2 2 5 5 2" xfId="15580"/>
    <cellStyle name="Normal 57 3 2 2 5 5 3" xfId="25831"/>
    <cellStyle name="Normal 57 3 2 2 5 6" xfId="8199"/>
    <cellStyle name="Normal 57 3 2 2 5 6 2" xfId="20589"/>
    <cellStyle name="Normal 57 3 2 2 5 7" xfId="16174"/>
    <cellStyle name="Normal 57 3 2 2 6" xfId="2703"/>
    <cellStyle name="Normal 57 3 2 2 6 2" xfId="12020"/>
    <cellStyle name="Normal 57 3 2 2 6 2 2" xfId="22064"/>
    <cellStyle name="Normal 57 3 2 2 6 3" xfId="8500"/>
    <cellStyle name="Normal 57 3 2 2 6 4" xfId="17057"/>
    <cellStyle name="Normal 57 3 2 2 7" xfId="4254"/>
    <cellStyle name="Normal 57 3 2 2 7 2" xfId="13092"/>
    <cellStyle name="Normal 57 3 2 2 7 2 2" xfId="23343"/>
    <cellStyle name="Normal 57 3 2 2 7 3" xfId="9513"/>
    <cellStyle name="Normal 57 3 2 2 7 4" xfId="18336"/>
    <cellStyle name="Normal 57 3 2 2 8" xfId="1526"/>
    <cellStyle name="Normal 57 3 2 2 8 2" xfId="10903"/>
    <cellStyle name="Normal 57 3 2 2 8 3" xfId="20907"/>
    <cellStyle name="Normal 57 3 2 2 9" xfId="5710"/>
    <cellStyle name="Normal 57 3 2 2 9 2" xfId="14537"/>
    <cellStyle name="Normal 57 3 2 2 9 3" xfId="24788"/>
    <cellStyle name="Normal 57 3 2 2_Degree data" xfId="3945"/>
    <cellStyle name="Normal 57 3 2 3" xfId="273"/>
    <cellStyle name="Normal 57 3 2 3 10" xfId="7111"/>
    <cellStyle name="Normal 57 3 2 3 10 2" xfId="19724"/>
    <cellStyle name="Normal 57 3 2 3 11" xfId="15857"/>
    <cellStyle name="Normal 57 3 2 3 2" xfId="595"/>
    <cellStyle name="Normal 57 3 2 3 2 2" xfId="842"/>
    <cellStyle name="Normal 57 3 2 3 2 2 2" xfId="3327"/>
    <cellStyle name="Normal 57 3 2 3 2 2 2 2" xfId="12469"/>
    <cellStyle name="Normal 57 3 2 3 2 2 2 2 2" xfId="22688"/>
    <cellStyle name="Normal 57 3 2 3 2 2 2 3" xfId="8891"/>
    <cellStyle name="Normal 57 3 2 3 2 2 2 4" xfId="17681"/>
    <cellStyle name="Normal 57 3 2 3 2 2 3" xfId="4656"/>
    <cellStyle name="Normal 57 3 2 3 2 2 3 2" xfId="13494"/>
    <cellStyle name="Normal 57 3 2 3 2 2 3 2 2" xfId="23745"/>
    <cellStyle name="Normal 57 3 2 3 2 2 3 3" xfId="9915"/>
    <cellStyle name="Normal 57 3 2 3 2 2 3 4" xfId="18738"/>
    <cellStyle name="Normal 57 3 2 3 2 2 4" xfId="2436"/>
    <cellStyle name="Normal 57 3 2 3 2 2 4 2" xfId="11801"/>
    <cellStyle name="Normal 57 3 2 3 2 2 4 3" xfId="21805"/>
    <cellStyle name="Normal 57 3 2 3 2 2 5" xfId="6112"/>
    <cellStyle name="Normal 57 3 2 3 2 2 5 2" xfId="14939"/>
    <cellStyle name="Normal 57 3 2 3 2 2 5 3" xfId="25190"/>
    <cellStyle name="Normal 57 3 2 3 2 2 6" xfId="7557"/>
    <cellStyle name="Normal 57 3 2 3 2 2 6 2" xfId="20287"/>
    <cellStyle name="Normal 57 3 2 3 2 2 7" xfId="16798"/>
    <cellStyle name="Normal 57 3 2 3 2 3" xfId="1367"/>
    <cellStyle name="Normal 57 3 2 3 2 3 2" xfId="3796"/>
    <cellStyle name="Normal 57 3 2 3 2 3 2 2" xfId="12932"/>
    <cellStyle name="Normal 57 3 2 3 2 3 2 2 2" xfId="23151"/>
    <cellStyle name="Normal 57 3 2 3 2 3 2 3" xfId="9353"/>
    <cellStyle name="Normal 57 3 2 3 2 3 2 4" xfId="18144"/>
    <cellStyle name="Normal 57 3 2 3 2 3 3" xfId="5005"/>
    <cellStyle name="Normal 57 3 2 3 2 3 3 2" xfId="13842"/>
    <cellStyle name="Normal 57 3 2 3 2 3 3 2 2" xfId="24093"/>
    <cellStyle name="Normal 57 3 2 3 2 3 3 3" xfId="10263"/>
    <cellStyle name="Normal 57 3 2 3 2 3 3 4" xfId="19086"/>
    <cellStyle name="Normal 57 3 2 3 2 3 4" xfId="2190"/>
    <cellStyle name="Normal 57 3 2 3 2 3 4 2" xfId="11555"/>
    <cellStyle name="Normal 57 3 2 3 2 3 4 3" xfId="21559"/>
    <cellStyle name="Normal 57 3 2 3 2 3 5" xfId="6460"/>
    <cellStyle name="Normal 57 3 2 3 2 3 5 2" xfId="15287"/>
    <cellStyle name="Normal 57 3 2 3 2 3 5 3" xfId="25538"/>
    <cellStyle name="Normal 57 3 2 3 2 3 6" xfId="7906"/>
    <cellStyle name="Normal 57 3 2 3 2 3 6 2" xfId="20750"/>
    <cellStyle name="Normal 57 3 2 3 2 3 7" xfId="16552"/>
    <cellStyle name="Normal 57 3 2 3 2 4" xfId="3081"/>
    <cellStyle name="Normal 57 3 2 3 2 4 2" xfId="5459"/>
    <cellStyle name="Normal 57 3 2 3 2 4 2 2" xfId="14296"/>
    <cellStyle name="Normal 57 3 2 3 2 4 2 2 2" xfId="24547"/>
    <cellStyle name="Normal 57 3 2 3 2 4 2 3" xfId="10717"/>
    <cellStyle name="Normal 57 3 2 3 2 4 2 4" xfId="19540"/>
    <cellStyle name="Normal 57 3 2 3 2 4 3" xfId="6914"/>
    <cellStyle name="Normal 57 3 2 3 2 4 3 2" xfId="15741"/>
    <cellStyle name="Normal 57 3 2 3 2 4 3 3" xfId="25992"/>
    <cellStyle name="Normal 57 3 2 3 2 4 4" xfId="8360"/>
    <cellStyle name="Normal 57 3 2 3 2 4 4 2" xfId="22442"/>
    <cellStyle name="Normal 57 3 2 3 2 4 5" xfId="17435"/>
    <cellStyle name="Normal 57 3 2 3 2 5" xfId="4415"/>
    <cellStyle name="Normal 57 3 2 3 2 5 2" xfId="13253"/>
    <cellStyle name="Normal 57 3 2 3 2 5 2 2" xfId="23504"/>
    <cellStyle name="Normal 57 3 2 3 2 5 3" xfId="9674"/>
    <cellStyle name="Normal 57 3 2 3 2 5 4" xfId="18497"/>
    <cellStyle name="Normal 57 3 2 3 2 6" xfId="1687"/>
    <cellStyle name="Normal 57 3 2 3 2 6 2" xfId="11064"/>
    <cellStyle name="Normal 57 3 2 3 2 6 3" xfId="21068"/>
    <cellStyle name="Normal 57 3 2 3 2 7" xfId="5871"/>
    <cellStyle name="Normal 57 3 2 3 2 7 2" xfId="14698"/>
    <cellStyle name="Normal 57 3 2 3 2 7 3" xfId="24949"/>
    <cellStyle name="Normal 57 3 2 3 2 8" xfId="7315"/>
    <cellStyle name="Normal 57 3 2 3 2 8 2" xfId="20041"/>
    <cellStyle name="Normal 57 3 2 3 2 9" xfId="16061"/>
    <cellStyle name="Normal 57 3 2 3 2_Degree data" xfId="3948"/>
    <cellStyle name="Normal 57 3 2 3 3" xfId="391"/>
    <cellStyle name="Normal 57 3 2 3 3 2" xfId="2877"/>
    <cellStyle name="Normal 57 3 2 3 3 2 2" xfId="12165"/>
    <cellStyle name="Normal 57 3 2 3 3 2 2 2" xfId="22238"/>
    <cellStyle name="Normal 57 3 2 3 3 2 3" xfId="8529"/>
    <cellStyle name="Normal 57 3 2 3 3 2 4" xfId="17231"/>
    <cellStyle name="Normal 57 3 2 3 3 3" xfId="4655"/>
    <cellStyle name="Normal 57 3 2 3 3 3 2" xfId="13493"/>
    <cellStyle name="Normal 57 3 2 3 3 3 2 2" xfId="23744"/>
    <cellStyle name="Normal 57 3 2 3 3 3 3" xfId="9914"/>
    <cellStyle name="Normal 57 3 2 3 3 3 4" xfId="18737"/>
    <cellStyle name="Normal 57 3 2 3 3 4" xfId="1986"/>
    <cellStyle name="Normal 57 3 2 3 3 4 2" xfId="11351"/>
    <cellStyle name="Normal 57 3 2 3 3 4 3" xfId="21355"/>
    <cellStyle name="Normal 57 3 2 3 3 5" xfId="6111"/>
    <cellStyle name="Normal 57 3 2 3 3 5 2" xfId="14938"/>
    <cellStyle name="Normal 57 3 2 3 3 5 3" xfId="25189"/>
    <cellStyle name="Normal 57 3 2 3 3 6" xfId="7556"/>
    <cellStyle name="Normal 57 3 2 3 3 6 2" xfId="19837"/>
    <cellStyle name="Normal 57 3 2 3 3 7" xfId="16348"/>
    <cellStyle name="Normal 57 3 2 3 4" xfId="841"/>
    <cellStyle name="Normal 57 3 2 3 4 2" xfId="3326"/>
    <cellStyle name="Normal 57 3 2 3 4 2 2" xfId="12468"/>
    <cellStyle name="Normal 57 3 2 3 4 2 2 2" xfId="22687"/>
    <cellStyle name="Normal 57 3 2 3 4 2 3" xfId="8890"/>
    <cellStyle name="Normal 57 3 2 3 4 2 4" xfId="17680"/>
    <cellStyle name="Normal 57 3 2 3 4 3" xfId="5004"/>
    <cellStyle name="Normal 57 3 2 3 4 3 2" xfId="13841"/>
    <cellStyle name="Normal 57 3 2 3 4 3 2 2" xfId="24092"/>
    <cellStyle name="Normal 57 3 2 3 4 3 3" xfId="10262"/>
    <cellStyle name="Normal 57 3 2 3 4 3 4" xfId="19085"/>
    <cellStyle name="Normal 57 3 2 3 4 4" xfId="2435"/>
    <cellStyle name="Normal 57 3 2 3 4 4 2" xfId="11800"/>
    <cellStyle name="Normal 57 3 2 3 4 4 3" xfId="21804"/>
    <cellStyle name="Normal 57 3 2 3 4 5" xfId="6459"/>
    <cellStyle name="Normal 57 3 2 3 4 5 2" xfId="15286"/>
    <cellStyle name="Normal 57 3 2 3 4 5 3" xfId="25537"/>
    <cellStyle name="Normal 57 3 2 3 4 6" xfId="7905"/>
    <cellStyle name="Normal 57 3 2 3 4 6 2" xfId="20286"/>
    <cellStyle name="Normal 57 3 2 3 4 7" xfId="16797"/>
    <cellStyle name="Normal 57 3 2 3 5" xfId="1163"/>
    <cellStyle name="Normal 57 3 2 3 5 2" xfId="3592"/>
    <cellStyle name="Normal 57 3 2 3 5 2 2" xfId="12728"/>
    <cellStyle name="Normal 57 3 2 3 5 2 2 2" xfId="22947"/>
    <cellStyle name="Normal 57 3 2 3 5 2 3" xfId="9149"/>
    <cellStyle name="Normal 57 3 2 3 5 2 4" xfId="17940"/>
    <cellStyle name="Normal 57 3 2 3 5 3" xfId="5255"/>
    <cellStyle name="Normal 57 3 2 3 5 3 2" xfId="14092"/>
    <cellStyle name="Normal 57 3 2 3 5 3 2 2" xfId="24343"/>
    <cellStyle name="Normal 57 3 2 3 5 3 3" xfId="10513"/>
    <cellStyle name="Normal 57 3 2 3 5 3 4" xfId="19336"/>
    <cellStyle name="Normal 57 3 2 3 5 4" xfId="1870"/>
    <cellStyle name="Normal 57 3 2 3 5 4 2" xfId="11238"/>
    <cellStyle name="Normal 57 3 2 3 5 4 3" xfId="21242"/>
    <cellStyle name="Normal 57 3 2 3 5 5" xfId="6710"/>
    <cellStyle name="Normal 57 3 2 3 5 5 2" xfId="15537"/>
    <cellStyle name="Normal 57 3 2 3 5 5 3" xfId="25788"/>
    <cellStyle name="Normal 57 3 2 3 5 6" xfId="8156"/>
    <cellStyle name="Normal 57 3 2 3 5 6 2" xfId="20546"/>
    <cellStyle name="Normal 57 3 2 3 5 7" xfId="16235"/>
    <cellStyle name="Normal 57 3 2 3 6" xfId="2764"/>
    <cellStyle name="Normal 57 3 2 3 6 2" xfId="12081"/>
    <cellStyle name="Normal 57 3 2 3 6 2 2" xfId="22125"/>
    <cellStyle name="Normal 57 3 2 3 6 3" xfId="8617"/>
    <cellStyle name="Normal 57 3 2 3 6 4" xfId="17118"/>
    <cellStyle name="Normal 57 3 2 3 7" xfId="4211"/>
    <cellStyle name="Normal 57 3 2 3 7 2" xfId="13049"/>
    <cellStyle name="Normal 57 3 2 3 7 2 2" xfId="23300"/>
    <cellStyle name="Normal 57 3 2 3 7 3" xfId="9470"/>
    <cellStyle name="Normal 57 3 2 3 7 4" xfId="18293"/>
    <cellStyle name="Normal 57 3 2 3 8" xfId="1483"/>
    <cellStyle name="Normal 57 3 2 3 8 2" xfId="10860"/>
    <cellStyle name="Normal 57 3 2 3 8 3" xfId="20864"/>
    <cellStyle name="Normal 57 3 2 3 9" xfId="5667"/>
    <cellStyle name="Normal 57 3 2 3 9 2" xfId="14494"/>
    <cellStyle name="Normal 57 3 2 3 9 3" xfId="24745"/>
    <cellStyle name="Normal 57 3 2 3_Degree data" xfId="3947"/>
    <cellStyle name="Normal 57 3 2 4" xfId="491"/>
    <cellStyle name="Normal 57 3 2 4 2" xfId="843"/>
    <cellStyle name="Normal 57 3 2 4 2 2" xfId="3328"/>
    <cellStyle name="Normal 57 3 2 4 2 2 2" xfId="12470"/>
    <cellStyle name="Normal 57 3 2 4 2 2 2 2" xfId="22689"/>
    <cellStyle name="Normal 57 3 2 4 2 2 3" xfId="8892"/>
    <cellStyle name="Normal 57 3 2 4 2 2 4" xfId="17682"/>
    <cellStyle name="Normal 57 3 2 4 2 3" xfId="4657"/>
    <cellStyle name="Normal 57 3 2 4 2 3 2" xfId="13495"/>
    <cellStyle name="Normal 57 3 2 4 2 3 2 2" xfId="23746"/>
    <cellStyle name="Normal 57 3 2 4 2 3 3" xfId="9916"/>
    <cellStyle name="Normal 57 3 2 4 2 3 4" xfId="18739"/>
    <cellStyle name="Normal 57 3 2 4 2 4" xfId="2437"/>
    <cellStyle name="Normal 57 3 2 4 2 4 2" xfId="11802"/>
    <cellStyle name="Normal 57 3 2 4 2 4 3" xfId="21806"/>
    <cellStyle name="Normal 57 3 2 4 2 5" xfId="6113"/>
    <cellStyle name="Normal 57 3 2 4 2 5 2" xfId="14940"/>
    <cellStyle name="Normal 57 3 2 4 2 5 3" xfId="25191"/>
    <cellStyle name="Normal 57 3 2 4 2 6" xfId="7558"/>
    <cellStyle name="Normal 57 3 2 4 2 6 2" xfId="20288"/>
    <cellStyle name="Normal 57 3 2 4 2 7" xfId="16799"/>
    <cellStyle name="Normal 57 3 2 4 3" xfId="1263"/>
    <cellStyle name="Normal 57 3 2 4 3 2" xfId="3692"/>
    <cellStyle name="Normal 57 3 2 4 3 2 2" xfId="12828"/>
    <cellStyle name="Normal 57 3 2 4 3 2 2 2" xfId="23047"/>
    <cellStyle name="Normal 57 3 2 4 3 2 3" xfId="9249"/>
    <cellStyle name="Normal 57 3 2 4 3 2 4" xfId="18040"/>
    <cellStyle name="Normal 57 3 2 4 3 3" xfId="5006"/>
    <cellStyle name="Normal 57 3 2 4 3 3 2" xfId="13843"/>
    <cellStyle name="Normal 57 3 2 4 3 3 2 2" xfId="24094"/>
    <cellStyle name="Normal 57 3 2 4 3 3 3" xfId="10264"/>
    <cellStyle name="Normal 57 3 2 4 3 3 4" xfId="19087"/>
    <cellStyle name="Normal 57 3 2 4 3 4" xfId="2086"/>
    <cellStyle name="Normal 57 3 2 4 3 4 2" xfId="11451"/>
    <cellStyle name="Normal 57 3 2 4 3 4 3" xfId="21455"/>
    <cellStyle name="Normal 57 3 2 4 3 5" xfId="6461"/>
    <cellStyle name="Normal 57 3 2 4 3 5 2" xfId="15288"/>
    <cellStyle name="Normal 57 3 2 4 3 5 3" xfId="25539"/>
    <cellStyle name="Normal 57 3 2 4 3 6" xfId="7907"/>
    <cellStyle name="Normal 57 3 2 4 3 6 2" xfId="20646"/>
    <cellStyle name="Normal 57 3 2 4 3 7" xfId="16448"/>
    <cellStyle name="Normal 57 3 2 4 4" xfId="2977"/>
    <cellStyle name="Normal 57 3 2 4 4 2" xfId="5355"/>
    <cellStyle name="Normal 57 3 2 4 4 2 2" xfId="14192"/>
    <cellStyle name="Normal 57 3 2 4 4 2 2 2" xfId="24443"/>
    <cellStyle name="Normal 57 3 2 4 4 2 3" xfId="10613"/>
    <cellStyle name="Normal 57 3 2 4 4 2 4" xfId="19436"/>
    <cellStyle name="Normal 57 3 2 4 4 3" xfId="6810"/>
    <cellStyle name="Normal 57 3 2 4 4 3 2" xfId="15637"/>
    <cellStyle name="Normal 57 3 2 4 4 3 3" xfId="25888"/>
    <cellStyle name="Normal 57 3 2 4 4 4" xfId="8256"/>
    <cellStyle name="Normal 57 3 2 4 4 4 2" xfId="22338"/>
    <cellStyle name="Normal 57 3 2 4 4 5" xfId="17331"/>
    <cellStyle name="Normal 57 3 2 4 5" xfId="4311"/>
    <cellStyle name="Normal 57 3 2 4 5 2" xfId="13149"/>
    <cellStyle name="Normal 57 3 2 4 5 2 2" xfId="23400"/>
    <cellStyle name="Normal 57 3 2 4 5 3" xfId="9570"/>
    <cellStyle name="Normal 57 3 2 4 5 4" xfId="18393"/>
    <cellStyle name="Normal 57 3 2 4 6" xfId="1583"/>
    <cellStyle name="Normal 57 3 2 4 6 2" xfId="10960"/>
    <cellStyle name="Normal 57 3 2 4 6 3" xfId="20964"/>
    <cellStyle name="Normal 57 3 2 4 7" xfId="5767"/>
    <cellStyle name="Normal 57 3 2 4 7 2" xfId="14594"/>
    <cellStyle name="Normal 57 3 2 4 7 3" xfId="24845"/>
    <cellStyle name="Normal 57 3 2 4 8" xfId="7211"/>
    <cellStyle name="Normal 57 3 2 4 8 2" xfId="19937"/>
    <cellStyle name="Normal 57 3 2 4 9" xfId="15957"/>
    <cellStyle name="Normal 57 3 2 4_Degree data" xfId="3949"/>
    <cellStyle name="Normal 57 3 2 5" xfId="334"/>
    <cellStyle name="Normal 57 3 2 5 2" xfId="844"/>
    <cellStyle name="Normal 57 3 2 5 2 2" xfId="3329"/>
    <cellStyle name="Normal 57 3 2 5 2 2 2" xfId="12471"/>
    <cellStyle name="Normal 57 3 2 5 2 2 2 2" xfId="22690"/>
    <cellStyle name="Normal 57 3 2 5 2 2 3" xfId="8893"/>
    <cellStyle name="Normal 57 3 2 5 2 2 4" xfId="17683"/>
    <cellStyle name="Normal 57 3 2 5 2 3" xfId="4658"/>
    <cellStyle name="Normal 57 3 2 5 2 3 2" xfId="13496"/>
    <cellStyle name="Normal 57 3 2 5 2 3 2 2" xfId="23747"/>
    <cellStyle name="Normal 57 3 2 5 2 3 3" xfId="9917"/>
    <cellStyle name="Normal 57 3 2 5 2 3 4" xfId="18740"/>
    <cellStyle name="Normal 57 3 2 5 2 4" xfId="2438"/>
    <cellStyle name="Normal 57 3 2 5 2 4 2" xfId="11803"/>
    <cellStyle name="Normal 57 3 2 5 2 4 3" xfId="21807"/>
    <cellStyle name="Normal 57 3 2 5 2 5" xfId="6114"/>
    <cellStyle name="Normal 57 3 2 5 2 5 2" xfId="14941"/>
    <cellStyle name="Normal 57 3 2 5 2 5 3" xfId="25192"/>
    <cellStyle name="Normal 57 3 2 5 2 6" xfId="7559"/>
    <cellStyle name="Normal 57 3 2 5 2 6 2" xfId="20289"/>
    <cellStyle name="Normal 57 3 2 5 2 7" xfId="16800"/>
    <cellStyle name="Normal 57 3 2 5 3" xfId="1106"/>
    <cellStyle name="Normal 57 3 2 5 3 2" xfId="3535"/>
    <cellStyle name="Normal 57 3 2 5 3 2 2" xfId="12671"/>
    <cellStyle name="Normal 57 3 2 5 3 2 2 2" xfId="22890"/>
    <cellStyle name="Normal 57 3 2 5 3 2 3" xfId="9092"/>
    <cellStyle name="Normal 57 3 2 5 3 2 4" xfId="17883"/>
    <cellStyle name="Normal 57 3 2 5 3 3" xfId="5007"/>
    <cellStyle name="Normal 57 3 2 5 3 3 2" xfId="13844"/>
    <cellStyle name="Normal 57 3 2 5 3 3 2 2" xfId="24095"/>
    <cellStyle name="Normal 57 3 2 5 3 3 3" xfId="10265"/>
    <cellStyle name="Normal 57 3 2 5 3 3 4" xfId="19088"/>
    <cellStyle name="Normal 57 3 2 5 3 4" xfId="2598"/>
    <cellStyle name="Normal 57 3 2 5 3 4 2" xfId="11962"/>
    <cellStyle name="Normal 57 3 2 5 3 4 3" xfId="21966"/>
    <cellStyle name="Normal 57 3 2 5 3 5" xfId="6462"/>
    <cellStyle name="Normal 57 3 2 5 3 5 2" xfId="15289"/>
    <cellStyle name="Normal 57 3 2 5 3 5 3" xfId="25540"/>
    <cellStyle name="Normal 57 3 2 5 3 6" xfId="7908"/>
    <cellStyle name="Normal 57 3 2 5 3 6 2" xfId="20489"/>
    <cellStyle name="Normal 57 3 2 5 3 7" xfId="16959"/>
    <cellStyle name="Normal 57 3 2 5 4" xfId="2820"/>
    <cellStyle name="Normal 57 3 2 5 4 2" xfId="5198"/>
    <cellStyle name="Normal 57 3 2 5 4 2 2" xfId="14035"/>
    <cellStyle name="Normal 57 3 2 5 4 2 2 2" xfId="24286"/>
    <cellStyle name="Normal 57 3 2 5 4 2 3" xfId="10456"/>
    <cellStyle name="Normal 57 3 2 5 4 2 4" xfId="19279"/>
    <cellStyle name="Normal 57 3 2 5 4 3" xfId="6653"/>
    <cellStyle name="Normal 57 3 2 5 4 3 2" xfId="15480"/>
    <cellStyle name="Normal 57 3 2 5 4 3 3" xfId="25731"/>
    <cellStyle name="Normal 57 3 2 5 4 4" xfId="8099"/>
    <cellStyle name="Normal 57 3 2 5 4 4 2" xfId="22181"/>
    <cellStyle name="Normal 57 3 2 5 4 5" xfId="17174"/>
    <cellStyle name="Normal 57 3 2 5 5" xfId="4152"/>
    <cellStyle name="Normal 57 3 2 5 5 2" xfId="12990"/>
    <cellStyle name="Normal 57 3 2 5 5 2 2" xfId="23241"/>
    <cellStyle name="Normal 57 3 2 5 5 3" xfId="9411"/>
    <cellStyle name="Normal 57 3 2 5 5 4" xfId="18234"/>
    <cellStyle name="Normal 57 3 2 5 6" xfId="1929"/>
    <cellStyle name="Normal 57 3 2 5 6 2" xfId="11294"/>
    <cellStyle name="Normal 57 3 2 5 6 3" xfId="21298"/>
    <cellStyle name="Normal 57 3 2 5 7" xfId="5610"/>
    <cellStyle name="Normal 57 3 2 5 7 2" xfId="14437"/>
    <cellStyle name="Normal 57 3 2 5 7 3" xfId="24688"/>
    <cellStyle name="Normal 57 3 2 5 8" xfId="7054"/>
    <cellStyle name="Normal 57 3 2 5 8 2" xfId="19780"/>
    <cellStyle name="Normal 57 3 2 5 9" xfId="16291"/>
    <cellStyle name="Normal 57 3 2 5_Degree data" xfId="3950"/>
    <cellStyle name="Normal 57 3 2 6" xfId="838"/>
    <cellStyle name="Normal 57 3 2 6 2" xfId="3323"/>
    <cellStyle name="Normal 57 3 2 6 2 2" xfId="12465"/>
    <cellStyle name="Normal 57 3 2 6 2 2 2" xfId="22684"/>
    <cellStyle name="Normal 57 3 2 6 2 3" xfId="8887"/>
    <cellStyle name="Normal 57 3 2 6 2 4" xfId="17677"/>
    <cellStyle name="Normal 57 3 2 6 3" xfId="4652"/>
    <cellStyle name="Normal 57 3 2 6 3 2" xfId="13490"/>
    <cellStyle name="Normal 57 3 2 6 3 2 2" xfId="23741"/>
    <cellStyle name="Normal 57 3 2 6 3 3" xfId="9911"/>
    <cellStyle name="Normal 57 3 2 6 3 4" xfId="18734"/>
    <cellStyle name="Normal 57 3 2 6 4" xfId="2432"/>
    <cellStyle name="Normal 57 3 2 6 4 2" xfId="11797"/>
    <cellStyle name="Normal 57 3 2 6 4 3" xfId="21801"/>
    <cellStyle name="Normal 57 3 2 6 5" xfId="6108"/>
    <cellStyle name="Normal 57 3 2 6 5 2" xfId="14935"/>
    <cellStyle name="Normal 57 3 2 6 5 3" xfId="25186"/>
    <cellStyle name="Normal 57 3 2 6 6" xfId="7553"/>
    <cellStyle name="Normal 57 3 2 6 6 2" xfId="20283"/>
    <cellStyle name="Normal 57 3 2 6 7" xfId="16794"/>
    <cellStyle name="Normal 57 3 2 7" xfId="1061"/>
    <cellStyle name="Normal 57 3 2 7 2" xfId="3490"/>
    <cellStyle name="Normal 57 3 2 7 2 2" xfId="12626"/>
    <cellStyle name="Normal 57 3 2 7 2 2 2" xfId="22845"/>
    <cellStyle name="Normal 57 3 2 7 2 3" xfId="9048"/>
    <cellStyle name="Normal 57 3 2 7 2 4" xfId="17838"/>
    <cellStyle name="Normal 57 3 2 7 3" xfId="5001"/>
    <cellStyle name="Normal 57 3 2 7 3 2" xfId="13838"/>
    <cellStyle name="Normal 57 3 2 7 3 2 2" xfId="24089"/>
    <cellStyle name="Normal 57 3 2 7 3 3" xfId="10259"/>
    <cellStyle name="Normal 57 3 2 7 3 4" xfId="19082"/>
    <cellStyle name="Normal 57 3 2 7 4" xfId="1763"/>
    <cellStyle name="Normal 57 3 2 7 4 2" xfId="11134"/>
    <cellStyle name="Normal 57 3 2 7 4 3" xfId="21138"/>
    <cellStyle name="Normal 57 3 2 7 5" xfId="6456"/>
    <cellStyle name="Normal 57 3 2 7 5 2" xfId="15283"/>
    <cellStyle name="Normal 57 3 2 7 5 3" xfId="25534"/>
    <cellStyle name="Normal 57 3 2 7 6" xfId="7902"/>
    <cellStyle name="Normal 57 3 2 7 6 2" xfId="20444"/>
    <cellStyle name="Normal 57 3 2 7 7" xfId="16131"/>
    <cellStyle name="Normal 57 3 2 8" xfId="2660"/>
    <cellStyle name="Normal 57 3 2 8 2" xfId="5153"/>
    <cellStyle name="Normal 57 3 2 8 2 2" xfId="13990"/>
    <cellStyle name="Normal 57 3 2 8 2 2 2" xfId="24241"/>
    <cellStyle name="Normal 57 3 2 8 2 3" xfId="10411"/>
    <cellStyle name="Normal 57 3 2 8 2 4" xfId="19234"/>
    <cellStyle name="Normal 57 3 2 8 3" xfId="6608"/>
    <cellStyle name="Normal 57 3 2 8 3 2" xfId="15435"/>
    <cellStyle name="Normal 57 3 2 8 3 3" xfId="25686"/>
    <cellStyle name="Normal 57 3 2 8 4" xfId="8054"/>
    <cellStyle name="Normal 57 3 2 8 4 2" xfId="22021"/>
    <cellStyle name="Normal 57 3 2 8 5" xfId="17014"/>
    <cellStyle name="Normal 57 3 2 9" xfId="4107"/>
    <cellStyle name="Normal 57 3 2 9 2" xfId="5565"/>
    <cellStyle name="Normal 57 3 2 9 2 2" xfId="14392"/>
    <cellStyle name="Normal 57 3 2 9 2 3" xfId="24643"/>
    <cellStyle name="Normal 57 3 2 9 3" xfId="7009"/>
    <cellStyle name="Normal 57 3 2 9 3 2" xfId="23196"/>
    <cellStyle name="Normal 57 3 2 9 4" xfId="18189"/>
    <cellStyle name="Normal 57 3 2_Degree data" xfId="3944"/>
    <cellStyle name="Normal 57 3 3" xfId="144"/>
    <cellStyle name="Normal 57 3 3 10" xfId="1412"/>
    <cellStyle name="Normal 57 3 3 10 2" xfId="10789"/>
    <cellStyle name="Normal 57 3 3 10 3" xfId="20793"/>
    <cellStyle name="Normal 57 3 3 11" xfId="5523"/>
    <cellStyle name="Normal 57 3 3 11 2" xfId="14350"/>
    <cellStyle name="Normal 57 3 3 11 3" xfId="24601"/>
    <cellStyle name="Normal 57 3 3 12" xfId="6963"/>
    <cellStyle name="Normal 57 3 3 12 2" xfId="19608"/>
    <cellStyle name="Normal 57 3 3 13" xfId="15786"/>
    <cellStyle name="Normal 57 3 3 2" xfId="194"/>
    <cellStyle name="Normal 57 3 3 2 10" xfId="7142"/>
    <cellStyle name="Normal 57 3 3 2 10 2" xfId="19651"/>
    <cellStyle name="Normal 57 3 3 2 11" xfId="15888"/>
    <cellStyle name="Normal 57 3 3 2 2" xfId="522"/>
    <cellStyle name="Normal 57 3 3 2 2 2" xfId="847"/>
    <cellStyle name="Normal 57 3 3 2 2 2 2" xfId="3332"/>
    <cellStyle name="Normal 57 3 3 2 2 2 2 2" xfId="12474"/>
    <cellStyle name="Normal 57 3 3 2 2 2 2 2 2" xfId="22693"/>
    <cellStyle name="Normal 57 3 3 2 2 2 2 3" xfId="8896"/>
    <cellStyle name="Normal 57 3 3 2 2 2 2 4" xfId="17686"/>
    <cellStyle name="Normal 57 3 3 2 2 2 3" xfId="4661"/>
    <cellStyle name="Normal 57 3 3 2 2 2 3 2" xfId="13499"/>
    <cellStyle name="Normal 57 3 3 2 2 2 3 2 2" xfId="23750"/>
    <cellStyle name="Normal 57 3 3 2 2 2 3 3" xfId="9920"/>
    <cellStyle name="Normal 57 3 3 2 2 2 3 4" xfId="18743"/>
    <cellStyle name="Normal 57 3 3 2 2 2 4" xfId="2441"/>
    <cellStyle name="Normal 57 3 3 2 2 2 4 2" xfId="11806"/>
    <cellStyle name="Normal 57 3 3 2 2 2 4 3" xfId="21810"/>
    <cellStyle name="Normal 57 3 3 2 2 2 5" xfId="6117"/>
    <cellStyle name="Normal 57 3 3 2 2 2 5 2" xfId="14944"/>
    <cellStyle name="Normal 57 3 3 2 2 2 5 3" xfId="25195"/>
    <cellStyle name="Normal 57 3 3 2 2 2 6" xfId="7562"/>
    <cellStyle name="Normal 57 3 3 2 2 2 6 2" xfId="20292"/>
    <cellStyle name="Normal 57 3 3 2 2 2 7" xfId="16803"/>
    <cellStyle name="Normal 57 3 3 2 2 3" xfId="1294"/>
    <cellStyle name="Normal 57 3 3 2 2 3 2" xfId="3723"/>
    <cellStyle name="Normal 57 3 3 2 2 3 2 2" xfId="12859"/>
    <cellStyle name="Normal 57 3 3 2 2 3 2 2 2" xfId="23078"/>
    <cellStyle name="Normal 57 3 3 2 2 3 2 3" xfId="9280"/>
    <cellStyle name="Normal 57 3 3 2 2 3 2 4" xfId="18071"/>
    <cellStyle name="Normal 57 3 3 2 2 3 3" xfId="5010"/>
    <cellStyle name="Normal 57 3 3 2 2 3 3 2" xfId="13847"/>
    <cellStyle name="Normal 57 3 3 2 2 3 3 2 2" xfId="24098"/>
    <cellStyle name="Normal 57 3 3 2 2 3 3 3" xfId="10268"/>
    <cellStyle name="Normal 57 3 3 2 2 3 3 4" xfId="19091"/>
    <cellStyle name="Normal 57 3 3 2 2 3 4" xfId="2117"/>
    <cellStyle name="Normal 57 3 3 2 2 3 4 2" xfId="11482"/>
    <cellStyle name="Normal 57 3 3 2 2 3 4 3" xfId="21486"/>
    <cellStyle name="Normal 57 3 3 2 2 3 5" xfId="6465"/>
    <cellStyle name="Normal 57 3 3 2 2 3 5 2" xfId="15292"/>
    <cellStyle name="Normal 57 3 3 2 2 3 5 3" xfId="25543"/>
    <cellStyle name="Normal 57 3 3 2 2 3 6" xfId="7911"/>
    <cellStyle name="Normal 57 3 3 2 2 3 6 2" xfId="20677"/>
    <cellStyle name="Normal 57 3 3 2 2 3 7" xfId="16479"/>
    <cellStyle name="Normal 57 3 3 2 2 4" xfId="3008"/>
    <cellStyle name="Normal 57 3 3 2 2 4 2" xfId="5386"/>
    <cellStyle name="Normal 57 3 3 2 2 4 2 2" xfId="14223"/>
    <cellStyle name="Normal 57 3 3 2 2 4 2 2 2" xfId="24474"/>
    <cellStyle name="Normal 57 3 3 2 2 4 2 3" xfId="10644"/>
    <cellStyle name="Normal 57 3 3 2 2 4 2 4" xfId="19467"/>
    <cellStyle name="Normal 57 3 3 2 2 4 3" xfId="6841"/>
    <cellStyle name="Normal 57 3 3 2 2 4 3 2" xfId="15668"/>
    <cellStyle name="Normal 57 3 3 2 2 4 3 3" xfId="25919"/>
    <cellStyle name="Normal 57 3 3 2 2 4 4" xfId="8287"/>
    <cellStyle name="Normal 57 3 3 2 2 4 4 2" xfId="22369"/>
    <cellStyle name="Normal 57 3 3 2 2 4 5" xfId="17362"/>
    <cellStyle name="Normal 57 3 3 2 2 5" xfId="4342"/>
    <cellStyle name="Normal 57 3 3 2 2 5 2" xfId="13180"/>
    <cellStyle name="Normal 57 3 3 2 2 5 2 2" xfId="23431"/>
    <cellStyle name="Normal 57 3 3 2 2 5 3" xfId="9601"/>
    <cellStyle name="Normal 57 3 3 2 2 5 4" xfId="18424"/>
    <cellStyle name="Normal 57 3 3 2 2 6" xfId="1614"/>
    <cellStyle name="Normal 57 3 3 2 2 6 2" xfId="10991"/>
    <cellStyle name="Normal 57 3 3 2 2 6 3" xfId="20995"/>
    <cellStyle name="Normal 57 3 3 2 2 7" xfId="5798"/>
    <cellStyle name="Normal 57 3 3 2 2 7 2" xfId="14625"/>
    <cellStyle name="Normal 57 3 3 2 2 7 3" xfId="24876"/>
    <cellStyle name="Normal 57 3 3 2 2 8" xfId="7242"/>
    <cellStyle name="Normal 57 3 3 2 2 8 2" xfId="19968"/>
    <cellStyle name="Normal 57 3 3 2 2 9" xfId="15988"/>
    <cellStyle name="Normal 57 3 3 2 2_Degree data" xfId="3953"/>
    <cellStyle name="Normal 57 3 3 2 3" xfId="422"/>
    <cellStyle name="Normal 57 3 3 2 3 2" xfId="2908"/>
    <cellStyle name="Normal 57 3 3 2 3 2 2" xfId="12196"/>
    <cellStyle name="Normal 57 3 3 2 3 2 2 2" xfId="22269"/>
    <cellStyle name="Normal 57 3 3 2 3 2 3" xfId="8519"/>
    <cellStyle name="Normal 57 3 3 2 3 2 4" xfId="17262"/>
    <cellStyle name="Normal 57 3 3 2 3 3" xfId="4660"/>
    <cellStyle name="Normal 57 3 3 2 3 3 2" xfId="13498"/>
    <cellStyle name="Normal 57 3 3 2 3 3 2 2" xfId="23749"/>
    <cellStyle name="Normal 57 3 3 2 3 3 3" xfId="9919"/>
    <cellStyle name="Normal 57 3 3 2 3 3 4" xfId="18742"/>
    <cellStyle name="Normal 57 3 3 2 3 4" xfId="2017"/>
    <cellStyle name="Normal 57 3 3 2 3 4 2" xfId="11382"/>
    <cellStyle name="Normal 57 3 3 2 3 4 3" xfId="21386"/>
    <cellStyle name="Normal 57 3 3 2 3 5" xfId="6116"/>
    <cellStyle name="Normal 57 3 3 2 3 5 2" xfId="14943"/>
    <cellStyle name="Normal 57 3 3 2 3 5 3" xfId="25194"/>
    <cellStyle name="Normal 57 3 3 2 3 6" xfId="7561"/>
    <cellStyle name="Normal 57 3 3 2 3 6 2" xfId="19868"/>
    <cellStyle name="Normal 57 3 3 2 3 7" xfId="16379"/>
    <cellStyle name="Normal 57 3 3 2 4" xfId="846"/>
    <cellStyle name="Normal 57 3 3 2 4 2" xfId="3331"/>
    <cellStyle name="Normal 57 3 3 2 4 2 2" xfId="12473"/>
    <cellStyle name="Normal 57 3 3 2 4 2 2 2" xfId="22692"/>
    <cellStyle name="Normal 57 3 3 2 4 2 3" xfId="8895"/>
    <cellStyle name="Normal 57 3 3 2 4 2 4" xfId="17685"/>
    <cellStyle name="Normal 57 3 3 2 4 3" xfId="5009"/>
    <cellStyle name="Normal 57 3 3 2 4 3 2" xfId="13846"/>
    <cellStyle name="Normal 57 3 3 2 4 3 2 2" xfId="24097"/>
    <cellStyle name="Normal 57 3 3 2 4 3 3" xfId="10267"/>
    <cellStyle name="Normal 57 3 3 2 4 3 4" xfId="19090"/>
    <cellStyle name="Normal 57 3 3 2 4 4" xfId="2440"/>
    <cellStyle name="Normal 57 3 3 2 4 4 2" xfId="11805"/>
    <cellStyle name="Normal 57 3 3 2 4 4 3" xfId="21809"/>
    <cellStyle name="Normal 57 3 3 2 4 5" xfId="6464"/>
    <cellStyle name="Normal 57 3 3 2 4 5 2" xfId="15291"/>
    <cellStyle name="Normal 57 3 3 2 4 5 3" xfId="25542"/>
    <cellStyle name="Normal 57 3 3 2 4 6" xfId="7910"/>
    <cellStyle name="Normal 57 3 3 2 4 6 2" xfId="20291"/>
    <cellStyle name="Normal 57 3 3 2 4 7" xfId="16802"/>
    <cellStyle name="Normal 57 3 3 2 5" xfId="1194"/>
    <cellStyle name="Normal 57 3 3 2 5 2" xfId="3623"/>
    <cellStyle name="Normal 57 3 3 2 5 2 2" xfId="12759"/>
    <cellStyle name="Normal 57 3 3 2 5 2 2 2" xfId="22978"/>
    <cellStyle name="Normal 57 3 3 2 5 2 3" xfId="9180"/>
    <cellStyle name="Normal 57 3 3 2 5 2 4" xfId="17971"/>
    <cellStyle name="Normal 57 3 3 2 5 3" xfId="5286"/>
    <cellStyle name="Normal 57 3 3 2 5 3 2" xfId="14123"/>
    <cellStyle name="Normal 57 3 3 2 5 3 2 2" xfId="24374"/>
    <cellStyle name="Normal 57 3 3 2 5 3 3" xfId="10544"/>
    <cellStyle name="Normal 57 3 3 2 5 3 4" xfId="19367"/>
    <cellStyle name="Normal 57 3 3 2 5 4" xfId="1796"/>
    <cellStyle name="Normal 57 3 3 2 5 4 2" xfId="11165"/>
    <cellStyle name="Normal 57 3 3 2 5 4 3" xfId="21169"/>
    <cellStyle name="Normal 57 3 3 2 5 5" xfId="6741"/>
    <cellStyle name="Normal 57 3 3 2 5 5 2" xfId="15568"/>
    <cellStyle name="Normal 57 3 3 2 5 5 3" xfId="25819"/>
    <cellStyle name="Normal 57 3 3 2 5 6" xfId="8187"/>
    <cellStyle name="Normal 57 3 3 2 5 6 2" xfId="20577"/>
    <cellStyle name="Normal 57 3 3 2 5 7" xfId="16162"/>
    <cellStyle name="Normal 57 3 3 2 6" xfId="2691"/>
    <cellStyle name="Normal 57 3 3 2 6 2" xfId="12008"/>
    <cellStyle name="Normal 57 3 3 2 6 2 2" xfId="22052"/>
    <cellStyle name="Normal 57 3 3 2 6 3" xfId="8607"/>
    <cellStyle name="Normal 57 3 3 2 6 4" xfId="17045"/>
    <cellStyle name="Normal 57 3 3 2 7" xfId="4242"/>
    <cellStyle name="Normal 57 3 3 2 7 2" xfId="13080"/>
    <cellStyle name="Normal 57 3 3 2 7 2 2" xfId="23331"/>
    <cellStyle name="Normal 57 3 3 2 7 3" xfId="9501"/>
    <cellStyle name="Normal 57 3 3 2 7 4" xfId="18324"/>
    <cellStyle name="Normal 57 3 3 2 8" xfId="1514"/>
    <cellStyle name="Normal 57 3 3 2 8 2" xfId="10891"/>
    <cellStyle name="Normal 57 3 3 2 8 3" xfId="20895"/>
    <cellStyle name="Normal 57 3 3 2 9" xfId="5698"/>
    <cellStyle name="Normal 57 3 3 2 9 2" xfId="14525"/>
    <cellStyle name="Normal 57 3 3 2 9 3" xfId="24776"/>
    <cellStyle name="Normal 57 3 3 2_Degree data" xfId="3952"/>
    <cellStyle name="Normal 57 3 3 3" xfId="261"/>
    <cellStyle name="Normal 57 3 3 3 10" xfId="7099"/>
    <cellStyle name="Normal 57 3 3 3 10 2" xfId="19713"/>
    <cellStyle name="Normal 57 3 3 3 11" xfId="15845"/>
    <cellStyle name="Normal 57 3 3 3 2" xfId="584"/>
    <cellStyle name="Normal 57 3 3 3 2 2" xfId="849"/>
    <cellStyle name="Normal 57 3 3 3 2 2 2" xfId="3334"/>
    <cellStyle name="Normal 57 3 3 3 2 2 2 2" xfId="12476"/>
    <cellStyle name="Normal 57 3 3 3 2 2 2 2 2" xfId="22695"/>
    <cellStyle name="Normal 57 3 3 3 2 2 2 3" xfId="8898"/>
    <cellStyle name="Normal 57 3 3 3 2 2 2 4" xfId="17688"/>
    <cellStyle name="Normal 57 3 3 3 2 2 3" xfId="4663"/>
    <cellStyle name="Normal 57 3 3 3 2 2 3 2" xfId="13501"/>
    <cellStyle name="Normal 57 3 3 3 2 2 3 2 2" xfId="23752"/>
    <cellStyle name="Normal 57 3 3 3 2 2 3 3" xfId="9922"/>
    <cellStyle name="Normal 57 3 3 3 2 2 3 4" xfId="18745"/>
    <cellStyle name="Normal 57 3 3 3 2 2 4" xfId="2443"/>
    <cellStyle name="Normal 57 3 3 3 2 2 4 2" xfId="11808"/>
    <cellStyle name="Normal 57 3 3 3 2 2 4 3" xfId="21812"/>
    <cellStyle name="Normal 57 3 3 3 2 2 5" xfId="6119"/>
    <cellStyle name="Normal 57 3 3 3 2 2 5 2" xfId="14946"/>
    <cellStyle name="Normal 57 3 3 3 2 2 5 3" xfId="25197"/>
    <cellStyle name="Normal 57 3 3 3 2 2 6" xfId="7564"/>
    <cellStyle name="Normal 57 3 3 3 2 2 6 2" xfId="20294"/>
    <cellStyle name="Normal 57 3 3 3 2 2 7" xfId="16805"/>
    <cellStyle name="Normal 57 3 3 3 2 3" xfId="1356"/>
    <cellStyle name="Normal 57 3 3 3 2 3 2" xfId="3785"/>
    <cellStyle name="Normal 57 3 3 3 2 3 2 2" xfId="12921"/>
    <cellStyle name="Normal 57 3 3 3 2 3 2 2 2" xfId="23140"/>
    <cellStyle name="Normal 57 3 3 3 2 3 2 3" xfId="9342"/>
    <cellStyle name="Normal 57 3 3 3 2 3 2 4" xfId="18133"/>
    <cellStyle name="Normal 57 3 3 3 2 3 3" xfId="5012"/>
    <cellStyle name="Normal 57 3 3 3 2 3 3 2" xfId="13849"/>
    <cellStyle name="Normal 57 3 3 3 2 3 3 2 2" xfId="24100"/>
    <cellStyle name="Normal 57 3 3 3 2 3 3 3" xfId="10270"/>
    <cellStyle name="Normal 57 3 3 3 2 3 3 4" xfId="19093"/>
    <cellStyle name="Normal 57 3 3 3 2 3 4" xfId="2179"/>
    <cellStyle name="Normal 57 3 3 3 2 3 4 2" xfId="11544"/>
    <cellStyle name="Normal 57 3 3 3 2 3 4 3" xfId="21548"/>
    <cellStyle name="Normal 57 3 3 3 2 3 5" xfId="6467"/>
    <cellStyle name="Normal 57 3 3 3 2 3 5 2" xfId="15294"/>
    <cellStyle name="Normal 57 3 3 3 2 3 5 3" xfId="25545"/>
    <cellStyle name="Normal 57 3 3 3 2 3 6" xfId="7913"/>
    <cellStyle name="Normal 57 3 3 3 2 3 6 2" xfId="20739"/>
    <cellStyle name="Normal 57 3 3 3 2 3 7" xfId="16541"/>
    <cellStyle name="Normal 57 3 3 3 2 4" xfId="3070"/>
    <cellStyle name="Normal 57 3 3 3 2 4 2" xfId="5448"/>
    <cellStyle name="Normal 57 3 3 3 2 4 2 2" xfId="14285"/>
    <cellStyle name="Normal 57 3 3 3 2 4 2 2 2" xfId="24536"/>
    <cellStyle name="Normal 57 3 3 3 2 4 2 3" xfId="10706"/>
    <cellStyle name="Normal 57 3 3 3 2 4 2 4" xfId="19529"/>
    <cellStyle name="Normal 57 3 3 3 2 4 3" xfId="6903"/>
    <cellStyle name="Normal 57 3 3 3 2 4 3 2" xfId="15730"/>
    <cellStyle name="Normal 57 3 3 3 2 4 3 3" xfId="25981"/>
    <cellStyle name="Normal 57 3 3 3 2 4 4" xfId="8349"/>
    <cellStyle name="Normal 57 3 3 3 2 4 4 2" xfId="22431"/>
    <cellStyle name="Normal 57 3 3 3 2 4 5" xfId="17424"/>
    <cellStyle name="Normal 57 3 3 3 2 5" xfId="4404"/>
    <cellStyle name="Normal 57 3 3 3 2 5 2" xfId="13242"/>
    <cellStyle name="Normal 57 3 3 3 2 5 2 2" xfId="23493"/>
    <cellStyle name="Normal 57 3 3 3 2 5 3" xfId="9663"/>
    <cellStyle name="Normal 57 3 3 3 2 5 4" xfId="18486"/>
    <cellStyle name="Normal 57 3 3 3 2 6" xfId="1676"/>
    <cellStyle name="Normal 57 3 3 3 2 6 2" xfId="11053"/>
    <cellStyle name="Normal 57 3 3 3 2 6 3" xfId="21057"/>
    <cellStyle name="Normal 57 3 3 3 2 7" xfId="5860"/>
    <cellStyle name="Normal 57 3 3 3 2 7 2" xfId="14687"/>
    <cellStyle name="Normal 57 3 3 3 2 7 3" xfId="24938"/>
    <cellStyle name="Normal 57 3 3 3 2 8" xfId="7304"/>
    <cellStyle name="Normal 57 3 3 3 2 8 2" xfId="20030"/>
    <cellStyle name="Normal 57 3 3 3 2 9" xfId="16050"/>
    <cellStyle name="Normal 57 3 3 3 2_Degree data" xfId="3955"/>
    <cellStyle name="Normal 57 3 3 3 3" xfId="379"/>
    <cellStyle name="Normal 57 3 3 3 3 2" xfId="2865"/>
    <cellStyle name="Normal 57 3 3 3 3 2 2" xfId="12153"/>
    <cellStyle name="Normal 57 3 3 3 3 2 2 2" xfId="22226"/>
    <cellStyle name="Normal 57 3 3 3 3 2 3" xfId="8600"/>
    <cellStyle name="Normal 57 3 3 3 3 2 4" xfId="17219"/>
    <cellStyle name="Normal 57 3 3 3 3 3" xfId="4662"/>
    <cellStyle name="Normal 57 3 3 3 3 3 2" xfId="13500"/>
    <cellStyle name="Normal 57 3 3 3 3 3 2 2" xfId="23751"/>
    <cellStyle name="Normal 57 3 3 3 3 3 3" xfId="9921"/>
    <cellStyle name="Normal 57 3 3 3 3 3 4" xfId="18744"/>
    <cellStyle name="Normal 57 3 3 3 3 4" xfId="1974"/>
    <cellStyle name="Normal 57 3 3 3 3 4 2" xfId="11339"/>
    <cellStyle name="Normal 57 3 3 3 3 4 3" xfId="21343"/>
    <cellStyle name="Normal 57 3 3 3 3 5" xfId="6118"/>
    <cellStyle name="Normal 57 3 3 3 3 5 2" xfId="14945"/>
    <cellStyle name="Normal 57 3 3 3 3 5 3" xfId="25196"/>
    <cellStyle name="Normal 57 3 3 3 3 6" xfId="7563"/>
    <cellStyle name="Normal 57 3 3 3 3 6 2" xfId="19825"/>
    <cellStyle name="Normal 57 3 3 3 3 7" xfId="16336"/>
    <cellStyle name="Normal 57 3 3 3 4" xfId="848"/>
    <cellStyle name="Normal 57 3 3 3 4 2" xfId="3333"/>
    <cellStyle name="Normal 57 3 3 3 4 2 2" xfId="12475"/>
    <cellStyle name="Normal 57 3 3 3 4 2 2 2" xfId="22694"/>
    <cellStyle name="Normal 57 3 3 3 4 2 3" xfId="8897"/>
    <cellStyle name="Normal 57 3 3 3 4 2 4" xfId="17687"/>
    <cellStyle name="Normal 57 3 3 3 4 3" xfId="5011"/>
    <cellStyle name="Normal 57 3 3 3 4 3 2" xfId="13848"/>
    <cellStyle name="Normal 57 3 3 3 4 3 2 2" xfId="24099"/>
    <cellStyle name="Normal 57 3 3 3 4 3 3" xfId="10269"/>
    <cellStyle name="Normal 57 3 3 3 4 3 4" xfId="19092"/>
    <cellStyle name="Normal 57 3 3 3 4 4" xfId="2442"/>
    <cellStyle name="Normal 57 3 3 3 4 4 2" xfId="11807"/>
    <cellStyle name="Normal 57 3 3 3 4 4 3" xfId="21811"/>
    <cellStyle name="Normal 57 3 3 3 4 5" xfId="6466"/>
    <cellStyle name="Normal 57 3 3 3 4 5 2" xfId="15293"/>
    <cellStyle name="Normal 57 3 3 3 4 5 3" xfId="25544"/>
    <cellStyle name="Normal 57 3 3 3 4 6" xfId="7912"/>
    <cellStyle name="Normal 57 3 3 3 4 6 2" xfId="20293"/>
    <cellStyle name="Normal 57 3 3 3 4 7" xfId="16804"/>
    <cellStyle name="Normal 57 3 3 3 5" xfId="1151"/>
    <cellStyle name="Normal 57 3 3 3 5 2" xfId="3580"/>
    <cellStyle name="Normal 57 3 3 3 5 2 2" xfId="12716"/>
    <cellStyle name="Normal 57 3 3 3 5 2 2 2" xfId="22935"/>
    <cellStyle name="Normal 57 3 3 3 5 2 3" xfId="9137"/>
    <cellStyle name="Normal 57 3 3 3 5 2 4" xfId="17928"/>
    <cellStyle name="Normal 57 3 3 3 5 3" xfId="5243"/>
    <cellStyle name="Normal 57 3 3 3 5 3 2" xfId="14080"/>
    <cellStyle name="Normal 57 3 3 3 5 3 2 2" xfId="24331"/>
    <cellStyle name="Normal 57 3 3 3 5 3 3" xfId="10501"/>
    <cellStyle name="Normal 57 3 3 3 5 3 4" xfId="19324"/>
    <cellStyle name="Normal 57 3 3 3 5 4" xfId="1859"/>
    <cellStyle name="Normal 57 3 3 3 5 4 2" xfId="11227"/>
    <cellStyle name="Normal 57 3 3 3 5 4 3" xfId="21231"/>
    <cellStyle name="Normal 57 3 3 3 5 5" xfId="6698"/>
    <cellStyle name="Normal 57 3 3 3 5 5 2" xfId="15525"/>
    <cellStyle name="Normal 57 3 3 3 5 5 3" xfId="25776"/>
    <cellStyle name="Normal 57 3 3 3 5 6" xfId="8144"/>
    <cellStyle name="Normal 57 3 3 3 5 6 2" xfId="20534"/>
    <cellStyle name="Normal 57 3 3 3 5 7" xfId="16224"/>
    <cellStyle name="Normal 57 3 3 3 6" xfId="2753"/>
    <cellStyle name="Normal 57 3 3 3 6 2" xfId="12070"/>
    <cellStyle name="Normal 57 3 3 3 6 2 2" xfId="22114"/>
    <cellStyle name="Normal 57 3 3 3 6 3" xfId="8605"/>
    <cellStyle name="Normal 57 3 3 3 6 4" xfId="17107"/>
    <cellStyle name="Normal 57 3 3 3 7" xfId="4199"/>
    <cellStyle name="Normal 57 3 3 3 7 2" xfId="13037"/>
    <cellStyle name="Normal 57 3 3 3 7 2 2" xfId="23288"/>
    <cellStyle name="Normal 57 3 3 3 7 3" xfId="9458"/>
    <cellStyle name="Normal 57 3 3 3 7 4" xfId="18281"/>
    <cellStyle name="Normal 57 3 3 3 8" xfId="1471"/>
    <cellStyle name="Normal 57 3 3 3 8 2" xfId="10848"/>
    <cellStyle name="Normal 57 3 3 3 8 3" xfId="20852"/>
    <cellStyle name="Normal 57 3 3 3 9" xfId="5655"/>
    <cellStyle name="Normal 57 3 3 3 9 2" xfId="14482"/>
    <cellStyle name="Normal 57 3 3 3 9 3" xfId="24733"/>
    <cellStyle name="Normal 57 3 3 3_Degree data" xfId="3954"/>
    <cellStyle name="Normal 57 3 3 4" xfId="479"/>
    <cellStyle name="Normal 57 3 3 4 2" xfId="850"/>
    <cellStyle name="Normal 57 3 3 4 2 2" xfId="3335"/>
    <cellStyle name="Normal 57 3 3 4 2 2 2" xfId="12477"/>
    <cellStyle name="Normal 57 3 3 4 2 2 2 2" xfId="22696"/>
    <cellStyle name="Normal 57 3 3 4 2 2 3" xfId="8899"/>
    <cellStyle name="Normal 57 3 3 4 2 2 4" xfId="17689"/>
    <cellStyle name="Normal 57 3 3 4 2 3" xfId="4664"/>
    <cellStyle name="Normal 57 3 3 4 2 3 2" xfId="13502"/>
    <cellStyle name="Normal 57 3 3 4 2 3 2 2" xfId="23753"/>
    <cellStyle name="Normal 57 3 3 4 2 3 3" xfId="9923"/>
    <cellStyle name="Normal 57 3 3 4 2 3 4" xfId="18746"/>
    <cellStyle name="Normal 57 3 3 4 2 4" xfId="2444"/>
    <cellStyle name="Normal 57 3 3 4 2 4 2" xfId="11809"/>
    <cellStyle name="Normal 57 3 3 4 2 4 3" xfId="21813"/>
    <cellStyle name="Normal 57 3 3 4 2 5" xfId="6120"/>
    <cellStyle name="Normal 57 3 3 4 2 5 2" xfId="14947"/>
    <cellStyle name="Normal 57 3 3 4 2 5 3" xfId="25198"/>
    <cellStyle name="Normal 57 3 3 4 2 6" xfId="7565"/>
    <cellStyle name="Normal 57 3 3 4 2 6 2" xfId="20295"/>
    <cellStyle name="Normal 57 3 3 4 2 7" xfId="16806"/>
    <cellStyle name="Normal 57 3 3 4 3" xfId="1251"/>
    <cellStyle name="Normal 57 3 3 4 3 2" xfId="3680"/>
    <cellStyle name="Normal 57 3 3 4 3 2 2" xfId="12816"/>
    <cellStyle name="Normal 57 3 3 4 3 2 2 2" xfId="23035"/>
    <cellStyle name="Normal 57 3 3 4 3 2 3" xfId="9237"/>
    <cellStyle name="Normal 57 3 3 4 3 2 4" xfId="18028"/>
    <cellStyle name="Normal 57 3 3 4 3 3" xfId="5013"/>
    <cellStyle name="Normal 57 3 3 4 3 3 2" xfId="13850"/>
    <cellStyle name="Normal 57 3 3 4 3 3 2 2" xfId="24101"/>
    <cellStyle name="Normal 57 3 3 4 3 3 3" xfId="10271"/>
    <cellStyle name="Normal 57 3 3 4 3 3 4" xfId="19094"/>
    <cellStyle name="Normal 57 3 3 4 3 4" xfId="2074"/>
    <cellStyle name="Normal 57 3 3 4 3 4 2" xfId="11439"/>
    <cellStyle name="Normal 57 3 3 4 3 4 3" xfId="21443"/>
    <cellStyle name="Normal 57 3 3 4 3 5" xfId="6468"/>
    <cellStyle name="Normal 57 3 3 4 3 5 2" xfId="15295"/>
    <cellStyle name="Normal 57 3 3 4 3 5 3" xfId="25546"/>
    <cellStyle name="Normal 57 3 3 4 3 6" xfId="7914"/>
    <cellStyle name="Normal 57 3 3 4 3 6 2" xfId="20634"/>
    <cellStyle name="Normal 57 3 3 4 3 7" xfId="16436"/>
    <cellStyle name="Normal 57 3 3 4 4" xfId="2965"/>
    <cellStyle name="Normal 57 3 3 4 4 2" xfId="5343"/>
    <cellStyle name="Normal 57 3 3 4 4 2 2" xfId="14180"/>
    <cellStyle name="Normal 57 3 3 4 4 2 2 2" xfId="24431"/>
    <cellStyle name="Normal 57 3 3 4 4 2 3" xfId="10601"/>
    <cellStyle name="Normal 57 3 3 4 4 2 4" xfId="19424"/>
    <cellStyle name="Normal 57 3 3 4 4 3" xfId="6798"/>
    <cellStyle name="Normal 57 3 3 4 4 3 2" xfId="15625"/>
    <cellStyle name="Normal 57 3 3 4 4 3 3" xfId="25876"/>
    <cellStyle name="Normal 57 3 3 4 4 4" xfId="8244"/>
    <cellStyle name="Normal 57 3 3 4 4 4 2" xfId="22326"/>
    <cellStyle name="Normal 57 3 3 4 4 5" xfId="17319"/>
    <cellStyle name="Normal 57 3 3 4 5" xfId="4299"/>
    <cellStyle name="Normal 57 3 3 4 5 2" xfId="13137"/>
    <cellStyle name="Normal 57 3 3 4 5 2 2" xfId="23388"/>
    <cellStyle name="Normal 57 3 3 4 5 3" xfId="9558"/>
    <cellStyle name="Normal 57 3 3 4 5 4" xfId="18381"/>
    <cellStyle name="Normal 57 3 3 4 6" xfId="1571"/>
    <cellStyle name="Normal 57 3 3 4 6 2" xfId="10948"/>
    <cellStyle name="Normal 57 3 3 4 6 3" xfId="20952"/>
    <cellStyle name="Normal 57 3 3 4 7" xfId="5755"/>
    <cellStyle name="Normal 57 3 3 4 7 2" xfId="14582"/>
    <cellStyle name="Normal 57 3 3 4 7 3" xfId="24833"/>
    <cellStyle name="Normal 57 3 3 4 8" xfId="7199"/>
    <cellStyle name="Normal 57 3 3 4 8 2" xfId="19925"/>
    <cellStyle name="Normal 57 3 3 4 9" xfId="15945"/>
    <cellStyle name="Normal 57 3 3 4_Degree data" xfId="3956"/>
    <cellStyle name="Normal 57 3 3 5" xfId="320"/>
    <cellStyle name="Normal 57 3 3 5 2" xfId="2806"/>
    <cellStyle name="Normal 57 3 3 5 2 2" xfId="12110"/>
    <cellStyle name="Normal 57 3 3 5 2 2 2" xfId="22167"/>
    <cellStyle name="Normal 57 3 3 5 2 3" xfId="8479"/>
    <cellStyle name="Normal 57 3 3 5 2 4" xfId="17160"/>
    <cellStyle name="Normal 57 3 3 5 3" xfId="4659"/>
    <cellStyle name="Normal 57 3 3 5 3 2" xfId="13497"/>
    <cellStyle name="Normal 57 3 3 5 3 2 2" xfId="23748"/>
    <cellStyle name="Normal 57 3 3 5 3 3" xfId="9918"/>
    <cellStyle name="Normal 57 3 3 5 3 4" xfId="18741"/>
    <cellStyle name="Normal 57 3 3 5 4" xfId="1915"/>
    <cellStyle name="Normal 57 3 3 5 4 2" xfId="11280"/>
    <cellStyle name="Normal 57 3 3 5 4 3" xfId="21284"/>
    <cellStyle name="Normal 57 3 3 5 5" xfId="6115"/>
    <cellStyle name="Normal 57 3 3 5 5 2" xfId="14942"/>
    <cellStyle name="Normal 57 3 3 5 5 3" xfId="25193"/>
    <cellStyle name="Normal 57 3 3 5 6" xfId="7560"/>
    <cellStyle name="Normal 57 3 3 5 6 2" xfId="19766"/>
    <cellStyle name="Normal 57 3 3 5 7" xfId="16277"/>
    <cellStyle name="Normal 57 3 3 6" xfId="845"/>
    <cellStyle name="Normal 57 3 3 6 2" xfId="3330"/>
    <cellStyle name="Normal 57 3 3 6 2 2" xfId="12472"/>
    <cellStyle name="Normal 57 3 3 6 2 2 2" xfId="22691"/>
    <cellStyle name="Normal 57 3 3 6 2 3" xfId="8894"/>
    <cellStyle name="Normal 57 3 3 6 2 4" xfId="17684"/>
    <cellStyle name="Normal 57 3 3 6 3" xfId="5008"/>
    <cellStyle name="Normal 57 3 3 6 3 2" xfId="13845"/>
    <cellStyle name="Normal 57 3 3 6 3 2 2" xfId="24096"/>
    <cellStyle name="Normal 57 3 3 6 3 3" xfId="10266"/>
    <cellStyle name="Normal 57 3 3 6 3 4" xfId="19089"/>
    <cellStyle name="Normal 57 3 3 6 4" xfId="2439"/>
    <cellStyle name="Normal 57 3 3 6 4 2" xfId="11804"/>
    <cellStyle name="Normal 57 3 3 6 4 3" xfId="21808"/>
    <cellStyle name="Normal 57 3 3 6 5" xfId="6463"/>
    <cellStyle name="Normal 57 3 3 6 5 2" xfId="15290"/>
    <cellStyle name="Normal 57 3 3 6 5 3" xfId="25541"/>
    <cellStyle name="Normal 57 3 3 6 6" xfId="7909"/>
    <cellStyle name="Normal 57 3 3 6 6 2" xfId="20290"/>
    <cellStyle name="Normal 57 3 3 6 7" xfId="16801"/>
    <cellStyle name="Normal 57 3 3 7" xfId="1092"/>
    <cellStyle name="Normal 57 3 3 7 2" xfId="3521"/>
    <cellStyle name="Normal 57 3 3 7 2 2" xfId="12657"/>
    <cellStyle name="Normal 57 3 3 7 2 2 2" xfId="22876"/>
    <cellStyle name="Normal 57 3 3 7 2 3" xfId="9079"/>
    <cellStyle name="Normal 57 3 3 7 2 4" xfId="17869"/>
    <cellStyle name="Normal 57 3 3 7 3" xfId="5184"/>
    <cellStyle name="Normal 57 3 3 7 3 2" xfId="14021"/>
    <cellStyle name="Normal 57 3 3 7 3 2 2" xfId="24272"/>
    <cellStyle name="Normal 57 3 3 7 3 3" xfId="10442"/>
    <cellStyle name="Normal 57 3 3 7 3 4" xfId="19265"/>
    <cellStyle name="Normal 57 3 3 7 4" xfId="1750"/>
    <cellStyle name="Normal 57 3 3 7 4 2" xfId="11121"/>
    <cellStyle name="Normal 57 3 3 7 4 3" xfId="21125"/>
    <cellStyle name="Normal 57 3 3 7 5" xfId="6639"/>
    <cellStyle name="Normal 57 3 3 7 5 2" xfId="15466"/>
    <cellStyle name="Normal 57 3 3 7 5 3" xfId="25717"/>
    <cellStyle name="Normal 57 3 3 7 6" xfId="8085"/>
    <cellStyle name="Normal 57 3 3 7 6 2" xfId="20475"/>
    <cellStyle name="Normal 57 3 3 7 7" xfId="16118"/>
    <cellStyle name="Normal 57 3 3 8" xfId="2648"/>
    <cellStyle name="Normal 57 3 3 8 2" xfId="5596"/>
    <cellStyle name="Normal 57 3 3 8 2 2" xfId="14423"/>
    <cellStyle name="Normal 57 3 3 8 2 3" xfId="24674"/>
    <cellStyle name="Normal 57 3 3 8 3" xfId="7040"/>
    <cellStyle name="Normal 57 3 3 8 3 2" xfId="22009"/>
    <cellStyle name="Normal 57 3 3 8 4" xfId="17002"/>
    <cellStyle name="Normal 57 3 3 9" xfId="4138"/>
    <cellStyle name="Normal 57 3 3 9 2" xfId="12976"/>
    <cellStyle name="Normal 57 3 3 9 2 2" xfId="23227"/>
    <cellStyle name="Normal 57 3 3 9 3" xfId="9397"/>
    <cellStyle name="Normal 57 3 3 9 4" xfId="18220"/>
    <cellStyle name="Normal 57 3 3_Degree data" xfId="3951"/>
    <cellStyle name="Normal 57 3 4" xfId="188"/>
    <cellStyle name="Normal 57 3 4 10" xfId="7136"/>
    <cellStyle name="Normal 57 3 4 10 2" xfId="19645"/>
    <cellStyle name="Normal 57 3 4 11" xfId="15882"/>
    <cellStyle name="Normal 57 3 4 2" xfId="516"/>
    <cellStyle name="Normal 57 3 4 2 2" xfId="852"/>
    <cellStyle name="Normal 57 3 4 2 2 2" xfId="3337"/>
    <cellStyle name="Normal 57 3 4 2 2 2 2" xfId="12479"/>
    <cellStyle name="Normal 57 3 4 2 2 2 2 2" xfId="22698"/>
    <cellStyle name="Normal 57 3 4 2 2 2 3" xfId="8901"/>
    <cellStyle name="Normal 57 3 4 2 2 2 4" xfId="17691"/>
    <cellStyle name="Normal 57 3 4 2 2 3" xfId="4666"/>
    <cellStyle name="Normal 57 3 4 2 2 3 2" xfId="13504"/>
    <cellStyle name="Normal 57 3 4 2 2 3 2 2" xfId="23755"/>
    <cellStyle name="Normal 57 3 4 2 2 3 3" xfId="9925"/>
    <cellStyle name="Normal 57 3 4 2 2 3 4" xfId="18748"/>
    <cellStyle name="Normal 57 3 4 2 2 4" xfId="2446"/>
    <cellStyle name="Normal 57 3 4 2 2 4 2" xfId="11811"/>
    <cellStyle name="Normal 57 3 4 2 2 4 3" xfId="21815"/>
    <cellStyle name="Normal 57 3 4 2 2 5" xfId="6122"/>
    <cellStyle name="Normal 57 3 4 2 2 5 2" xfId="14949"/>
    <cellStyle name="Normal 57 3 4 2 2 5 3" xfId="25200"/>
    <cellStyle name="Normal 57 3 4 2 2 6" xfId="7567"/>
    <cellStyle name="Normal 57 3 4 2 2 6 2" xfId="20297"/>
    <cellStyle name="Normal 57 3 4 2 2 7" xfId="16808"/>
    <cellStyle name="Normal 57 3 4 2 3" xfId="1288"/>
    <cellStyle name="Normal 57 3 4 2 3 2" xfId="3717"/>
    <cellStyle name="Normal 57 3 4 2 3 2 2" xfId="12853"/>
    <cellStyle name="Normal 57 3 4 2 3 2 2 2" xfId="23072"/>
    <cellStyle name="Normal 57 3 4 2 3 2 3" xfId="9274"/>
    <cellStyle name="Normal 57 3 4 2 3 2 4" xfId="18065"/>
    <cellStyle name="Normal 57 3 4 2 3 3" xfId="5015"/>
    <cellStyle name="Normal 57 3 4 2 3 3 2" xfId="13852"/>
    <cellStyle name="Normal 57 3 4 2 3 3 2 2" xfId="24103"/>
    <cellStyle name="Normal 57 3 4 2 3 3 3" xfId="10273"/>
    <cellStyle name="Normal 57 3 4 2 3 3 4" xfId="19096"/>
    <cellStyle name="Normal 57 3 4 2 3 4" xfId="2111"/>
    <cellStyle name="Normal 57 3 4 2 3 4 2" xfId="11476"/>
    <cellStyle name="Normal 57 3 4 2 3 4 3" xfId="21480"/>
    <cellStyle name="Normal 57 3 4 2 3 5" xfId="6470"/>
    <cellStyle name="Normal 57 3 4 2 3 5 2" xfId="15297"/>
    <cellStyle name="Normal 57 3 4 2 3 5 3" xfId="25548"/>
    <cellStyle name="Normal 57 3 4 2 3 6" xfId="7916"/>
    <cellStyle name="Normal 57 3 4 2 3 6 2" xfId="20671"/>
    <cellStyle name="Normal 57 3 4 2 3 7" xfId="16473"/>
    <cellStyle name="Normal 57 3 4 2 4" xfId="3002"/>
    <cellStyle name="Normal 57 3 4 2 4 2" xfId="5380"/>
    <cellStyle name="Normal 57 3 4 2 4 2 2" xfId="14217"/>
    <cellStyle name="Normal 57 3 4 2 4 2 2 2" xfId="24468"/>
    <cellStyle name="Normal 57 3 4 2 4 2 3" xfId="10638"/>
    <cellStyle name="Normal 57 3 4 2 4 2 4" xfId="19461"/>
    <cellStyle name="Normal 57 3 4 2 4 3" xfId="6835"/>
    <cellStyle name="Normal 57 3 4 2 4 3 2" xfId="15662"/>
    <cellStyle name="Normal 57 3 4 2 4 3 3" xfId="25913"/>
    <cellStyle name="Normal 57 3 4 2 4 4" xfId="8281"/>
    <cellStyle name="Normal 57 3 4 2 4 4 2" xfId="22363"/>
    <cellStyle name="Normal 57 3 4 2 4 5" xfId="17356"/>
    <cellStyle name="Normal 57 3 4 2 5" xfId="4336"/>
    <cellStyle name="Normal 57 3 4 2 5 2" xfId="13174"/>
    <cellStyle name="Normal 57 3 4 2 5 2 2" xfId="23425"/>
    <cellStyle name="Normal 57 3 4 2 5 3" xfId="9595"/>
    <cellStyle name="Normal 57 3 4 2 5 4" xfId="18418"/>
    <cellStyle name="Normal 57 3 4 2 6" xfId="1608"/>
    <cellStyle name="Normal 57 3 4 2 6 2" xfId="10985"/>
    <cellStyle name="Normal 57 3 4 2 6 3" xfId="20989"/>
    <cellStyle name="Normal 57 3 4 2 7" xfId="5792"/>
    <cellStyle name="Normal 57 3 4 2 7 2" xfId="14619"/>
    <cellStyle name="Normal 57 3 4 2 7 3" xfId="24870"/>
    <cellStyle name="Normal 57 3 4 2 8" xfId="7236"/>
    <cellStyle name="Normal 57 3 4 2 8 2" xfId="19962"/>
    <cellStyle name="Normal 57 3 4 2 9" xfId="15982"/>
    <cellStyle name="Normal 57 3 4 2_Degree data" xfId="3958"/>
    <cellStyle name="Normal 57 3 4 3" xfId="416"/>
    <cellStyle name="Normal 57 3 4 3 2" xfId="2902"/>
    <cellStyle name="Normal 57 3 4 3 2 2" xfId="12190"/>
    <cellStyle name="Normal 57 3 4 3 2 2 2" xfId="22263"/>
    <cellStyle name="Normal 57 3 4 3 2 3" xfId="8419"/>
    <cellStyle name="Normal 57 3 4 3 2 4" xfId="17256"/>
    <cellStyle name="Normal 57 3 4 3 3" xfId="4665"/>
    <cellStyle name="Normal 57 3 4 3 3 2" xfId="13503"/>
    <cellStyle name="Normal 57 3 4 3 3 2 2" xfId="23754"/>
    <cellStyle name="Normal 57 3 4 3 3 3" xfId="9924"/>
    <cellStyle name="Normal 57 3 4 3 3 4" xfId="18747"/>
    <cellStyle name="Normal 57 3 4 3 4" xfId="2011"/>
    <cellStyle name="Normal 57 3 4 3 4 2" xfId="11376"/>
    <cellStyle name="Normal 57 3 4 3 4 3" xfId="21380"/>
    <cellStyle name="Normal 57 3 4 3 5" xfId="6121"/>
    <cellStyle name="Normal 57 3 4 3 5 2" xfId="14948"/>
    <cellStyle name="Normal 57 3 4 3 5 3" xfId="25199"/>
    <cellStyle name="Normal 57 3 4 3 6" xfId="7566"/>
    <cellStyle name="Normal 57 3 4 3 6 2" xfId="19862"/>
    <cellStyle name="Normal 57 3 4 3 7" xfId="16373"/>
    <cellStyle name="Normal 57 3 4 4" xfId="851"/>
    <cellStyle name="Normal 57 3 4 4 2" xfId="3336"/>
    <cellStyle name="Normal 57 3 4 4 2 2" xfId="12478"/>
    <cellStyle name="Normal 57 3 4 4 2 2 2" xfId="22697"/>
    <cellStyle name="Normal 57 3 4 4 2 3" xfId="8900"/>
    <cellStyle name="Normal 57 3 4 4 2 4" xfId="17690"/>
    <cellStyle name="Normal 57 3 4 4 3" xfId="5014"/>
    <cellStyle name="Normal 57 3 4 4 3 2" xfId="13851"/>
    <cellStyle name="Normal 57 3 4 4 3 2 2" xfId="24102"/>
    <cellStyle name="Normal 57 3 4 4 3 3" xfId="10272"/>
    <cellStyle name="Normal 57 3 4 4 3 4" xfId="19095"/>
    <cellStyle name="Normal 57 3 4 4 4" xfId="2445"/>
    <cellStyle name="Normal 57 3 4 4 4 2" xfId="11810"/>
    <cellStyle name="Normal 57 3 4 4 4 3" xfId="21814"/>
    <cellStyle name="Normal 57 3 4 4 5" xfId="6469"/>
    <cellStyle name="Normal 57 3 4 4 5 2" xfId="15296"/>
    <cellStyle name="Normal 57 3 4 4 5 3" xfId="25547"/>
    <cellStyle name="Normal 57 3 4 4 6" xfId="7915"/>
    <cellStyle name="Normal 57 3 4 4 6 2" xfId="20296"/>
    <cellStyle name="Normal 57 3 4 4 7" xfId="16807"/>
    <cellStyle name="Normal 57 3 4 5" xfId="1188"/>
    <cellStyle name="Normal 57 3 4 5 2" xfId="3617"/>
    <cellStyle name="Normal 57 3 4 5 2 2" xfId="12753"/>
    <cellStyle name="Normal 57 3 4 5 2 2 2" xfId="22972"/>
    <cellStyle name="Normal 57 3 4 5 2 3" xfId="9174"/>
    <cellStyle name="Normal 57 3 4 5 2 4" xfId="17965"/>
    <cellStyle name="Normal 57 3 4 5 3" xfId="5280"/>
    <cellStyle name="Normal 57 3 4 5 3 2" xfId="14117"/>
    <cellStyle name="Normal 57 3 4 5 3 2 2" xfId="24368"/>
    <cellStyle name="Normal 57 3 4 5 3 3" xfId="10538"/>
    <cellStyle name="Normal 57 3 4 5 3 4" xfId="19361"/>
    <cellStyle name="Normal 57 3 4 5 4" xfId="1790"/>
    <cellStyle name="Normal 57 3 4 5 4 2" xfId="11159"/>
    <cellStyle name="Normal 57 3 4 5 4 3" xfId="21163"/>
    <cellStyle name="Normal 57 3 4 5 5" xfId="6735"/>
    <cellStyle name="Normal 57 3 4 5 5 2" xfId="15562"/>
    <cellStyle name="Normal 57 3 4 5 5 3" xfId="25813"/>
    <cellStyle name="Normal 57 3 4 5 6" xfId="8181"/>
    <cellStyle name="Normal 57 3 4 5 6 2" xfId="20571"/>
    <cellStyle name="Normal 57 3 4 5 7" xfId="16156"/>
    <cellStyle name="Normal 57 3 4 6" xfId="2685"/>
    <cellStyle name="Normal 57 3 4 6 2" xfId="12002"/>
    <cellStyle name="Normal 57 3 4 6 2 2" xfId="22046"/>
    <cellStyle name="Normal 57 3 4 6 3" xfId="8594"/>
    <cellStyle name="Normal 57 3 4 6 4" xfId="17039"/>
    <cellStyle name="Normal 57 3 4 7" xfId="4236"/>
    <cellStyle name="Normal 57 3 4 7 2" xfId="13074"/>
    <cellStyle name="Normal 57 3 4 7 2 2" xfId="23325"/>
    <cellStyle name="Normal 57 3 4 7 3" xfId="9495"/>
    <cellStyle name="Normal 57 3 4 7 4" xfId="18318"/>
    <cellStyle name="Normal 57 3 4 8" xfId="1508"/>
    <cellStyle name="Normal 57 3 4 8 2" xfId="10885"/>
    <cellStyle name="Normal 57 3 4 8 3" xfId="20889"/>
    <cellStyle name="Normal 57 3 4 9" xfId="5692"/>
    <cellStyle name="Normal 57 3 4 9 2" xfId="14519"/>
    <cellStyle name="Normal 57 3 4 9 3" xfId="24770"/>
    <cellStyle name="Normal 57 3 4_Degree data" xfId="3957"/>
    <cellStyle name="Normal 57 3 5" xfId="243"/>
    <cellStyle name="Normal 57 3 5 10" xfId="7081"/>
    <cellStyle name="Normal 57 3 5 10 2" xfId="19695"/>
    <cellStyle name="Normal 57 3 5 11" xfId="15827"/>
    <cellStyle name="Normal 57 3 5 2" xfId="566"/>
    <cellStyle name="Normal 57 3 5 2 2" xfId="854"/>
    <cellStyle name="Normal 57 3 5 2 2 2" xfId="3339"/>
    <cellStyle name="Normal 57 3 5 2 2 2 2" xfId="12481"/>
    <cellStyle name="Normal 57 3 5 2 2 2 2 2" xfId="22700"/>
    <cellStyle name="Normal 57 3 5 2 2 2 3" xfId="8903"/>
    <cellStyle name="Normal 57 3 5 2 2 2 4" xfId="17693"/>
    <cellStyle name="Normal 57 3 5 2 2 3" xfId="4668"/>
    <cellStyle name="Normal 57 3 5 2 2 3 2" xfId="13506"/>
    <cellStyle name="Normal 57 3 5 2 2 3 2 2" xfId="23757"/>
    <cellStyle name="Normal 57 3 5 2 2 3 3" xfId="9927"/>
    <cellStyle name="Normal 57 3 5 2 2 3 4" xfId="18750"/>
    <cellStyle name="Normal 57 3 5 2 2 4" xfId="2448"/>
    <cellStyle name="Normal 57 3 5 2 2 4 2" xfId="11813"/>
    <cellStyle name="Normal 57 3 5 2 2 4 3" xfId="21817"/>
    <cellStyle name="Normal 57 3 5 2 2 5" xfId="6124"/>
    <cellStyle name="Normal 57 3 5 2 2 5 2" xfId="14951"/>
    <cellStyle name="Normal 57 3 5 2 2 5 3" xfId="25202"/>
    <cellStyle name="Normal 57 3 5 2 2 6" xfId="7569"/>
    <cellStyle name="Normal 57 3 5 2 2 6 2" xfId="20299"/>
    <cellStyle name="Normal 57 3 5 2 2 7" xfId="16810"/>
    <cellStyle name="Normal 57 3 5 2 3" xfId="1338"/>
    <cellStyle name="Normal 57 3 5 2 3 2" xfId="3767"/>
    <cellStyle name="Normal 57 3 5 2 3 2 2" xfId="12903"/>
    <cellStyle name="Normal 57 3 5 2 3 2 2 2" xfId="23122"/>
    <cellStyle name="Normal 57 3 5 2 3 2 3" xfId="9324"/>
    <cellStyle name="Normal 57 3 5 2 3 2 4" xfId="18115"/>
    <cellStyle name="Normal 57 3 5 2 3 3" xfId="5017"/>
    <cellStyle name="Normal 57 3 5 2 3 3 2" xfId="13854"/>
    <cellStyle name="Normal 57 3 5 2 3 3 2 2" xfId="24105"/>
    <cellStyle name="Normal 57 3 5 2 3 3 3" xfId="10275"/>
    <cellStyle name="Normal 57 3 5 2 3 3 4" xfId="19098"/>
    <cellStyle name="Normal 57 3 5 2 3 4" xfId="2161"/>
    <cellStyle name="Normal 57 3 5 2 3 4 2" xfId="11526"/>
    <cellStyle name="Normal 57 3 5 2 3 4 3" xfId="21530"/>
    <cellStyle name="Normal 57 3 5 2 3 5" xfId="6472"/>
    <cellStyle name="Normal 57 3 5 2 3 5 2" xfId="15299"/>
    <cellStyle name="Normal 57 3 5 2 3 5 3" xfId="25550"/>
    <cellStyle name="Normal 57 3 5 2 3 6" xfId="7918"/>
    <cellStyle name="Normal 57 3 5 2 3 6 2" xfId="20721"/>
    <cellStyle name="Normal 57 3 5 2 3 7" xfId="16523"/>
    <cellStyle name="Normal 57 3 5 2 4" xfId="3052"/>
    <cellStyle name="Normal 57 3 5 2 4 2" xfId="5430"/>
    <cellStyle name="Normal 57 3 5 2 4 2 2" xfId="14267"/>
    <cellStyle name="Normal 57 3 5 2 4 2 2 2" xfId="24518"/>
    <cellStyle name="Normal 57 3 5 2 4 2 3" xfId="10688"/>
    <cellStyle name="Normal 57 3 5 2 4 2 4" xfId="19511"/>
    <cellStyle name="Normal 57 3 5 2 4 3" xfId="6885"/>
    <cellStyle name="Normal 57 3 5 2 4 3 2" xfId="15712"/>
    <cellStyle name="Normal 57 3 5 2 4 3 3" xfId="25963"/>
    <cellStyle name="Normal 57 3 5 2 4 4" xfId="8331"/>
    <cellStyle name="Normal 57 3 5 2 4 4 2" xfId="22413"/>
    <cellStyle name="Normal 57 3 5 2 4 5" xfId="17406"/>
    <cellStyle name="Normal 57 3 5 2 5" xfId="4386"/>
    <cellStyle name="Normal 57 3 5 2 5 2" xfId="13224"/>
    <cellStyle name="Normal 57 3 5 2 5 2 2" xfId="23475"/>
    <cellStyle name="Normal 57 3 5 2 5 3" xfId="9645"/>
    <cellStyle name="Normal 57 3 5 2 5 4" xfId="18468"/>
    <cellStyle name="Normal 57 3 5 2 6" xfId="1658"/>
    <cellStyle name="Normal 57 3 5 2 6 2" xfId="11035"/>
    <cellStyle name="Normal 57 3 5 2 6 3" xfId="21039"/>
    <cellStyle name="Normal 57 3 5 2 7" xfId="5842"/>
    <cellStyle name="Normal 57 3 5 2 7 2" xfId="14669"/>
    <cellStyle name="Normal 57 3 5 2 7 3" xfId="24920"/>
    <cellStyle name="Normal 57 3 5 2 8" xfId="7286"/>
    <cellStyle name="Normal 57 3 5 2 8 2" xfId="20012"/>
    <cellStyle name="Normal 57 3 5 2 9" xfId="16032"/>
    <cellStyle name="Normal 57 3 5 2_Degree data" xfId="3960"/>
    <cellStyle name="Normal 57 3 5 3" xfId="361"/>
    <cellStyle name="Normal 57 3 5 3 2" xfId="2847"/>
    <cellStyle name="Normal 57 3 5 3 2 2" xfId="12135"/>
    <cellStyle name="Normal 57 3 5 3 2 2 2" xfId="22208"/>
    <cellStyle name="Normal 57 3 5 3 2 3" xfId="8646"/>
    <cellStyle name="Normal 57 3 5 3 2 4" xfId="17201"/>
    <cellStyle name="Normal 57 3 5 3 3" xfId="4667"/>
    <cellStyle name="Normal 57 3 5 3 3 2" xfId="13505"/>
    <cellStyle name="Normal 57 3 5 3 3 2 2" xfId="23756"/>
    <cellStyle name="Normal 57 3 5 3 3 3" xfId="9926"/>
    <cellStyle name="Normal 57 3 5 3 3 4" xfId="18749"/>
    <cellStyle name="Normal 57 3 5 3 4" xfId="1956"/>
    <cellStyle name="Normal 57 3 5 3 4 2" xfId="11321"/>
    <cellStyle name="Normal 57 3 5 3 4 3" xfId="21325"/>
    <cellStyle name="Normal 57 3 5 3 5" xfId="6123"/>
    <cellStyle name="Normal 57 3 5 3 5 2" xfId="14950"/>
    <cellStyle name="Normal 57 3 5 3 5 3" xfId="25201"/>
    <cellStyle name="Normal 57 3 5 3 6" xfId="7568"/>
    <cellStyle name="Normal 57 3 5 3 6 2" xfId="19807"/>
    <cellStyle name="Normal 57 3 5 3 7" xfId="16318"/>
    <cellStyle name="Normal 57 3 5 4" xfId="853"/>
    <cellStyle name="Normal 57 3 5 4 2" xfId="3338"/>
    <cellStyle name="Normal 57 3 5 4 2 2" xfId="12480"/>
    <cellStyle name="Normal 57 3 5 4 2 2 2" xfId="22699"/>
    <cellStyle name="Normal 57 3 5 4 2 3" xfId="8902"/>
    <cellStyle name="Normal 57 3 5 4 2 4" xfId="17692"/>
    <cellStyle name="Normal 57 3 5 4 3" xfId="5016"/>
    <cellStyle name="Normal 57 3 5 4 3 2" xfId="13853"/>
    <cellStyle name="Normal 57 3 5 4 3 2 2" xfId="24104"/>
    <cellStyle name="Normal 57 3 5 4 3 3" xfId="10274"/>
    <cellStyle name="Normal 57 3 5 4 3 4" xfId="19097"/>
    <cellStyle name="Normal 57 3 5 4 4" xfId="2447"/>
    <cellStyle name="Normal 57 3 5 4 4 2" xfId="11812"/>
    <cellStyle name="Normal 57 3 5 4 4 3" xfId="21816"/>
    <cellStyle name="Normal 57 3 5 4 5" xfId="6471"/>
    <cellStyle name="Normal 57 3 5 4 5 2" xfId="15298"/>
    <cellStyle name="Normal 57 3 5 4 5 3" xfId="25549"/>
    <cellStyle name="Normal 57 3 5 4 6" xfId="7917"/>
    <cellStyle name="Normal 57 3 5 4 6 2" xfId="20298"/>
    <cellStyle name="Normal 57 3 5 4 7" xfId="16809"/>
    <cellStyle name="Normal 57 3 5 5" xfId="1133"/>
    <cellStyle name="Normal 57 3 5 5 2" xfId="3562"/>
    <cellStyle name="Normal 57 3 5 5 2 2" xfId="12698"/>
    <cellStyle name="Normal 57 3 5 5 2 2 2" xfId="22917"/>
    <cellStyle name="Normal 57 3 5 5 2 3" xfId="9119"/>
    <cellStyle name="Normal 57 3 5 5 2 4" xfId="17910"/>
    <cellStyle name="Normal 57 3 5 5 3" xfId="5225"/>
    <cellStyle name="Normal 57 3 5 5 3 2" xfId="14062"/>
    <cellStyle name="Normal 57 3 5 5 3 2 2" xfId="24313"/>
    <cellStyle name="Normal 57 3 5 5 3 3" xfId="10483"/>
    <cellStyle name="Normal 57 3 5 5 3 4" xfId="19306"/>
    <cellStyle name="Normal 57 3 5 5 4" xfId="1841"/>
    <cellStyle name="Normal 57 3 5 5 4 2" xfId="11209"/>
    <cellStyle name="Normal 57 3 5 5 4 3" xfId="21213"/>
    <cellStyle name="Normal 57 3 5 5 5" xfId="6680"/>
    <cellStyle name="Normal 57 3 5 5 5 2" xfId="15507"/>
    <cellStyle name="Normal 57 3 5 5 5 3" xfId="25758"/>
    <cellStyle name="Normal 57 3 5 5 6" xfId="8126"/>
    <cellStyle name="Normal 57 3 5 5 6 2" xfId="20516"/>
    <cellStyle name="Normal 57 3 5 5 7" xfId="16206"/>
    <cellStyle name="Normal 57 3 5 6" xfId="2735"/>
    <cellStyle name="Normal 57 3 5 6 2" xfId="12052"/>
    <cellStyle name="Normal 57 3 5 6 2 2" xfId="22096"/>
    <cellStyle name="Normal 57 3 5 6 3" xfId="8554"/>
    <cellStyle name="Normal 57 3 5 6 4" xfId="17089"/>
    <cellStyle name="Normal 57 3 5 7" xfId="4181"/>
    <cellStyle name="Normal 57 3 5 7 2" xfId="13019"/>
    <cellStyle name="Normal 57 3 5 7 2 2" xfId="23270"/>
    <cellStyle name="Normal 57 3 5 7 3" xfId="9440"/>
    <cellStyle name="Normal 57 3 5 7 4" xfId="18263"/>
    <cellStyle name="Normal 57 3 5 8" xfId="1453"/>
    <cellStyle name="Normal 57 3 5 8 2" xfId="10830"/>
    <cellStyle name="Normal 57 3 5 8 3" xfId="20834"/>
    <cellStyle name="Normal 57 3 5 9" xfId="5637"/>
    <cellStyle name="Normal 57 3 5 9 2" xfId="14464"/>
    <cellStyle name="Normal 57 3 5 9 3" xfId="24715"/>
    <cellStyle name="Normal 57 3 5_Degree data" xfId="3959"/>
    <cellStyle name="Normal 57 3 6" xfId="461"/>
    <cellStyle name="Normal 57 3 6 2" xfId="855"/>
    <cellStyle name="Normal 57 3 6 2 2" xfId="3340"/>
    <cellStyle name="Normal 57 3 6 2 2 2" xfId="12482"/>
    <cellStyle name="Normal 57 3 6 2 2 2 2" xfId="22701"/>
    <cellStyle name="Normal 57 3 6 2 2 3" xfId="8904"/>
    <cellStyle name="Normal 57 3 6 2 2 4" xfId="17694"/>
    <cellStyle name="Normal 57 3 6 2 3" xfId="4669"/>
    <cellStyle name="Normal 57 3 6 2 3 2" xfId="13507"/>
    <cellStyle name="Normal 57 3 6 2 3 2 2" xfId="23758"/>
    <cellStyle name="Normal 57 3 6 2 3 3" xfId="9928"/>
    <cellStyle name="Normal 57 3 6 2 3 4" xfId="18751"/>
    <cellStyle name="Normal 57 3 6 2 4" xfId="2449"/>
    <cellStyle name="Normal 57 3 6 2 4 2" xfId="11814"/>
    <cellStyle name="Normal 57 3 6 2 4 3" xfId="21818"/>
    <cellStyle name="Normal 57 3 6 2 5" xfId="6125"/>
    <cellStyle name="Normal 57 3 6 2 5 2" xfId="14952"/>
    <cellStyle name="Normal 57 3 6 2 5 3" xfId="25203"/>
    <cellStyle name="Normal 57 3 6 2 6" xfId="7570"/>
    <cellStyle name="Normal 57 3 6 2 6 2" xfId="20300"/>
    <cellStyle name="Normal 57 3 6 2 7" xfId="16811"/>
    <cellStyle name="Normal 57 3 6 3" xfId="1233"/>
    <cellStyle name="Normal 57 3 6 3 2" xfId="3662"/>
    <cellStyle name="Normal 57 3 6 3 2 2" xfId="12798"/>
    <cellStyle name="Normal 57 3 6 3 2 2 2" xfId="23017"/>
    <cellStyle name="Normal 57 3 6 3 2 3" xfId="9219"/>
    <cellStyle name="Normal 57 3 6 3 2 4" xfId="18010"/>
    <cellStyle name="Normal 57 3 6 3 3" xfId="5018"/>
    <cellStyle name="Normal 57 3 6 3 3 2" xfId="13855"/>
    <cellStyle name="Normal 57 3 6 3 3 2 2" xfId="24106"/>
    <cellStyle name="Normal 57 3 6 3 3 3" xfId="10276"/>
    <cellStyle name="Normal 57 3 6 3 3 4" xfId="19099"/>
    <cellStyle name="Normal 57 3 6 3 4" xfId="2056"/>
    <cellStyle name="Normal 57 3 6 3 4 2" xfId="11421"/>
    <cellStyle name="Normal 57 3 6 3 4 3" xfId="21425"/>
    <cellStyle name="Normal 57 3 6 3 5" xfId="6473"/>
    <cellStyle name="Normal 57 3 6 3 5 2" xfId="15300"/>
    <cellStyle name="Normal 57 3 6 3 5 3" xfId="25551"/>
    <cellStyle name="Normal 57 3 6 3 6" xfId="7919"/>
    <cellStyle name="Normal 57 3 6 3 6 2" xfId="20616"/>
    <cellStyle name="Normal 57 3 6 3 7" xfId="16418"/>
    <cellStyle name="Normal 57 3 6 4" xfId="2947"/>
    <cellStyle name="Normal 57 3 6 4 2" xfId="5325"/>
    <cellStyle name="Normal 57 3 6 4 2 2" xfId="14162"/>
    <cellStyle name="Normal 57 3 6 4 2 2 2" xfId="24413"/>
    <cellStyle name="Normal 57 3 6 4 2 3" xfId="10583"/>
    <cellStyle name="Normal 57 3 6 4 2 4" xfId="19406"/>
    <cellStyle name="Normal 57 3 6 4 3" xfId="6780"/>
    <cellStyle name="Normal 57 3 6 4 3 2" xfId="15607"/>
    <cellStyle name="Normal 57 3 6 4 3 3" xfId="25858"/>
    <cellStyle name="Normal 57 3 6 4 4" xfId="8226"/>
    <cellStyle name="Normal 57 3 6 4 4 2" xfId="22308"/>
    <cellStyle name="Normal 57 3 6 4 5" xfId="17301"/>
    <cellStyle name="Normal 57 3 6 5" xfId="4281"/>
    <cellStyle name="Normal 57 3 6 5 2" xfId="13119"/>
    <cellStyle name="Normal 57 3 6 5 2 2" xfId="23370"/>
    <cellStyle name="Normal 57 3 6 5 3" xfId="9540"/>
    <cellStyle name="Normal 57 3 6 5 4" xfId="18363"/>
    <cellStyle name="Normal 57 3 6 6" xfId="1553"/>
    <cellStyle name="Normal 57 3 6 6 2" xfId="10930"/>
    <cellStyle name="Normal 57 3 6 6 3" xfId="20934"/>
    <cellStyle name="Normal 57 3 6 7" xfId="5737"/>
    <cellStyle name="Normal 57 3 6 7 2" xfId="14564"/>
    <cellStyle name="Normal 57 3 6 7 3" xfId="24815"/>
    <cellStyle name="Normal 57 3 6 8" xfId="7181"/>
    <cellStyle name="Normal 57 3 6 8 2" xfId="19907"/>
    <cellStyle name="Normal 57 3 6 9" xfId="15927"/>
    <cellStyle name="Normal 57 3 6_Degree data" xfId="3961"/>
    <cellStyle name="Normal 57 3 7" xfId="309"/>
    <cellStyle name="Normal 57 3 7 2" xfId="856"/>
    <cellStyle name="Normal 57 3 7 2 2" xfId="3341"/>
    <cellStyle name="Normal 57 3 7 2 2 2" xfId="12483"/>
    <cellStyle name="Normal 57 3 7 2 2 2 2" xfId="22702"/>
    <cellStyle name="Normal 57 3 7 2 2 3" xfId="8905"/>
    <cellStyle name="Normal 57 3 7 2 2 4" xfId="17695"/>
    <cellStyle name="Normal 57 3 7 2 3" xfId="4670"/>
    <cellStyle name="Normal 57 3 7 2 3 2" xfId="13508"/>
    <cellStyle name="Normal 57 3 7 2 3 2 2" xfId="23759"/>
    <cellStyle name="Normal 57 3 7 2 3 3" xfId="9929"/>
    <cellStyle name="Normal 57 3 7 2 3 4" xfId="18752"/>
    <cellStyle name="Normal 57 3 7 2 4" xfId="2450"/>
    <cellStyle name="Normal 57 3 7 2 4 2" xfId="11815"/>
    <cellStyle name="Normal 57 3 7 2 4 3" xfId="21819"/>
    <cellStyle name="Normal 57 3 7 2 5" xfId="6126"/>
    <cellStyle name="Normal 57 3 7 2 5 2" xfId="14953"/>
    <cellStyle name="Normal 57 3 7 2 5 3" xfId="25204"/>
    <cellStyle name="Normal 57 3 7 2 6" xfId="7571"/>
    <cellStyle name="Normal 57 3 7 2 6 2" xfId="20301"/>
    <cellStyle name="Normal 57 3 7 2 7" xfId="16812"/>
    <cellStyle name="Normal 57 3 7 3" xfId="1081"/>
    <cellStyle name="Normal 57 3 7 3 2" xfId="3510"/>
    <cellStyle name="Normal 57 3 7 3 2 2" xfId="12646"/>
    <cellStyle name="Normal 57 3 7 3 2 2 2" xfId="22865"/>
    <cellStyle name="Normal 57 3 7 3 2 3" xfId="9068"/>
    <cellStyle name="Normal 57 3 7 3 2 4" xfId="17858"/>
    <cellStyle name="Normal 57 3 7 3 3" xfId="5019"/>
    <cellStyle name="Normal 57 3 7 3 3 2" xfId="13856"/>
    <cellStyle name="Normal 57 3 7 3 3 2 2" xfId="24107"/>
    <cellStyle name="Normal 57 3 7 3 3 3" xfId="10277"/>
    <cellStyle name="Normal 57 3 7 3 3 4" xfId="19100"/>
    <cellStyle name="Normal 57 3 7 3 4" xfId="2599"/>
    <cellStyle name="Normal 57 3 7 3 4 2" xfId="11963"/>
    <cellStyle name="Normal 57 3 7 3 4 3" xfId="21967"/>
    <cellStyle name="Normal 57 3 7 3 5" xfId="6474"/>
    <cellStyle name="Normal 57 3 7 3 5 2" xfId="15301"/>
    <cellStyle name="Normal 57 3 7 3 5 3" xfId="25552"/>
    <cellStyle name="Normal 57 3 7 3 6" xfId="7920"/>
    <cellStyle name="Normal 57 3 7 3 6 2" xfId="20464"/>
    <cellStyle name="Normal 57 3 7 3 7" xfId="16960"/>
    <cellStyle name="Normal 57 3 7 4" xfId="2795"/>
    <cellStyle name="Normal 57 3 7 4 2" xfId="5173"/>
    <cellStyle name="Normal 57 3 7 4 2 2" xfId="14010"/>
    <cellStyle name="Normal 57 3 7 4 2 2 2" xfId="24261"/>
    <cellStyle name="Normal 57 3 7 4 2 3" xfId="10431"/>
    <cellStyle name="Normal 57 3 7 4 2 4" xfId="19254"/>
    <cellStyle name="Normal 57 3 7 4 3" xfId="6628"/>
    <cellStyle name="Normal 57 3 7 4 3 2" xfId="15455"/>
    <cellStyle name="Normal 57 3 7 4 3 3" xfId="25706"/>
    <cellStyle name="Normal 57 3 7 4 4" xfId="8074"/>
    <cellStyle name="Normal 57 3 7 4 4 2" xfId="22156"/>
    <cellStyle name="Normal 57 3 7 4 5" xfId="17149"/>
    <cellStyle name="Normal 57 3 7 5" xfId="4127"/>
    <cellStyle name="Normal 57 3 7 5 2" xfId="12965"/>
    <cellStyle name="Normal 57 3 7 5 2 2" xfId="23216"/>
    <cellStyle name="Normal 57 3 7 5 3" xfId="9386"/>
    <cellStyle name="Normal 57 3 7 5 4" xfId="18209"/>
    <cellStyle name="Normal 57 3 7 6" xfId="1904"/>
    <cellStyle name="Normal 57 3 7 6 2" xfId="11269"/>
    <cellStyle name="Normal 57 3 7 6 3" xfId="21273"/>
    <cellStyle name="Normal 57 3 7 7" xfId="5585"/>
    <cellStyle name="Normal 57 3 7 7 2" xfId="14412"/>
    <cellStyle name="Normal 57 3 7 7 3" xfId="24663"/>
    <cellStyle name="Normal 57 3 7 8" xfId="7029"/>
    <cellStyle name="Normal 57 3 7 8 2" xfId="19755"/>
    <cellStyle name="Normal 57 3 7 9" xfId="16266"/>
    <cellStyle name="Normal 57 3 7_Degree data" xfId="3962"/>
    <cellStyle name="Normal 57 3 8" xfId="837"/>
    <cellStyle name="Normal 57 3 8 2" xfId="3322"/>
    <cellStyle name="Normal 57 3 8 2 2" xfId="12464"/>
    <cellStyle name="Normal 57 3 8 2 2 2" xfId="22683"/>
    <cellStyle name="Normal 57 3 8 2 3" xfId="8886"/>
    <cellStyle name="Normal 57 3 8 2 4" xfId="17676"/>
    <cellStyle name="Normal 57 3 8 3" xfId="4651"/>
    <cellStyle name="Normal 57 3 8 3 2" xfId="13489"/>
    <cellStyle name="Normal 57 3 8 3 2 2" xfId="23740"/>
    <cellStyle name="Normal 57 3 8 3 3" xfId="9910"/>
    <cellStyle name="Normal 57 3 8 3 4" xfId="18733"/>
    <cellStyle name="Normal 57 3 8 4" xfId="2431"/>
    <cellStyle name="Normal 57 3 8 4 2" xfId="11796"/>
    <cellStyle name="Normal 57 3 8 4 3" xfId="21800"/>
    <cellStyle name="Normal 57 3 8 5" xfId="6107"/>
    <cellStyle name="Normal 57 3 8 5 2" xfId="14934"/>
    <cellStyle name="Normal 57 3 8 5 3" xfId="25185"/>
    <cellStyle name="Normal 57 3 8 6" xfId="7552"/>
    <cellStyle name="Normal 57 3 8 6 2" xfId="20282"/>
    <cellStyle name="Normal 57 3 8 7" xfId="16793"/>
    <cellStyle name="Normal 57 3 9" xfId="1049"/>
    <cellStyle name="Normal 57 3 9 2" xfId="3478"/>
    <cellStyle name="Normal 57 3 9 2 2" xfId="12614"/>
    <cellStyle name="Normal 57 3 9 2 2 2" xfId="22833"/>
    <cellStyle name="Normal 57 3 9 2 3" xfId="9036"/>
    <cellStyle name="Normal 57 3 9 2 4" xfId="17826"/>
    <cellStyle name="Normal 57 3 9 3" xfId="5000"/>
    <cellStyle name="Normal 57 3 9 3 2" xfId="13837"/>
    <cellStyle name="Normal 57 3 9 3 2 2" xfId="24088"/>
    <cellStyle name="Normal 57 3 9 3 3" xfId="10258"/>
    <cellStyle name="Normal 57 3 9 3 4" xfId="19081"/>
    <cellStyle name="Normal 57 3 9 4" xfId="1729"/>
    <cellStyle name="Normal 57 3 9 4 2" xfId="11103"/>
    <cellStyle name="Normal 57 3 9 4 3" xfId="21107"/>
    <cellStyle name="Normal 57 3 9 5" xfId="6455"/>
    <cellStyle name="Normal 57 3 9 5 2" xfId="15282"/>
    <cellStyle name="Normal 57 3 9 5 3" xfId="25533"/>
    <cellStyle name="Normal 57 3 9 6" xfId="7901"/>
    <cellStyle name="Normal 57 3 9 6 2" xfId="20432"/>
    <cellStyle name="Normal 57 3 9 7" xfId="16100"/>
    <cellStyle name="Normal 57 3_Degree data" xfId="3943"/>
    <cellStyle name="Normal 57 4" xfId="111"/>
    <cellStyle name="Normal 57 4 10" xfId="4101"/>
    <cellStyle name="Normal 57 4 10 2" xfId="5559"/>
    <cellStyle name="Normal 57 4 10 2 2" xfId="14386"/>
    <cellStyle name="Normal 57 4 10 2 3" xfId="24637"/>
    <cellStyle name="Normal 57 4 10 3" xfId="7003"/>
    <cellStyle name="Normal 57 4 10 3 2" xfId="23190"/>
    <cellStyle name="Normal 57 4 10 4" xfId="18183"/>
    <cellStyle name="Normal 57 4 11" xfId="1418"/>
    <cellStyle name="Normal 57 4 11 2" xfId="10795"/>
    <cellStyle name="Normal 57 4 11 3" xfId="20799"/>
    <cellStyle name="Normal 57 4 12" xfId="5509"/>
    <cellStyle name="Normal 57 4 12 2" xfId="14336"/>
    <cellStyle name="Normal 57 4 12 3" xfId="24587"/>
    <cellStyle name="Normal 57 4 13" xfId="6948"/>
    <cellStyle name="Normal 57 4 13 2" xfId="19586"/>
    <cellStyle name="Normal 57 4 14" xfId="15792"/>
    <cellStyle name="Normal 57 4 2" xfId="150"/>
    <cellStyle name="Normal 57 4 2 10" xfId="5529"/>
    <cellStyle name="Normal 57 4 2 10 2" xfId="14356"/>
    <cellStyle name="Normal 57 4 2 10 3" xfId="24607"/>
    <cellStyle name="Normal 57 4 2 11" xfId="6970"/>
    <cellStyle name="Normal 57 4 2 11 2" xfId="19614"/>
    <cellStyle name="Normal 57 4 2 12" xfId="15851"/>
    <cellStyle name="Normal 57 4 2 2" xfId="200"/>
    <cellStyle name="Normal 57 4 2 2 10" xfId="7148"/>
    <cellStyle name="Normal 57 4 2 2 10 2" xfId="19657"/>
    <cellStyle name="Normal 57 4 2 2 11" xfId="15894"/>
    <cellStyle name="Normal 57 4 2 2 2" xfId="528"/>
    <cellStyle name="Normal 57 4 2 2 2 2" xfId="860"/>
    <cellStyle name="Normal 57 4 2 2 2 2 2" xfId="3345"/>
    <cellStyle name="Normal 57 4 2 2 2 2 2 2" xfId="12487"/>
    <cellStyle name="Normal 57 4 2 2 2 2 2 2 2" xfId="22706"/>
    <cellStyle name="Normal 57 4 2 2 2 2 2 3" xfId="8909"/>
    <cellStyle name="Normal 57 4 2 2 2 2 2 4" xfId="17699"/>
    <cellStyle name="Normal 57 4 2 2 2 2 3" xfId="4674"/>
    <cellStyle name="Normal 57 4 2 2 2 2 3 2" xfId="13512"/>
    <cellStyle name="Normal 57 4 2 2 2 2 3 2 2" xfId="23763"/>
    <cellStyle name="Normal 57 4 2 2 2 2 3 3" xfId="9933"/>
    <cellStyle name="Normal 57 4 2 2 2 2 3 4" xfId="18756"/>
    <cellStyle name="Normal 57 4 2 2 2 2 4" xfId="2454"/>
    <cellStyle name="Normal 57 4 2 2 2 2 4 2" xfId="11819"/>
    <cellStyle name="Normal 57 4 2 2 2 2 4 3" xfId="21823"/>
    <cellStyle name="Normal 57 4 2 2 2 2 5" xfId="6130"/>
    <cellStyle name="Normal 57 4 2 2 2 2 5 2" xfId="14957"/>
    <cellStyle name="Normal 57 4 2 2 2 2 5 3" xfId="25208"/>
    <cellStyle name="Normal 57 4 2 2 2 2 6" xfId="7575"/>
    <cellStyle name="Normal 57 4 2 2 2 2 6 2" xfId="20305"/>
    <cellStyle name="Normal 57 4 2 2 2 2 7" xfId="16816"/>
    <cellStyle name="Normal 57 4 2 2 2 3" xfId="1300"/>
    <cellStyle name="Normal 57 4 2 2 2 3 2" xfId="3729"/>
    <cellStyle name="Normal 57 4 2 2 2 3 2 2" xfId="12865"/>
    <cellStyle name="Normal 57 4 2 2 2 3 2 2 2" xfId="23084"/>
    <cellStyle name="Normal 57 4 2 2 2 3 2 3" xfId="9286"/>
    <cellStyle name="Normal 57 4 2 2 2 3 2 4" xfId="18077"/>
    <cellStyle name="Normal 57 4 2 2 2 3 3" xfId="5023"/>
    <cellStyle name="Normal 57 4 2 2 2 3 3 2" xfId="13860"/>
    <cellStyle name="Normal 57 4 2 2 2 3 3 2 2" xfId="24111"/>
    <cellStyle name="Normal 57 4 2 2 2 3 3 3" xfId="10281"/>
    <cellStyle name="Normal 57 4 2 2 2 3 3 4" xfId="19104"/>
    <cellStyle name="Normal 57 4 2 2 2 3 4" xfId="2123"/>
    <cellStyle name="Normal 57 4 2 2 2 3 4 2" xfId="11488"/>
    <cellStyle name="Normal 57 4 2 2 2 3 4 3" xfId="21492"/>
    <cellStyle name="Normal 57 4 2 2 2 3 5" xfId="6478"/>
    <cellStyle name="Normal 57 4 2 2 2 3 5 2" xfId="15305"/>
    <cellStyle name="Normal 57 4 2 2 2 3 5 3" xfId="25556"/>
    <cellStyle name="Normal 57 4 2 2 2 3 6" xfId="7924"/>
    <cellStyle name="Normal 57 4 2 2 2 3 6 2" xfId="20683"/>
    <cellStyle name="Normal 57 4 2 2 2 3 7" xfId="16485"/>
    <cellStyle name="Normal 57 4 2 2 2 4" xfId="3014"/>
    <cellStyle name="Normal 57 4 2 2 2 4 2" xfId="5392"/>
    <cellStyle name="Normal 57 4 2 2 2 4 2 2" xfId="14229"/>
    <cellStyle name="Normal 57 4 2 2 2 4 2 2 2" xfId="24480"/>
    <cellStyle name="Normal 57 4 2 2 2 4 2 3" xfId="10650"/>
    <cellStyle name="Normal 57 4 2 2 2 4 2 4" xfId="19473"/>
    <cellStyle name="Normal 57 4 2 2 2 4 3" xfId="6847"/>
    <cellStyle name="Normal 57 4 2 2 2 4 3 2" xfId="15674"/>
    <cellStyle name="Normal 57 4 2 2 2 4 3 3" xfId="25925"/>
    <cellStyle name="Normal 57 4 2 2 2 4 4" xfId="8293"/>
    <cellStyle name="Normal 57 4 2 2 2 4 4 2" xfId="22375"/>
    <cellStyle name="Normal 57 4 2 2 2 4 5" xfId="17368"/>
    <cellStyle name="Normal 57 4 2 2 2 5" xfId="4348"/>
    <cellStyle name="Normal 57 4 2 2 2 5 2" xfId="13186"/>
    <cellStyle name="Normal 57 4 2 2 2 5 2 2" xfId="23437"/>
    <cellStyle name="Normal 57 4 2 2 2 5 3" xfId="9607"/>
    <cellStyle name="Normal 57 4 2 2 2 5 4" xfId="18430"/>
    <cellStyle name="Normal 57 4 2 2 2 6" xfId="1620"/>
    <cellStyle name="Normal 57 4 2 2 2 6 2" xfId="10997"/>
    <cellStyle name="Normal 57 4 2 2 2 6 3" xfId="21001"/>
    <cellStyle name="Normal 57 4 2 2 2 7" xfId="5804"/>
    <cellStyle name="Normal 57 4 2 2 2 7 2" xfId="14631"/>
    <cellStyle name="Normal 57 4 2 2 2 7 3" xfId="24882"/>
    <cellStyle name="Normal 57 4 2 2 2 8" xfId="7248"/>
    <cellStyle name="Normal 57 4 2 2 2 8 2" xfId="19974"/>
    <cellStyle name="Normal 57 4 2 2 2 9" xfId="15994"/>
    <cellStyle name="Normal 57 4 2 2 2_Degree data" xfId="3966"/>
    <cellStyle name="Normal 57 4 2 2 3" xfId="428"/>
    <cellStyle name="Normal 57 4 2 2 3 2" xfId="2914"/>
    <cellStyle name="Normal 57 4 2 2 3 2 2" xfId="12202"/>
    <cellStyle name="Normal 57 4 2 2 3 2 2 2" xfId="22275"/>
    <cellStyle name="Normal 57 4 2 2 3 2 3" xfId="8401"/>
    <cellStyle name="Normal 57 4 2 2 3 2 4" xfId="17268"/>
    <cellStyle name="Normal 57 4 2 2 3 3" xfId="4673"/>
    <cellStyle name="Normal 57 4 2 2 3 3 2" xfId="13511"/>
    <cellStyle name="Normal 57 4 2 2 3 3 2 2" xfId="23762"/>
    <cellStyle name="Normal 57 4 2 2 3 3 3" xfId="9932"/>
    <cellStyle name="Normal 57 4 2 2 3 3 4" xfId="18755"/>
    <cellStyle name="Normal 57 4 2 2 3 4" xfId="2023"/>
    <cellStyle name="Normal 57 4 2 2 3 4 2" xfId="11388"/>
    <cellStyle name="Normal 57 4 2 2 3 4 3" xfId="21392"/>
    <cellStyle name="Normal 57 4 2 2 3 5" xfId="6129"/>
    <cellStyle name="Normal 57 4 2 2 3 5 2" xfId="14956"/>
    <cellStyle name="Normal 57 4 2 2 3 5 3" xfId="25207"/>
    <cellStyle name="Normal 57 4 2 2 3 6" xfId="7574"/>
    <cellStyle name="Normal 57 4 2 2 3 6 2" xfId="19874"/>
    <cellStyle name="Normal 57 4 2 2 3 7" xfId="16385"/>
    <cellStyle name="Normal 57 4 2 2 4" xfId="859"/>
    <cellStyle name="Normal 57 4 2 2 4 2" xfId="3344"/>
    <cellStyle name="Normal 57 4 2 2 4 2 2" xfId="12486"/>
    <cellStyle name="Normal 57 4 2 2 4 2 2 2" xfId="22705"/>
    <cellStyle name="Normal 57 4 2 2 4 2 3" xfId="8908"/>
    <cellStyle name="Normal 57 4 2 2 4 2 4" xfId="17698"/>
    <cellStyle name="Normal 57 4 2 2 4 3" xfId="5022"/>
    <cellStyle name="Normal 57 4 2 2 4 3 2" xfId="13859"/>
    <cellStyle name="Normal 57 4 2 2 4 3 2 2" xfId="24110"/>
    <cellStyle name="Normal 57 4 2 2 4 3 3" xfId="10280"/>
    <cellStyle name="Normal 57 4 2 2 4 3 4" xfId="19103"/>
    <cellStyle name="Normal 57 4 2 2 4 4" xfId="2453"/>
    <cellStyle name="Normal 57 4 2 2 4 4 2" xfId="11818"/>
    <cellStyle name="Normal 57 4 2 2 4 4 3" xfId="21822"/>
    <cellStyle name="Normal 57 4 2 2 4 5" xfId="6477"/>
    <cellStyle name="Normal 57 4 2 2 4 5 2" xfId="15304"/>
    <cellStyle name="Normal 57 4 2 2 4 5 3" xfId="25555"/>
    <cellStyle name="Normal 57 4 2 2 4 6" xfId="7923"/>
    <cellStyle name="Normal 57 4 2 2 4 6 2" xfId="20304"/>
    <cellStyle name="Normal 57 4 2 2 4 7" xfId="16815"/>
    <cellStyle name="Normal 57 4 2 2 5" xfId="1200"/>
    <cellStyle name="Normal 57 4 2 2 5 2" xfId="3629"/>
    <cellStyle name="Normal 57 4 2 2 5 2 2" xfId="12765"/>
    <cellStyle name="Normal 57 4 2 2 5 2 2 2" xfId="22984"/>
    <cellStyle name="Normal 57 4 2 2 5 2 3" xfId="9186"/>
    <cellStyle name="Normal 57 4 2 2 5 2 4" xfId="17977"/>
    <cellStyle name="Normal 57 4 2 2 5 3" xfId="5292"/>
    <cellStyle name="Normal 57 4 2 2 5 3 2" xfId="14129"/>
    <cellStyle name="Normal 57 4 2 2 5 3 2 2" xfId="24380"/>
    <cellStyle name="Normal 57 4 2 2 5 3 3" xfId="10550"/>
    <cellStyle name="Normal 57 4 2 2 5 3 4" xfId="19373"/>
    <cellStyle name="Normal 57 4 2 2 5 4" xfId="1802"/>
    <cellStyle name="Normal 57 4 2 2 5 4 2" xfId="11171"/>
    <cellStyle name="Normal 57 4 2 2 5 4 3" xfId="21175"/>
    <cellStyle name="Normal 57 4 2 2 5 5" xfId="6747"/>
    <cellStyle name="Normal 57 4 2 2 5 5 2" xfId="15574"/>
    <cellStyle name="Normal 57 4 2 2 5 5 3" xfId="25825"/>
    <cellStyle name="Normal 57 4 2 2 5 6" xfId="8193"/>
    <cellStyle name="Normal 57 4 2 2 5 6 2" xfId="20583"/>
    <cellStyle name="Normal 57 4 2 2 5 7" xfId="16168"/>
    <cellStyle name="Normal 57 4 2 2 6" xfId="2697"/>
    <cellStyle name="Normal 57 4 2 2 6 2" xfId="12014"/>
    <cellStyle name="Normal 57 4 2 2 6 2 2" xfId="22058"/>
    <cellStyle name="Normal 57 4 2 2 6 3" xfId="8503"/>
    <cellStyle name="Normal 57 4 2 2 6 4" xfId="17051"/>
    <cellStyle name="Normal 57 4 2 2 7" xfId="4248"/>
    <cellStyle name="Normal 57 4 2 2 7 2" xfId="13086"/>
    <cellStyle name="Normal 57 4 2 2 7 2 2" xfId="23337"/>
    <cellStyle name="Normal 57 4 2 2 7 3" xfId="9507"/>
    <cellStyle name="Normal 57 4 2 2 7 4" xfId="18330"/>
    <cellStyle name="Normal 57 4 2 2 8" xfId="1520"/>
    <cellStyle name="Normal 57 4 2 2 8 2" xfId="10897"/>
    <cellStyle name="Normal 57 4 2 2 8 3" xfId="20901"/>
    <cellStyle name="Normal 57 4 2 2 9" xfId="5704"/>
    <cellStyle name="Normal 57 4 2 2 9 2" xfId="14531"/>
    <cellStyle name="Normal 57 4 2 2 9 3" xfId="24782"/>
    <cellStyle name="Normal 57 4 2 2_Degree data" xfId="3965"/>
    <cellStyle name="Normal 57 4 2 3" xfId="485"/>
    <cellStyle name="Normal 57 4 2 3 2" xfId="861"/>
    <cellStyle name="Normal 57 4 2 3 2 2" xfId="3346"/>
    <cellStyle name="Normal 57 4 2 3 2 2 2" xfId="12488"/>
    <cellStyle name="Normal 57 4 2 3 2 2 2 2" xfId="22707"/>
    <cellStyle name="Normal 57 4 2 3 2 2 3" xfId="8910"/>
    <cellStyle name="Normal 57 4 2 3 2 2 4" xfId="17700"/>
    <cellStyle name="Normal 57 4 2 3 2 3" xfId="4675"/>
    <cellStyle name="Normal 57 4 2 3 2 3 2" xfId="13513"/>
    <cellStyle name="Normal 57 4 2 3 2 3 2 2" xfId="23764"/>
    <cellStyle name="Normal 57 4 2 3 2 3 3" xfId="9934"/>
    <cellStyle name="Normal 57 4 2 3 2 3 4" xfId="18757"/>
    <cellStyle name="Normal 57 4 2 3 2 4" xfId="2455"/>
    <cellStyle name="Normal 57 4 2 3 2 4 2" xfId="11820"/>
    <cellStyle name="Normal 57 4 2 3 2 4 3" xfId="21824"/>
    <cellStyle name="Normal 57 4 2 3 2 5" xfId="6131"/>
    <cellStyle name="Normal 57 4 2 3 2 5 2" xfId="14958"/>
    <cellStyle name="Normal 57 4 2 3 2 5 3" xfId="25209"/>
    <cellStyle name="Normal 57 4 2 3 2 6" xfId="7576"/>
    <cellStyle name="Normal 57 4 2 3 2 6 2" xfId="20306"/>
    <cellStyle name="Normal 57 4 2 3 2 7" xfId="16817"/>
    <cellStyle name="Normal 57 4 2 3 3" xfId="1257"/>
    <cellStyle name="Normal 57 4 2 3 3 2" xfId="3686"/>
    <cellStyle name="Normal 57 4 2 3 3 2 2" xfId="12822"/>
    <cellStyle name="Normal 57 4 2 3 3 2 2 2" xfId="23041"/>
    <cellStyle name="Normal 57 4 2 3 3 2 3" xfId="9243"/>
    <cellStyle name="Normal 57 4 2 3 3 2 4" xfId="18034"/>
    <cellStyle name="Normal 57 4 2 3 3 3" xfId="5024"/>
    <cellStyle name="Normal 57 4 2 3 3 3 2" xfId="13861"/>
    <cellStyle name="Normal 57 4 2 3 3 3 2 2" xfId="24112"/>
    <cellStyle name="Normal 57 4 2 3 3 3 3" xfId="10282"/>
    <cellStyle name="Normal 57 4 2 3 3 3 4" xfId="19105"/>
    <cellStyle name="Normal 57 4 2 3 3 4" xfId="2080"/>
    <cellStyle name="Normal 57 4 2 3 3 4 2" xfId="11445"/>
    <cellStyle name="Normal 57 4 2 3 3 4 3" xfId="21449"/>
    <cellStyle name="Normal 57 4 2 3 3 5" xfId="6479"/>
    <cellStyle name="Normal 57 4 2 3 3 5 2" xfId="15306"/>
    <cellStyle name="Normal 57 4 2 3 3 5 3" xfId="25557"/>
    <cellStyle name="Normal 57 4 2 3 3 6" xfId="7925"/>
    <cellStyle name="Normal 57 4 2 3 3 6 2" xfId="20640"/>
    <cellStyle name="Normal 57 4 2 3 3 7" xfId="16442"/>
    <cellStyle name="Normal 57 4 2 3 4" xfId="2971"/>
    <cellStyle name="Normal 57 4 2 3 4 2" xfId="5349"/>
    <cellStyle name="Normal 57 4 2 3 4 2 2" xfId="14186"/>
    <cellStyle name="Normal 57 4 2 3 4 2 2 2" xfId="24437"/>
    <cellStyle name="Normal 57 4 2 3 4 2 3" xfId="10607"/>
    <cellStyle name="Normal 57 4 2 3 4 2 4" xfId="19430"/>
    <cellStyle name="Normal 57 4 2 3 4 3" xfId="6804"/>
    <cellStyle name="Normal 57 4 2 3 4 3 2" xfId="15631"/>
    <cellStyle name="Normal 57 4 2 3 4 3 3" xfId="25882"/>
    <cellStyle name="Normal 57 4 2 3 4 4" xfId="8250"/>
    <cellStyle name="Normal 57 4 2 3 4 4 2" xfId="22332"/>
    <cellStyle name="Normal 57 4 2 3 4 5" xfId="17325"/>
    <cellStyle name="Normal 57 4 2 3 5" xfId="4305"/>
    <cellStyle name="Normal 57 4 2 3 5 2" xfId="13143"/>
    <cellStyle name="Normal 57 4 2 3 5 2 2" xfId="23394"/>
    <cellStyle name="Normal 57 4 2 3 5 3" xfId="9564"/>
    <cellStyle name="Normal 57 4 2 3 5 4" xfId="18387"/>
    <cellStyle name="Normal 57 4 2 3 6" xfId="1577"/>
    <cellStyle name="Normal 57 4 2 3 6 2" xfId="10954"/>
    <cellStyle name="Normal 57 4 2 3 6 3" xfId="20958"/>
    <cellStyle name="Normal 57 4 2 3 7" xfId="5761"/>
    <cellStyle name="Normal 57 4 2 3 7 2" xfId="14588"/>
    <cellStyle name="Normal 57 4 2 3 7 3" xfId="24839"/>
    <cellStyle name="Normal 57 4 2 3 8" xfId="7205"/>
    <cellStyle name="Normal 57 4 2 3 8 2" xfId="19931"/>
    <cellStyle name="Normal 57 4 2 3 9" xfId="15951"/>
    <cellStyle name="Normal 57 4 2 3_Degree data" xfId="3967"/>
    <cellStyle name="Normal 57 4 2 4" xfId="385"/>
    <cellStyle name="Normal 57 4 2 4 2" xfId="2871"/>
    <cellStyle name="Normal 57 4 2 4 2 2" xfId="12159"/>
    <cellStyle name="Normal 57 4 2 4 2 2 2" xfId="22232"/>
    <cellStyle name="Normal 57 4 2 4 2 3" xfId="8440"/>
    <cellStyle name="Normal 57 4 2 4 2 4" xfId="17225"/>
    <cellStyle name="Normal 57 4 2 4 3" xfId="4672"/>
    <cellStyle name="Normal 57 4 2 4 3 2" xfId="13510"/>
    <cellStyle name="Normal 57 4 2 4 3 2 2" xfId="23761"/>
    <cellStyle name="Normal 57 4 2 4 3 3" xfId="9931"/>
    <cellStyle name="Normal 57 4 2 4 3 4" xfId="18754"/>
    <cellStyle name="Normal 57 4 2 4 4" xfId="1980"/>
    <cellStyle name="Normal 57 4 2 4 4 2" xfId="11345"/>
    <cellStyle name="Normal 57 4 2 4 4 3" xfId="21349"/>
    <cellStyle name="Normal 57 4 2 4 5" xfId="6128"/>
    <cellStyle name="Normal 57 4 2 4 5 2" xfId="14955"/>
    <cellStyle name="Normal 57 4 2 4 5 3" xfId="25206"/>
    <cellStyle name="Normal 57 4 2 4 6" xfId="7573"/>
    <cellStyle name="Normal 57 4 2 4 6 2" xfId="19831"/>
    <cellStyle name="Normal 57 4 2 4 7" xfId="16342"/>
    <cellStyle name="Normal 57 4 2 5" xfId="858"/>
    <cellStyle name="Normal 57 4 2 5 2" xfId="3343"/>
    <cellStyle name="Normal 57 4 2 5 2 2" xfId="12485"/>
    <cellStyle name="Normal 57 4 2 5 2 2 2" xfId="22704"/>
    <cellStyle name="Normal 57 4 2 5 2 3" xfId="8907"/>
    <cellStyle name="Normal 57 4 2 5 2 4" xfId="17697"/>
    <cellStyle name="Normal 57 4 2 5 3" xfId="5021"/>
    <cellStyle name="Normal 57 4 2 5 3 2" xfId="13858"/>
    <cellStyle name="Normal 57 4 2 5 3 2 2" xfId="24109"/>
    <cellStyle name="Normal 57 4 2 5 3 3" xfId="10279"/>
    <cellStyle name="Normal 57 4 2 5 3 4" xfId="19102"/>
    <cellStyle name="Normal 57 4 2 5 4" xfId="2452"/>
    <cellStyle name="Normal 57 4 2 5 4 2" xfId="11817"/>
    <cellStyle name="Normal 57 4 2 5 4 3" xfId="21821"/>
    <cellStyle name="Normal 57 4 2 5 5" xfId="6476"/>
    <cellStyle name="Normal 57 4 2 5 5 2" xfId="15303"/>
    <cellStyle name="Normal 57 4 2 5 5 3" xfId="25554"/>
    <cellStyle name="Normal 57 4 2 5 6" xfId="7922"/>
    <cellStyle name="Normal 57 4 2 5 6 2" xfId="20303"/>
    <cellStyle name="Normal 57 4 2 5 7" xfId="16814"/>
    <cellStyle name="Normal 57 4 2 6" xfId="1157"/>
    <cellStyle name="Normal 57 4 2 6 2" xfId="3586"/>
    <cellStyle name="Normal 57 4 2 6 2 2" xfId="12722"/>
    <cellStyle name="Normal 57 4 2 6 2 2 2" xfId="22941"/>
    <cellStyle name="Normal 57 4 2 6 2 3" xfId="9143"/>
    <cellStyle name="Normal 57 4 2 6 2 4" xfId="17934"/>
    <cellStyle name="Normal 57 4 2 6 3" xfId="5249"/>
    <cellStyle name="Normal 57 4 2 6 3 2" xfId="14086"/>
    <cellStyle name="Normal 57 4 2 6 3 2 2" xfId="24337"/>
    <cellStyle name="Normal 57 4 2 6 3 3" xfId="10507"/>
    <cellStyle name="Normal 57 4 2 6 3 4" xfId="19330"/>
    <cellStyle name="Normal 57 4 2 6 4" xfId="1756"/>
    <cellStyle name="Normal 57 4 2 6 4 2" xfId="11127"/>
    <cellStyle name="Normal 57 4 2 6 4 3" xfId="21131"/>
    <cellStyle name="Normal 57 4 2 6 5" xfId="6704"/>
    <cellStyle name="Normal 57 4 2 6 5 2" xfId="15531"/>
    <cellStyle name="Normal 57 4 2 6 5 3" xfId="25782"/>
    <cellStyle name="Normal 57 4 2 6 6" xfId="8150"/>
    <cellStyle name="Normal 57 4 2 6 6 2" xfId="20540"/>
    <cellStyle name="Normal 57 4 2 6 7" xfId="16124"/>
    <cellStyle name="Normal 57 4 2 7" xfId="2654"/>
    <cellStyle name="Normal 57 4 2 7 2" xfId="5661"/>
    <cellStyle name="Normal 57 4 2 7 2 2" xfId="14488"/>
    <cellStyle name="Normal 57 4 2 7 2 3" xfId="24739"/>
    <cellStyle name="Normal 57 4 2 7 3" xfId="7105"/>
    <cellStyle name="Normal 57 4 2 7 3 2" xfId="22015"/>
    <cellStyle name="Normal 57 4 2 7 4" xfId="17008"/>
    <cellStyle name="Normal 57 4 2 8" xfId="4205"/>
    <cellStyle name="Normal 57 4 2 8 2" xfId="13043"/>
    <cellStyle name="Normal 57 4 2 8 2 2" xfId="23294"/>
    <cellStyle name="Normal 57 4 2 8 3" xfId="9464"/>
    <cellStyle name="Normal 57 4 2 8 4" xfId="18287"/>
    <cellStyle name="Normal 57 4 2 9" xfId="1477"/>
    <cellStyle name="Normal 57 4 2 9 2" xfId="10854"/>
    <cellStyle name="Normal 57 4 2 9 3" xfId="20858"/>
    <cellStyle name="Normal 57 4 2_Degree data" xfId="3964"/>
    <cellStyle name="Normal 57 4 3" xfId="185"/>
    <cellStyle name="Normal 57 4 3 10" xfId="7133"/>
    <cellStyle name="Normal 57 4 3 10 2" xfId="19642"/>
    <cellStyle name="Normal 57 4 3 11" xfId="15879"/>
    <cellStyle name="Normal 57 4 3 2" xfId="513"/>
    <cellStyle name="Normal 57 4 3 2 2" xfId="863"/>
    <cellStyle name="Normal 57 4 3 2 2 2" xfId="3348"/>
    <cellStyle name="Normal 57 4 3 2 2 2 2" xfId="12490"/>
    <cellStyle name="Normal 57 4 3 2 2 2 2 2" xfId="22709"/>
    <cellStyle name="Normal 57 4 3 2 2 2 3" xfId="8912"/>
    <cellStyle name="Normal 57 4 3 2 2 2 4" xfId="17702"/>
    <cellStyle name="Normal 57 4 3 2 2 3" xfId="4677"/>
    <cellStyle name="Normal 57 4 3 2 2 3 2" xfId="13515"/>
    <cellStyle name="Normal 57 4 3 2 2 3 2 2" xfId="23766"/>
    <cellStyle name="Normal 57 4 3 2 2 3 3" xfId="9936"/>
    <cellStyle name="Normal 57 4 3 2 2 3 4" xfId="18759"/>
    <cellStyle name="Normal 57 4 3 2 2 4" xfId="2457"/>
    <cellStyle name="Normal 57 4 3 2 2 4 2" xfId="11822"/>
    <cellStyle name="Normal 57 4 3 2 2 4 3" xfId="21826"/>
    <cellStyle name="Normal 57 4 3 2 2 5" xfId="6133"/>
    <cellStyle name="Normal 57 4 3 2 2 5 2" xfId="14960"/>
    <cellStyle name="Normal 57 4 3 2 2 5 3" xfId="25211"/>
    <cellStyle name="Normal 57 4 3 2 2 6" xfId="7578"/>
    <cellStyle name="Normal 57 4 3 2 2 6 2" xfId="20308"/>
    <cellStyle name="Normal 57 4 3 2 2 7" xfId="16819"/>
    <cellStyle name="Normal 57 4 3 2 3" xfId="1285"/>
    <cellStyle name="Normal 57 4 3 2 3 2" xfId="3714"/>
    <cellStyle name="Normal 57 4 3 2 3 2 2" xfId="12850"/>
    <cellStyle name="Normal 57 4 3 2 3 2 2 2" xfId="23069"/>
    <cellStyle name="Normal 57 4 3 2 3 2 3" xfId="9271"/>
    <cellStyle name="Normal 57 4 3 2 3 2 4" xfId="18062"/>
    <cellStyle name="Normal 57 4 3 2 3 3" xfId="5026"/>
    <cellStyle name="Normal 57 4 3 2 3 3 2" xfId="13863"/>
    <cellStyle name="Normal 57 4 3 2 3 3 2 2" xfId="24114"/>
    <cellStyle name="Normal 57 4 3 2 3 3 3" xfId="10284"/>
    <cellStyle name="Normal 57 4 3 2 3 3 4" xfId="19107"/>
    <cellStyle name="Normal 57 4 3 2 3 4" xfId="2108"/>
    <cellStyle name="Normal 57 4 3 2 3 4 2" xfId="11473"/>
    <cellStyle name="Normal 57 4 3 2 3 4 3" xfId="21477"/>
    <cellStyle name="Normal 57 4 3 2 3 5" xfId="6481"/>
    <cellStyle name="Normal 57 4 3 2 3 5 2" xfId="15308"/>
    <cellStyle name="Normal 57 4 3 2 3 5 3" xfId="25559"/>
    <cellStyle name="Normal 57 4 3 2 3 6" xfId="7927"/>
    <cellStyle name="Normal 57 4 3 2 3 6 2" xfId="20668"/>
    <cellStyle name="Normal 57 4 3 2 3 7" xfId="16470"/>
    <cellStyle name="Normal 57 4 3 2 4" xfId="2999"/>
    <cellStyle name="Normal 57 4 3 2 4 2" xfId="5377"/>
    <cellStyle name="Normal 57 4 3 2 4 2 2" xfId="14214"/>
    <cellStyle name="Normal 57 4 3 2 4 2 2 2" xfId="24465"/>
    <cellStyle name="Normal 57 4 3 2 4 2 3" xfId="10635"/>
    <cellStyle name="Normal 57 4 3 2 4 2 4" xfId="19458"/>
    <cellStyle name="Normal 57 4 3 2 4 3" xfId="6832"/>
    <cellStyle name="Normal 57 4 3 2 4 3 2" xfId="15659"/>
    <cellStyle name="Normal 57 4 3 2 4 3 3" xfId="25910"/>
    <cellStyle name="Normal 57 4 3 2 4 4" xfId="8278"/>
    <cellStyle name="Normal 57 4 3 2 4 4 2" xfId="22360"/>
    <cellStyle name="Normal 57 4 3 2 4 5" xfId="17353"/>
    <cellStyle name="Normal 57 4 3 2 5" xfId="4333"/>
    <cellStyle name="Normal 57 4 3 2 5 2" xfId="13171"/>
    <cellStyle name="Normal 57 4 3 2 5 2 2" xfId="23422"/>
    <cellStyle name="Normal 57 4 3 2 5 3" xfId="9592"/>
    <cellStyle name="Normal 57 4 3 2 5 4" xfId="18415"/>
    <cellStyle name="Normal 57 4 3 2 6" xfId="1605"/>
    <cellStyle name="Normal 57 4 3 2 6 2" xfId="10982"/>
    <cellStyle name="Normal 57 4 3 2 6 3" xfId="20986"/>
    <cellStyle name="Normal 57 4 3 2 7" xfId="5789"/>
    <cellStyle name="Normal 57 4 3 2 7 2" xfId="14616"/>
    <cellStyle name="Normal 57 4 3 2 7 3" xfId="24867"/>
    <cellStyle name="Normal 57 4 3 2 8" xfId="7233"/>
    <cellStyle name="Normal 57 4 3 2 8 2" xfId="19959"/>
    <cellStyle name="Normal 57 4 3 2 9" xfId="15979"/>
    <cellStyle name="Normal 57 4 3 2_Degree data" xfId="3969"/>
    <cellStyle name="Normal 57 4 3 3" xfId="413"/>
    <cellStyle name="Normal 57 4 3 3 2" xfId="2899"/>
    <cellStyle name="Normal 57 4 3 3 2 2" xfId="12187"/>
    <cellStyle name="Normal 57 4 3 3 2 2 2" xfId="22260"/>
    <cellStyle name="Normal 57 4 3 3 2 3" xfId="8618"/>
    <cellStyle name="Normal 57 4 3 3 2 4" xfId="17253"/>
    <cellStyle name="Normal 57 4 3 3 3" xfId="4676"/>
    <cellStyle name="Normal 57 4 3 3 3 2" xfId="13514"/>
    <cellStyle name="Normal 57 4 3 3 3 2 2" xfId="23765"/>
    <cellStyle name="Normal 57 4 3 3 3 3" xfId="9935"/>
    <cellStyle name="Normal 57 4 3 3 3 4" xfId="18758"/>
    <cellStyle name="Normal 57 4 3 3 4" xfId="2008"/>
    <cellStyle name="Normal 57 4 3 3 4 2" xfId="11373"/>
    <cellStyle name="Normal 57 4 3 3 4 3" xfId="21377"/>
    <cellStyle name="Normal 57 4 3 3 5" xfId="6132"/>
    <cellStyle name="Normal 57 4 3 3 5 2" xfId="14959"/>
    <cellStyle name="Normal 57 4 3 3 5 3" xfId="25210"/>
    <cellStyle name="Normal 57 4 3 3 6" xfId="7577"/>
    <cellStyle name="Normal 57 4 3 3 6 2" xfId="19859"/>
    <cellStyle name="Normal 57 4 3 3 7" xfId="16370"/>
    <cellStyle name="Normal 57 4 3 4" xfId="862"/>
    <cellStyle name="Normal 57 4 3 4 2" xfId="3347"/>
    <cellStyle name="Normal 57 4 3 4 2 2" xfId="12489"/>
    <cellStyle name="Normal 57 4 3 4 2 2 2" xfId="22708"/>
    <cellStyle name="Normal 57 4 3 4 2 3" xfId="8911"/>
    <cellStyle name="Normal 57 4 3 4 2 4" xfId="17701"/>
    <cellStyle name="Normal 57 4 3 4 3" xfId="5025"/>
    <cellStyle name="Normal 57 4 3 4 3 2" xfId="13862"/>
    <cellStyle name="Normal 57 4 3 4 3 2 2" xfId="24113"/>
    <cellStyle name="Normal 57 4 3 4 3 3" xfId="10283"/>
    <cellStyle name="Normal 57 4 3 4 3 4" xfId="19106"/>
    <cellStyle name="Normal 57 4 3 4 4" xfId="2456"/>
    <cellStyle name="Normal 57 4 3 4 4 2" xfId="11821"/>
    <cellStyle name="Normal 57 4 3 4 4 3" xfId="21825"/>
    <cellStyle name="Normal 57 4 3 4 5" xfId="6480"/>
    <cellStyle name="Normal 57 4 3 4 5 2" xfId="15307"/>
    <cellStyle name="Normal 57 4 3 4 5 3" xfId="25558"/>
    <cellStyle name="Normal 57 4 3 4 6" xfId="7926"/>
    <cellStyle name="Normal 57 4 3 4 6 2" xfId="20307"/>
    <cellStyle name="Normal 57 4 3 4 7" xfId="16818"/>
    <cellStyle name="Normal 57 4 3 5" xfId="1185"/>
    <cellStyle name="Normal 57 4 3 5 2" xfId="3614"/>
    <cellStyle name="Normal 57 4 3 5 2 2" xfId="12750"/>
    <cellStyle name="Normal 57 4 3 5 2 2 2" xfId="22969"/>
    <cellStyle name="Normal 57 4 3 5 2 3" xfId="9171"/>
    <cellStyle name="Normal 57 4 3 5 2 4" xfId="17962"/>
    <cellStyle name="Normal 57 4 3 5 3" xfId="5277"/>
    <cellStyle name="Normal 57 4 3 5 3 2" xfId="14114"/>
    <cellStyle name="Normal 57 4 3 5 3 2 2" xfId="24365"/>
    <cellStyle name="Normal 57 4 3 5 3 3" xfId="10535"/>
    <cellStyle name="Normal 57 4 3 5 3 4" xfId="19358"/>
    <cellStyle name="Normal 57 4 3 5 4" xfId="1787"/>
    <cellStyle name="Normal 57 4 3 5 4 2" xfId="11156"/>
    <cellStyle name="Normal 57 4 3 5 4 3" xfId="21160"/>
    <cellStyle name="Normal 57 4 3 5 5" xfId="6732"/>
    <cellStyle name="Normal 57 4 3 5 5 2" xfId="15559"/>
    <cellStyle name="Normal 57 4 3 5 5 3" xfId="25810"/>
    <cellStyle name="Normal 57 4 3 5 6" xfId="8178"/>
    <cellStyle name="Normal 57 4 3 5 6 2" xfId="20568"/>
    <cellStyle name="Normal 57 4 3 5 7" xfId="16153"/>
    <cellStyle name="Normal 57 4 3 6" xfId="2682"/>
    <cellStyle name="Normal 57 4 3 6 2" xfId="11999"/>
    <cellStyle name="Normal 57 4 3 6 2 2" xfId="22043"/>
    <cellStyle name="Normal 57 4 3 6 3" xfId="8593"/>
    <cellStyle name="Normal 57 4 3 6 4" xfId="17036"/>
    <cellStyle name="Normal 57 4 3 7" xfId="4233"/>
    <cellStyle name="Normal 57 4 3 7 2" xfId="13071"/>
    <cellStyle name="Normal 57 4 3 7 2 2" xfId="23322"/>
    <cellStyle name="Normal 57 4 3 7 3" xfId="9492"/>
    <cellStyle name="Normal 57 4 3 7 4" xfId="18315"/>
    <cellStyle name="Normal 57 4 3 8" xfId="1505"/>
    <cellStyle name="Normal 57 4 3 8 2" xfId="10882"/>
    <cellStyle name="Normal 57 4 3 8 3" xfId="20886"/>
    <cellStyle name="Normal 57 4 3 9" xfId="5689"/>
    <cellStyle name="Normal 57 4 3 9 2" xfId="14516"/>
    <cellStyle name="Normal 57 4 3 9 3" xfId="24767"/>
    <cellStyle name="Normal 57 4 3_Degree data" xfId="3968"/>
    <cellStyle name="Normal 57 4 4" xfId="239"/>
    <cellStyle name="Normal 57 4 4 10" xfId="7077"/>
    <cellStyle name="Normal 57 4 4 10 2" xfId="19691"/>
    <cellStyle name="Normal 57 4 4 11" xfId="15823"/>
    <cellStyle name="Normal 57 4 4 2" xfId="562"/>
    <cellStyle name="Normal 57 4 4 2 2" xfId="865"/>
    <cellStyle name="Normal 57 4 4 2 2 2" xfId="3350"/>
    <cellStyle name="Normal 57 4 4 2 2 2 2" xfId="12492"/>
    <cellStyle name="Normal 57 4 4 2 2 2 2 2" xfId="22711"/>
    <cellStyle name="Normal 57 4 4 2 2 2 3" xfId="8914"/>
    <cellStyle name="Normal 57 4 4 2 2 2 4" xfId="17704"/>
    <cellStyle name="Normal 57 4 4 2 2 3" xfId="4679"/>
    <cellStyle name="Normal 57 4 4 2 2 3 2" xfId="13517"/>
    <cellStyle name="Normal 57 4 4 2 2 3 2 2" xfId="23768"/>
    <cellStyle name="Normal 57 4 4 2 2 3 3" xfId="9938"/>
    <cellStyle name="Normal 57 4 4 2 2 3 4" xfId="18761"/>
    <cellStyle name="Normal 57 4 4 2 2 4" xfId="2459"/>
    <cellStyle name="Normal 57 4 4 2 2 4 2" xfId="11824"/>
    <cellStyle name="Normal 57 4 4 2 2 4 3" xfId="21828"/>
    <cellStyle name="Normal 57 4 4 2 2 5" xfId="6135"/>
    <cellStyle name="Normal 57 4 4 2 2 5 2" xfId="14962"/>
    <cellStyle name="Normal 57 4 4 2 2 5 3" xfId="25213"/>
    <cellStyle name="Normal 57 4 4 2 2 6" xfId="7580"/>
    <cellStyle name="Normal 57 4 4 2 2 6 2" xfId="20310"/>
    <cellStyle name="Normal 57 4 4 2 2 7" xfId="16821"/>
    <cellStyle name="Normal 57 4 4 2 3" xfId="1334"/>
    <cellStyle name="Normal 57 4 4 2 3 2" xfId="3763"/>
    <cellStyle name="Normal 57 4 4 2 3 2 2" xfId="12899"/>
    <cellStyle name="Normal 57 4 4 2 3 2 2 2" xfId="23118"/>
    <cellStyle name="Normal 57 4 4 2 3 2 3" xfId="9320"/>
    <cellStyle name="Normal 57 4 4 2 3 2 4" xfId="18111"/>
    <cellStyle name="Normal 57 4 4 2 3 3" xfId="5028"/>
    <cellStyle name="Normal 57 4 4 2 3 3 2" xfId="13865"/>
    <cellStyle name="Normal 57 4 4 2 3 3 2 2" xfId="24116"/>
    <cellStyle name="Normal 57 4 4 2 3 3 3" xfId="10286"/>
    <cellStyle name="Normal 57 4 4 2 3 3 4" xfId="19109"/>
    <cellStyle name="Normal 57 4 4 2 3 4" xfId="2157"/>
    <cellStyle name="Normal 57 4 4 2 3 4 2" xfId="11522"/>
    <cellStyle name="Normal 57 4 4 2 3 4 3" xfId="21526"/>
    <cellStyle name="Normal 57 4 4 2 3 5" xfId="6483"/>
    <cellStyle name="Normal 57 4 4 2 3 5 2" xfId="15310"/>
    <cellStyle name="Normal 57 4 4 2 3 5 3" xfId="25561"/>
    <cellStyle name="Normal 57 4 4 2 3 6" xfId="7929"/>
    <cellStyle name="Normal 57 4 4 2 3 6 2" xfId="20717"/>
    <cellStyle name="Normal 57 4 4 2 3 7" xfId="16519"/>
    <cellStyle name="Normal 57 4 4 2 4" xfId="3048"/>
    <cellStyle name="Normal 57 4 4 2 4 2" xfId="5426"/>
    <cellStyle name="Normal 57 4 4 2 4 2 2" xfId="14263"/>
    <cellStyle name="Normal 57 4 4 2 4 2 2 2" xfId="24514"/>
    <cellStyle name="Normal 57 4 4 2 4 2 3" xfId="10684"/>
    <cellStyle name="Normal 57 4 4 2 4 2 4" xfId="19507"/>
    <cellStyle name="Normal 57 4 4 2 4 3" xfId="6881"/>
    <cellStyle name="Normal 57 4 4 2 4 3 2" xfId="15708"/>
    <cellStyle name="Normal 57 4 4 2 4 3 3" xfId="25959"/>
    <cellStyle name="Normal 57 4 4 2 4 4" xfId="8327"/>
    <cellStyle name="Normal 57 4 4 2 4 4 2" xfId="22409"/>
    <cellStyle name="Normal 57 4 4 2 4 5" xfId="17402"/>
    <cellStyle name="Normal 57 4 4 2 5" xfId="4382"/>
    <cellStyle name="Normal 57 4 4 2 5 2" xfId="13220"/>
    <cellStyle name="Normal 57 4 4 2 5 2 2" xfId="23471"/>
    <cellStyle name="Normal 57 4 4 2 5 3" xfId="9641"/>
    <cellStyle name="Normal 57 4 4 2 5 4" xfId="18464"/>
    <cellStyle name="Normal 57 4 4 2 6" xfId="1654"/>
    <cellStyle name="Normal 57 4 4 2 6 2" xfId="11031"/>
    <cellStyle name="Normal 57 4 4 2 6 3" xfId="21035"/>
    <cellStyle name="Normal 57 4 4 2 7" xfId="5838"/>
    <cellStyle name="Normal 57 4 4 2 7 2" xfId="14665"/>
    <cellStyle name="Normal 57 4 4 2 7 3" xfId="24916"/>
    <cellStyle name="Normal 57 4 4 2 8" xfId="7282"/>
    <cellStyle name="Normal 57 4 4 2 8 2" xfId="20008"/>
    <cellStyle name="Normal 57 4 4 2 9" xfId="16028"/>
    <cellStyle name="Normal 57 4 4 2_Degree data" xfId="3971"/>
    <cellStyle name="Normal 57 4 4 3" xfId="357"/>
    <cellStyle name="Normal 57 4 4 3 2" xfId="2843"/>
    <cellStyle name="Normal 57 4 4 3 2 2" xfId="12131"/>
    <cellStyle name="Normal 57 4 4 3 2 2 2" xfId="22204"/>
    <cellStyle name="Normal 57 4 4 3 2 3" xfId="8626"/>
    <cellStyle name="Normal 57 4 4 3 2 4" xfId="17197"/>
    <cellStyle name="Normal 57 4 4 3 3" xfId="4678"/>
    <cellStyle name="Normal 57 4 4 3 3 2" xfId="13516"/>
    <cellStyle name="Normal 57 4 4 3 3 2 2" xfId="23767"/>
    <cellStyle name="Normal 57 4 4 3 3 3" xfId="9937"/>
    <cellStyle name="Normal 57 4 4 3 3 4" xfId="18760"/>
    <cellStyle name="Normal 57 4 4 3 4" xfId="1952"/>
    <cellStyle name="Normal 57 4 4 3 4 2" xfId="11317"/>
    <cellStyle name="Normal 57 4 4 3 4 3" xfId="21321"/>
    <cellStyle name="Normal 57 4 4 3 5" xfId="6134"/>
    <cellStyle name="Normal 57 4 4 3 5 2" xfId="14961"/>
    <cellStyle name="Normal 57 4 4 3 5 3" xfId="25212"/>
    <cellStyle name="Normal 57 4 4 3 6" xfId="7579"/>
    <cellStyle name="Normal 57 4 4 3 6 2" xfId="19803"/>
    <cellStyle name="Normal 57 4 4 3 7" xfId="16314"/>
    <cellStyle name="Normal 57 4 4 4" xfId="864"/>
    <cellStyle name="Normal 57 4 4 4 2" xfId="3349"/>
    <cellStyle name="Normal 57 4 4 4 2 2" xfId="12491"/>
    <cellStyle name="Normal 57 4 4 4 2 2 2" xfId="22710"/>
    <cellStyle name="Normal 57 4 4 4 2 3" xfId="8913"/>
    <cellStyle name="Normal 57 4 4 4 2 4" xfId="17703"/>
    <cellStyle name="Normal 57 4 4 4 3" xfId="5027"/>
    <cellStyle name="Normal 57 4 4 4 3 2" xfId="13864"/>
    <cellStyle name="Normal 57 4 4 4 3 2 2" xfId="24115"/>
    <cellStyle name="Normal 57 4 4 4 3 3" xfId="10285"/>
    <cellStyle name="Normal 57 4 4 4 3 4" xfId="19108"/>
    <cellStyle name="Normal 57 4 4 4 4" xfId="2458"/>
    <cellStyle name="Normal 57 4 4 4 4 2" xfId="11823"/>
    <cellStyle name="Normal 57 4 4 4 4 3" xfId="21827"/>
    <cellStyle name="Normal 57 4 4 4 5" xfId="6482"/>
    <cellStyle name="Normal 57 4 4 4 5 2" xfId="15309"/>
    <cellStyle name="Normal 57 4 4 4 5 3" xfId="25560"/>
    <cellStyle name="Normal 57 4 4 4 6" xfId="7928"/>
    <cellStyle name="Normal 57 4 4 4 6 2" xfId="20309"/>
    <cellStyle name="Normal 57 4 4 4 7" xfId="16820"/>
    <cellStyle name="Normal 57 4 4 5" xfId="1129"/>
    <cellStyle name="Normal 57 4 4 5 2" xfId="3558"/>
    <cellStyle name="Normal 57 4 4 5 2 2" xfId="12694"/>
    <cellStyle name="Normal 57 4 4 5 2 2 2" xfId="22913"/>
    <cellStyle name="Normal 57 4 4 5 2 3" xfId="9115"/>
    <cellStyle name="Normal 57 4 4 5 2 4" xfId="17906"/>
    <cellStyle name="Normal 57 4 4 5 3" xfId="5221"/>
    <cellStyle name="Normal 57 4 4 5 3 2" xfId="14058"/>
    <cellStyle name="Normal 57 4 4 5 3 2 2" xfId="24309"/>
    <cellStyle name="Normal 57 4 4 5 3 3" xfId="10479"/>
    <cellStyle name="Normal 57 4 4 5 3 4" xfId="19302"/>
    <cellStyle name="Normal 57 4 4 5 4" xfId="1837"/>
    <cellStyle name="Normal 57 4 4 5 4 2" xfId="11205"/>
    <cellStyle name="Normal 57 4 4 5 4 3" xfId="21209"/>
    <cellStyle name="Normal 57 4 4 5 5" xfId="6676"/>
    <cellStyle name="Normal 57 4 4 5 5 2" xfId="15503"/>
    <cellStyle name="Normal 57 4 4 5 5 3" xfId="25754"/>
    <cellStyle name="Normal 57 4 4 5 6" xfId="8122"/>
    <cellStyle name="Normal 57 4 4 5 6 2" xfId="20512"/>
    <cellStyle name="Normal 57 4 4 5 7" xfId="16202"/>
    <cellStyle name="Normal 57 4 4 6" xfId="2731"/>
    <cellStyle name="Normal 57 4 4 6 2" xfId="12048"/>
    <cellStyle name="Normal 57 4 4 6 2 2" xfId="22092"/>
    <cellStyle name="Normal 57 4 4 6 3" xfId="8496"/>
    <cellStyle name="Normal 57 4 4 6 4" xfId="17085"/>
    <cellStyle name="Normal 57 4 4 7" xfId="4177"/>
    <cellStyle name="Normal 57 4 4 7 2" xfId="13015"/>
    <cellStyle name="Normal 57 4 4 7 2 2" xfId="23266"/>
    <cellStyle name="Normal 57 4 4 7 3" xfId="9436"/>
    <cellStyle name="Normal 57 4 4 7 4" xfId="18259"/>
    <cellStyle name="Normal 57 4 4 8" xfId="1449"/>
    <cellStyle name="Normal 57 4 4 8 2" xfId="10826"/>
    <cellStyle name="Normal 57 4 4 8 3" xfId="20830"/>
    <cellStyle name="Normal 57 4 4 9" xfId="5633"/>
    <cellStyle name="Normal 57 4 4 9 2" xfId="14460"/>
    <cellStyle name="Normal 57 4 4 9 3" xfId="24711"/>
    <cellStyle name="Normal 57 4 4_Degree data" xfId="3970"/>
    <cellStyle name="Normal 57 4 5" xfId="457"/>
    <cellStyle name="Normal 57 4 5 2" xfId="866"/>
    <cellStyle name="Normal 57 4 5 2 2" xfId="3351"/>
    <cellStyle name="Normal 57 4 5 2 2 2" xfId="12493"/>
    <cellStyle name="Normal 57 4 5 2 2 2 2" xfId="22712"/>
    <cellStyle name="Normal 57 4 5 2 2 3" xfId="8915"/>
    <cellStyle name="Normal 57 4 5 2 2 4" xfId="17705"/>
    <cellStyle name="Normal 57 4 5 2 3" xfId="4680"/>
    <cellStyle name="Normal 57 4 5 2 3 2" xfId="13518"/>
    <cellStyle name="Normal 57 4 5 2 3 2 2" xfId="23769"/>
    <cellStyle name="Normal 57 4 5 2 3 3" xfId="9939"/>
    <cellStyle name="Normal 57 4 5 2 3 4" xfId="18762"/>
    <cellStyle name="Normal 57 4 5 2 4" xfId="2460"/>
    <cellStyle name="Normal 57 4 5 2 4 2" xfId="11825"/>
    <cellStyle name="Normal 57 4 5 2 4 3" xfId="21829"/>
    <cellStyle name="Normal 57 4 5 2 5" xfId="6136"/>
    <cellStyle name="Normal 57 4 5 2 5 2" xfId="14963"/>
    <cellStyle name="Normal 57 4 5 2 5 3" xfId="25214"/>
    <cellStyle name="Normal 57 4 5 2 6" xfId="7581"/>
    <cellStyle name="Normal 57 4 5 2 6 2" xfId="20311"/>
    <cellStyle name="Normal 57 4 5 2 7" xfId="16822"/>
    <cellStyle name="Normal 57 4 5 3" xfId="1229"/>
    <cellStyle name="Normal 57 4 5 3 2" xfId="3658"/>
    <cellStyle name="Normal 57 4 5 3 2 2" xfId="12794"/>
    <cellStyle name="Normal 57 4 5 3 2 2 2" xfId="23013"/>
    <cellStyle name="Normal 57 4 5 3 2 3" xfId="9215"/>
    <cellStyle name="Normal 57 4 5 3 2 4" xfId="18006"/>
    <cellStyle name="Normal 57 4 5 3 3" xfId="5029"/>
    <cellStyle name="Normal 57 4 5 3 3 2" xfId="13866"/>
    <cellStyle name="Normal 57 4 5 3 3 2 2" xfId="24117"/>
    <cellStyle name="Normal 57 4 5 3 3 3" xfId="10287"/>
    <cellStyle name="Normal 57 4 5 3 3 4" xfId="19110"/>
    <cellStyle name="Normal 57 4 5 3 4" xfId="2052"/>
    <cellStyle name="Normal 57 4 5 3 4 2" xfId="11417"/>
    <cellStyle name="Normal 57 4 5 3 4 3" xfId="21421"/>
    <cellStyle name="Normal 57 4 5 3 5" xfId="6484"/>
    <cellStyle name="Normal 57 4 5 3 5 2" xfId="15311"/>
    <cellStyle name="Normal 57 4 5 3 5 3" xfId="25562"/>
    <cellStyle name="Normal 57 4 5 3 6" xfId="7930"/>
    <cellStyle name="Normal 57 4 5 3 6 2" xfId="20612"/>
    <cellStyle name="Normal 57 4 5 3 7" xfId="16414"/>
    <cellStyle name="Normal 57 4 5 4" xfId="2943"/>
    <cellStyle name="Normal 57 4 5 4 2" xfId="5321"/>
    <cellStyle name="Normal 57 4 5 4 2 2" xfId="14158"/>
    <cellStyle name="Normal 57 4 5 4 2 2 2" xfId="24409"/>
    <cellStyle name="Normal 57 4 5 4 2 3" xfId="10579"/>
    <cellStyle name="Normal 57 4 5 4 2 4" xfId="19402"/>
    <cellStyle name="Normal 57 4 5 4 3" xfId="6776"/>
    <cellStyle name="Normal 57 4 5 4 3 2" xfId="15603"/>
    <cellStyle name="Normal 57 4 5 4 3 3" xfId="25854"/>
    <cellStyle name="Normal 57 4 5 4 4" xfId="8222"/>
    <cellStyle name="Normal 57 4 5 4 4 2" xfId="22304"/>
    <cellStyle name="Normal 57 4 5 4 5" xfId="17297"/>
    <cellStyle name="Normal 57 4 5 5" xfId="4277"/>
    <cellStyle name="Normal 57 4 5 5 2" xfId="13115"/>
    <cellStyle name="Normal 57 4 5 5 2 2" xfId="23366"/>
    <cellStyle name="Normal 57 4 5 5 3" xfId="9536"/>
    <cellStyle name="Normal 57 4 5 5 4" xfId="18359"/>
    <cellStyle name="Normal 57 4 5 6" xfId="1549"/>
    <cellStyle name="Normal 57 4 5 6 2" xfId="10926"/>
    <cellStyle name="Normal 57 4 5 6 3" xfId="20930"/>
    <cellStyle name="Normal 57 4 5 7" xfId="5733"/>
    <cellStyle name="Normal 57 4 5 7 2" xfId="14560"/>
    <cellStyle name="Normal 57 4 5 7 3" xfId="24811"/>
    <cellStyle name="Normal 57 4 5 8" xfId="7177"/>
    <cellStyle name="Normal 57 4 5 8 2" xfId="19903"/>
    <cellStyle name="Normal 57 4 5 9" xfId="15923"/>
    <cellStyle name="Normal 57 4 5_Degree data" xfId="3972"/>
    <cellStyle name="Normal 57 4 6" xfId="326"/>
    <cellStyle name="Normal 57 4 6 2" xfId="867"/>
    <cellStyle name="Normal 57 4 6 2 2" xfId="3352"/>
    <cellStyle name="Normal 57 4 6 2 2 2" xfId="12494"/>
    <cellStyle name="Normal 57 4 6 2 2 2 2" xfId="22713"/>
    <cellStyle name="Normal 57 4 6 2 2 3" xfId="8916"/>
    <cellStyle name="Normal 57 4 6 2 2 4" xfId="17706"/>
    <cellStyle name="Normal 57 4 6 2 3" xfId="4681"/>
    <cellStyle name="Normal 57 4 6 2 3 2" xfId="13519"/>
    <cellStyle name="Normal 57 4 6 2 3 2 2" xfId="23770"/>
    <cellStyle name="Normal 57 4 6 2 3 3" xfId="9940"/>
    <cellStyle name="Normal 57 4 6 2 3 4" xfId="18763"/>
    <cellStyle name="Normal 57 4 6 2 4" xfId="2461"/>
    <cellStyle name="Normal 57 4 6 2 4 2" xfId="11826"/>
    <cellStyle name="Normal 57 4 6 2 4 3" xfId="21830"/>
    <cellStyle name="Normal 57 4 6 2 5" xfId="6137"/>
    <cellStyle name="Normal 57 4 6 2 5 2" xfId="14964"/>
    <cellStyle name="Normal 57 4 6 2 5 3" xfId="25215"/>
    <cellStyle name="Normal 57 4 6 2 6" xfId="7582"/>
    <cellStyle name="Normal 57 4 6 2 6 2" xfId="20312"/>
    <cellStyle name="Normal 57 4 6 2 7" xfId="16823"/>
    <cellStyle name="Normal 57 4 6 3" xfId="1098"/>
    <cellStyle name="Normal 57 4 6 3 2" xfId="3527"/>
    <cellStyle name="Normal 57 4 6 3 2 2" xfId="12663"/>
    <cellStyle name="Normal 57 4 6 3 2 2 2" xfId="22882"/>
    <cellStyle name="Normal 57 4 6 3 2 3" xfId="9085"/>
    <cellStyle name="Normal 57 4 6 3 2 4" xfId="17875"/>
    <cellStyle name="Normal 57 4 6 3 3" xfId="5030"/>
    <cellStyle name="Normal 57 4 6 3 3 2" xfId="13867"/>
    <cellStyle name="Normal 57 4 6 3 3 2 2" xfId="24118"/>
    <cellStyle name="Normal 57 4 6 3 3 3" xfId="10288"/>
    <cellStyle name="Normal 57 4 6 3 3 4" xfId="19111"/>
    <cellStyle name="Normal 57 4 6 3 4" xfId="2600"/>
    <cellStyle name="Normal 57 4 6 3 4 2" xfId="11964"/>
    <cellStyle name="Normal 57 4 6 3 4 3" xfId="21968"/>
    <cellStyle name="Normal 57 4 6 3 5" xfId="6485"/>
    <cellStyle name="Normal 57 4 6 3 5 2" xfId="15312"/>
    <cellStyle name="Normal 57 4 6 3 5 3" xfId="25563"/>
    <cellStyle name="Normal 57 4 6 3 6" xfId="7931"/>
    <cellStyle name="Normal 57 4 6 3 6 2" xfId="20481"/>
    <cellStyle name="Normal 57 4 6 3 7" xfId="16961"/>
    <cellStyle name="Normal 57 4 6 4" xfId="2812"/>
    <cellStyle name="Normal 57 4 6 4 2" xfId="5190"/>
    <cellStyle name="Normal 57 4 6 4 2 2" xfId="14027"/>
    <cellStyle name="Normal 57 4 6 4 2 2 2" xfId="24278"/>
    <cellStyle name="Normal 57 4 6 4 2 3" xfId="10448"/>
    <cellStyle name="Normal 57 4 6 4 2 4" xfId="19271"/>
    <cellStyle name="Normal 57 4 6 4 3" xfId="6645"/>
    <cellStyle name="Normal 57 4 6 4 3 2" xfId="15472"/>
    <cellStyle name="Normal 57 4 6 4 3 3" xfId="25723"/>
    <cellStyle name="Normal 57 4 6 4 4" xfId="8091"/>
    <cellStyle name="Normal 57 4 6 4 4 2" xfId="22173"/>
    <cellStyle name="Normal 57 4 6 4 5" xfId="17166"/>
    <cellStyle name="Normal 57 4 6 5" xfId="4144"/>
    <cellStyle name="Normal 57 4 6 5 2" xfId="12982"/>
    <cellStyle name="Normal 57 4 6 5 2 2" xfId="23233"/>
    <cellStyle name="Normal 57 4 6 5 3" xfId="9403"/>
    <cellStyle name="Normal 57 4 6 5 4" xfId="18226"/>
    <cellStyle name="Normal 57 4 6 6" xfId="1921"/>
    <cellStyle name="Normal 57 4 6 6 2" xfId="11286"/>
    <cellStyle name="Normal 57 4 6 6 3" xfId="21290"/>
    <cellStyle name="Normal 57 4 6 7" xfId="5602"/>
    <cellStyle name="Normal 57 4 6 7 2" xfId="14429"/>
    <cellStyle name="Normal 57 4 6 7 3" xfId="24680"/>
    <cellStyle name="Normal 57 4 6 8" xfId="7046"/>
    <cellStyle name="Normal 57 4 6 8 2" xfId="19772"/>
    <cellStyle name="Normal 57 4 6 9" xfId="16283"/>
    <cellStyle name="Normal 57 4 6_Degree data" xfId="3973"/>
    <cellStyle name="Normal 57 4 7" xfId="857"/>
    <cellStyle name="Normal 57 4 7 2" xfId="3342"/>
    <cellStyle name="Normal 57 4 7 2 2" xfId="12484"/>
    <cellStyle name="Normal 57 4 7 2 2 2" xfId="22703"/>
    <cellStyle name="Normal 57 4 7 2 3" xfId="8906"/>
    <cellStyle name="Normal 57 4 7 2 4" xfId="17696"/>
    <cellStyle name="Normal 57 4 7 3" xfId="4671"/>
    <cellStyle name="Normal 57 4 7 3 2" xfId="13509"/>
    <cellStyle name="Normal 57 4 7 3 2 2" xfId="23760"/>
    <cellStyle name="Normal 57 4 7 3 3" xfId="9930"/>
    <cellStyle name="Normal 57 4 7 3 4" xfId="18753"/>
    <cellStyle name="Normal 57 4 7 4" xfId="2451"/>
    <cellStyle name="Normal 57 4 7 4 2" xfId="11816"/>
    <cellStyle name="Normal 57 4 7 4 3" xfId="21820"/>
    <cellStyle name="Normal 57 4 7 5" xfId="6127"/>
    <cellStyle name="Normal 57 4 7 5 2" xfId="14954"/>
    <cellStyle name="Normal 57 4 7 5 3" xfId="25205"/>
    <cellStyle name="Normal 57 4 7 6" xfId="7572"/>
    <cellStyle name="Normal 57 4 7 6 2" xfId="20302"/>
    <cellStyle name="Normal 57 4 7 7" xfId="16813"/>
    <cellStyle name="Normal 57 4 8" xfId="1055"/>
    <cellStyle name="Normal 57 4 8 2" xfId="3484"/>
    <cellStyle name="Normal 57 4 8 2 2" xfId="12620"/>
    <cellStyle name="Normal 57 4 8 2 2 2" xfId="22839"/>
    <cellStyle name="Normal 57 4 8 2 3" xfId="9042"/>
    <cellStyle name="Normal 57 4 8 2 4" xfId="17832"/>
    <cellStyle name="Normal 57 4 8 3" xfId="5020"/>
    <cellStyle name="Normal 57 4 8 3 2" xfId="13857"/>
    <cellStyle name="Normal 57 4 8 3 2 2" xfId="24108"/>
    <cellStyle name="Normal 57 4 8 3 3" xfId="10278"/>
    <cellStyle name="Normal 57 4 8 3 4" xfId="19101"/>
    <cellStyle name="Normal 57 4 8 4" xfId="1725"/>
    <cellStyle name="Normal 57 4 8 4 2" xfId="11099"/>
    <cellStyle name="Normal 57 4 8 4 3" xfId="21103"/>
    <cellStyle name="Normal 57 4 8 5" xfId="6475"/>
    <cellStyle name="Normal 57 4 8 5 2" xfId="15302"/>
    <cellStyle name="Normal 57 4 8 5 3" xfId="25553"/>
    <cellStyle name="Normal 57 4 8 6" xfId="7921"/>
    <cellStyle name="Normal 57 4 8 6 2" xfId="20438"/>
    <cellStyle name="Normal 57 4 8 7" xfId="16096"/>
    <cellStyle name="Normal 57 4 9" xfId="2623"/>
    <cellStyle name="Normal 57 4 9 2" xfId="5147"/>
    <cellStyle name="Normal 57 4 9 2 2" xfId="13984"/>
    <cellStyle name="Normal 57 4 9 2 2 2" xfId="24235"/>
    <cellStyle name="Normal 57 4 9 2 3" xfId="10405"/>
    <cellStyle name="Normal 57 4 9 2 4" xfId="19228"/>
    <cellStyle name="Normal 57 4 9 3" xfId="6602"/>
    <cellStyle name="Normal 57 4 9 3 2" xfId="15429"/>
    <cellStyle name="Normal 57 4 9 3 3" xfId="25680"/>
    <cellStyle name="Normal 57 4 9 4" xfId="8048"/>
    <cellStyle name="Normal 57 4 9 4 2" xfId="21986"/>
    <cellStyle name="Normal 57 4 9 5" xfId="16979"/>
    <cellStyle name="Normal 57 4_Degree data" xfId="3963"/>
    <cellStyle name="Normal 57 5" xfId="101"/>
    <cellStyle name="Normal 57 5 10" xfId="4115"/>
    <cellStyle name="Normal 57 5 10 2" xfId="5573"/>
    <cellStyle name="Normal 57 5 10 2 2" xfId="14400"/>
    <cellStyle name="Normal 57 5 10 2 3" xfId="24651"/>
    <cellStyle name="Normal 57 5 10 3" xfId="7017"/>
    <cellStyle name="Normal 57 5 10 3 2" xfId="23204"/>
    <cellStyle name="Normal 57 5 10 4" xfId="18197"/>
    <cellStyle name="Normal 57 5 11" xfId="1434"/>
    <cellStyle name="Normal 57 5 11 2" xfId="10811"/>
    <cellStyle name="Normal 57 5 11 3" xfId="20815"/>
    <cellStyle name="Normal 57 5 12" xfId="5543"/>
    <cellStyle name="Normal 57 5 12 2" xfId="14370"/>
    <cellStyle name="Normal 57 5 12 3" xfId="24621"/>
    <cellStyle name="Normal 57 5 13" xfId="6987"/>
    <cellStyle name="Normal 57 5 13 2" xfId="19583"/>
    <cellStyle name="Normal 57 5 14" xfId="15808"/>
    <cellStyle name="Normal 57 5 2" xfId="169"/>
    <cellStyle name="Normal 57 5 2 10" xfId="5675"/>
    <cellStyle name="Normal 57 5 2 10 2" xfId="14502"/>
    <cellStyle name="Normal 57 5 2 10 3" xfId="24753"/>
    <cellStyle name="Normal 57 5 2 11" xfId="7119"/>
    <cellStyle name="Normal 57 5 2 11 2" xfId="19628"/>
    <cellStyle name="Normal 57 5 2 12" xfId="15865"/>
    <cellStyle name="Normal 57 5 2 2" xfId="281"/>
    <cellStyle name="Normal 57 5 2 2 10" xfId="16069"/>
    <cellStyle name="Normal 57 5 2 2 2" xfId="603"/>
    <cellStyle name="Normal 57 5 2 2 2 2" xfId="3089"/>
    <cellStyle name="Normal 57 5 2 2 2 2 2" xfId="12233"/>
    <cellStyle name="Normal 57 5 2 2 2 2 2 2" xfId="22450"/>
    <cellStyle name="Normal 57 5 2 2 2 2 3" xfId="8655"/>
    <cellStyle name="Normal 57 5 2 2 2 2 4" xfId="17443"/>
    <cellStyle name="Normal 57 5 2 2 2 3" xfId="4684"/>
    <cellStyle name="Normal 57 5 2 2 2 3 2" xfId="13522"/>
    <cellStyle name="Normal 57 5 2 2 2 3 2 2" xfId="23773"/>
    <cellStyle name="Normal 57 5 2 2 2 3 3" xfId="9943"/>
    <cellStyle name="Normal 57 5 2 2 2 3 4" xfId="18766"/>
    <cellStyle name="Normal 57 5 2 2 2 4" xfId="2198"/>
    <cellStyle name="Normal 57 5 2 2 2 4 2" xfId="11563"/>
    <cellStyle name="Normal 57 5 2 2 2 4 3" xfId="21567"/>
    <cellStyle name="Normal 57 5 2 2 2 5" xfId="6140"/>
    <cellStyle name="Normal 57 5 2 2 2 5 2" xfId="14967"/>
    <cellStyle name="Normal 57 5 2 2 2 5 3" xfId="25218"/>
    <cellStyle name="Normal 57 5 2 2 2 6" xfId="7585"/>
    <cellStyle name="Normal 57 5 2 2 2 6 2" xfId="20049"/>
    <cellStyle name="Normal 57 5 2 2 2 7" xfId="16560"/>
    <cellStyle name="Normal 57 5 2 2 3" xfId="870"/>
    <cellStyle name="Normal 57 5 2 2 3 2" xfId="3355"/>
    <cellStyle name="Normal 57 5 2 2 3 2 2" xfId="12497"/>
    <cellStyle name="Normal 57 5 2 2 3 2 2 2" xfId="22716"/>
    <cellStyle name="Normal 57 5 2 2 3 2 3" xfId="8919"/>
    <cellStyle name="Normal 57 5 2 2 3 2 4" xfId="17709"/>
    <cellStyle name="Normal 57 5 2 2 3 3" xfId="5033"/>
    <cellStyle name="Normal 57 5 2 2 3 3 2" xfId="13870"/>
    <cellStyle name="Normal 57 5 2 2 3 3 2 2" xfId="24121"/>
    <cellStyle name="Normal 57 5 2 2 3 3 3" xfId="10291"/>
    <cellStyle name="Normal 57 5 2 2 3 3 4" xfId="19114"/>
    <cellStyle name="Normal 57 5 2 2 3 4" xfId="2464"/>
    <cellStyle name="Normal 57 5 2 2 3 4 2" xfId="11829"/>
    <cellStyle name="Normal 57 5 2 2 3 4 3" xfId="21833"/>
    <cellStyle name="Normal 57 5 2 2 3 5" xfId="6488"/>
    <cellStyle name="Normal 57 5 2 2 3 5 2" xfId="15315"/>
    <cellStyle name="Normal 57 5 2 2 3 5 3" xfId="25566"/>
    <cellStyle name="Normal 57 5 2 2 3 6" xfId="7934"/>
    <cellStyle name="Normal 57 5 2 2 3 6 2" xfId="20315"/>
    <cellStyle name="Normal 57 5 2 2 3 7" xfId="16826"/>
    <cellStyle name="Normal 57 5 2 2 4" xfId="1375"/>
    <cellStyle name="Normal 57 5 2 2 4 2" xfId="3804"/>
    <cellStyle name="Normal 57 5 2 2 4 2 2" xfId="12940"/>
    <cellStyle name="Normal 57 5 2 2 4 2 2 2" xfId="23159"/>
    <cellStyle name="Normal 57 5 2 2 4 2 3" xfId="9361"/>
    <cellStyle name="Normal 57 5 2 2 4 2 4" xfId="18152"/>
    <cellStyle name="Normal 57 5 2 2 4 3" xfId="5467"/>
    <cellStyle name="Normal 57 5 2 2 4 3 2" xfId="14304"/>
    <cellStyle name="Normal 57 5 2 2 4 3 2 2" xfId="24555"/>
    <cellStyle name="Normal 57 5 2 2 4 3 3" xfId="10725"/>
    <cellStyle name="Normal 57 5 2 2 4 3 4" xfId="19548"/>
    <cellStyle name="Normal 57 5 2 2 4 4" xfId="1878"/>
    <cellStyle name="Normal 57 5 2 2 4 4 2" xfId="11246"/>
    <cellStyle name="Normal 57 5 2 2 4 4 3" xfId="21250"/>
    <cellStyle name="Normal 57 5 2 2 4 5" xfId="6922"/>
    <cellStyle name="Normal 57 5 2 2 4 5 2" xfId="15749"/>
    <cellStyle name="Normal 57 5 2 2 4 5 3" xfId="26000"/>
    <cellStyle name="Normal 57 5 2 2 4 6" xfId="8368"/>
    <cellStyle name="Normal 57 5 2 2 4 6 2" xfId="20758"/>
    <cellStyle name="Normal 57 5 2 2 4 7" xfId="16243"/>
    <cellStyle name="Normal 57 5 2 2 5" xfId="2772"/>
    <cellStyle name="Normal 57 5 2 2 5 2" xfId="12089"/>
    <cellStyle name="Normal 57 5 2 2 5 2 2" xfId="22133"/>
    <cellStyle name="Normal 57 5 2 2 5 3" xfId="8595"/>
    <cellStyle name="Normal 57 5 2 2 5 4" xfId="17126"/>
    <cellStyle name="Normal 57 5 2 2 6" xfId="4423"/>
    <cellStyle name="Normal 57 5 2 2 6 2" xfId="13261"/>
    <cellStyle name="Normal 57 5 2 2 6 2 2" xfId="23512"/>
    <cellStyle name="Normal 57 5 2 2 6 3" xfId="9682"/>
    <cellStyle name="Normal 57 5 2 2 6 4" xfId="18505"/>
    <cellStyle name="Normal 57 5 2 2 7" xfId="1695"/>
    <cellStyle name="Normal 57 5 2 2 7 2" xfId="11072"/>
    <cellStyle name="Normal 57 5 2 2 7 3" xfId="21076"/>
    <cellStyle name="Normal 57 5 2 2 8" xfId="5879"/>
    <cellStyle name="Normal 57 5 2 2 8 2" xfId="14706"/>
    <cellStyle name="Normal 57 5 2 2 8 3" xfId="24957"/>
    <cellStyle name="Normal 57 5 2 2 9" xfId="7323"/>
    <cellStyle name="Normal 57 5 2 2 9 2" xfId="19732"/>
    <cellStyle name="Normal 57 5 2 2_Degree data" xfId="3976"/>
    <cellStyle name="Normal 57 5 2 3" xfId="499"/>
    <cellStyle name="Normal 57 5 2 3 2" xfId="871"/>
    <cellStyle name="Normal 57 5 2 3 2 2" xfId="3356"/>
    <cellStyle name="Normal 57 5 2 3 2 2 2" xfId="12498"/>
    <cellStyle name="Normal 57 5 2 3 2 2 2 2" xfId="22717"/>
    <cellStyle name="Normal 57 5 2 3 2 2 3" xfId="8920"/>
    <cellStyle name="Normal 57 5 2 3 2 2 4" xfId="17710"/>
    <cellStyle name="Normal 57 5 2 3 2 3" xfId="4685"/>
    <cellStyle name="Normal 57 5 2 3 2 3 2" xfId="13523"/>
    <cellStyle name="Normal 57 5 2 3 2 3 2 2" xfId="23774"/>
    <cellStyle name="Normal 57 5 2 3 2 3 3" xfId="9944"/>
    <cellStyle name="Normal 57 5 2 3 2 3 4" xfId="18767"/>
    <cellStyle name="Normal 57 5 2 3 2 4" xfId="2465"/>
    <cellStyle name="Normal 57 5 2 3 2 4 2" xfId="11830"/>
    <cellStyle name="Normal 57 5 2 3 2 4 3" xfId="21834"/>
    <cellStyle name="Normal 57 5 2 3 2 5" xfId="6141"/>
    <cellStyle name="Normal 57 5 2 3 2 5 2" xfId="14968"/>
    <cellStyle name="Normal 57 5 2 3 2 5 3" xfId="25219"/>
    <cellStyle name="Normal 57 5 2 3 2 6" xfId="7586"/>
    <cellStyle name="Normal 57 5 2 3 2 6 2" xfId="20316"/>
    <cellStyle name="Normal 57 5 2 3 2 7" xfId="16827"/>
    <cellStyle name="Normal 57 5 2 3 3" xfId="1271"/>
    <cellStyle name="Normal 57 5 2 3 3 2" xfId="3700"/>
    <cellStyle name="Normal 57 5 2 3 3 2 2" xfId="12836"/>
    <cellStyle name="Normal 57 5 2 3 3 2 2 2" xfId="23055"/>
    <cellStyle name="Normal 57 5 2 3 3 2 3" xfId="9257"/>
    <cellStyle name="Normal 57 5 2 3 3 2 4" xfId="18048"/>
    <cellStyle name="Normal 57 5 2 3 3 3" xfId="5034"/>
    <cellStyle name="Normal 57 5 2 3 3 3 2" xfId="13871"/>
    <cellStyle name="Normal 57 5 2 3 3 3 2 2" xfId="24122"/>
    <cellStyle name="Normal 57 5 2 3 3 3 3" xfId="10292"/>
    <cellStyle name="Normal 57 5 2 3 3 3 4" xfId="19115"/>
    <cellStyle name="Normal 57 5 2 3 3 4" xfId="2094"/>
    <cellStyle name="Normal 57 5 2 3 3 4 2" xfId="11459"/>
    <cellStyle name="Normal 57 5 2 3 3 4 3" xfId="21463"/>
    <cellStyle name="Normal 57 5 2 3 3 5" xfId="6489"/>
    <cellStyle name="Normal 57 5 2 3 3 5 2" xfId="15316"/>
    <cellStyle name="Normal 57 5 2 3 3 5 3" xfId="25567"/>
    <cellStyle name="Normal 57 5 2 3 3 6" xfId="7935"/>
    <cellStyle name="Normal 57 5 2 3 3 6 2" xfId="20654"/>
    <cellStyle name="Normal 57 5 2 3 3 7" xfId="16456"/>
    <cellStyle name="Normal 57 5 2 3 4" xfId="2985"/>
    <cellStyle name="Normal 57 5 2 3 4 2" xfId="5363"/>
    <cellStyle name="Normal 57 5 2 3 4 2 2" xfId="14200"/>
    <cellStyle name="Normal 57 5 2 3 4 2 2 2" xfId="24451"/>
    <cellStyle name="Normal 57 5 2 3 4 2 3" xfId="10621"/>
    <cellStyle name="Normal 57 5 2 3 4 2 4" xfId="19444"/>
    <cellStyle name="Normal 57 5 2 3 4 3" xfId="6818"/>
    <cellStyle name="Normal 57 5 2 3 4 3 2" xfId="15645"/>
    <cellStyle name="Normal 57 5 2 3 4 3 3" xfId="25896"/>
    <cellStyle name="Normal 57 5 2 3 4 4" xfId="8264"/>
    <cellStyle name="Normal 57 5 2 3 4 4 2" xfId="22346"/>
    <cellStyle name="Normal 57 5 2 3 4 5" xfId="17339"/>
    <cellStyle name="Normal 57 5 2 3 5" xfId="4319"/>
    <cellStyle name="Normal 57 5 2 3 5 2" xfId="13157"/>
    <cellStyle name="Normal 57 5 2 3 5 2 2" xfId="23408"/>
    <cellStyle name="Normal 57 5 2 3 5 3" xfId="9578"/>
    <cellStyle name="Normal 57 5 2 3 5 4" xfId="18401"/>
    <cellStyle name="Normal 57 5 2 3 6" xfId="1591"/>
    <cellStyle name="Normal 57 5 2 3 6 2" xfId="10968"/>
    <cellStyle name="Normal 57 5 2 3 6 3" xfId="20972"/>
    <cellStyle name="Normal 57 5 2 3 7" xfId="5775"/>
    <cellStyle name="Normal 57 5 2 3 7 2" xfId="14602"/>
    <cellStyle name="Normal 57 5 2 3 7 3" xfId="24853"/>
    <cellStyle name="Normal 57 5 2 3 8" xfId="7219"/>
    <cellStyle name="Normal 57 5 2 3 8 2" xfId="19945"/>
    <cellStyle name="Normal 57 5 2 3 9" xfId="15965"/>
    <cellStyle name="Normal 57 5 2 3_Degree data" xfId="3977"/>
    <cellStyle name="Normal 57 5 2 4" xfId="399"/>
    <cellStyle name="Normal 57 5 2 4 2" xfId="2885"/>
    <cellStyle name="Normal 57 5 2 4 2 2" xfId="12173"/>
    <cellStyle name="Normal 57 5 2 4 2 2 2" xfId="22246"/>
    <cellStyle name="Normal 57 5 2 4 2 3" xfId="8527"/>
    <cellStyle name="Normal 57 5 2 4 2 4" xfId="17239"/>
    <cellStyle name="Normal 57 5 2 4 3" xfId="4683"/>
    <cellStyle name="Normal 57 5 2 4 3 2" xfId="13521"/>
    <cellStyle name="Normal 57 5 2 4 3 2 2" xfId="23772"/>
    <cellStyle name="Normal 57 5 2 4 3 3" xfId="9942"/>
    <cellStyle name="Normal 57 5 2 4 3 4" xfId="18765"/>
    <cellStyle name="Normal 57 5 2 4 4" xfId="1994"/>
    <cellStyle name="Normal 57 5 2 4 4 2" xfId="11359"/>
    <cellStyle name="Normal 57 5 2 4 4 3" xfId="21363"/>
    <cellStyle name="Normal 57 5 2 4 5" xfId="6139"/>
    <cellStyle name="Normal 57 5 2 4 5 2" xfId="14966"/>
    <cellStyle name="Normal 57 5 2 4 5 3" xfId="25217"/>
    <cellStyle name="Normal 57 5 2 4 6" xfId="7584"/>
    <cellStyle name="Normal 57 5 2 4 6 2" xfId="19845"/>
    <cellStyle name="Normal 57 5 2 4 7" xfId="16356"/>
    <cellStyle name="Normal 57 5 2 5" xfId="869"/>
    <cellStyle name="Normal 57 5 2 5 2" xfId="3354"/>
    <cellStyle name="Normal 57 5 2 5 2 2" xfId="12496"/>
    <cellStyle name="Normal 57 5 2 5 2 2 2" xfId="22715"/>
    <cellStyle name="Normal 57 5 2 5 2 3" xfId="8918"/>
    <cellStyle name="Normal 57 5 2 5 2 4" xfId="17708"/>
    <cellStyle name="Normal 57 5 2 5 3" xfId="5032"/>
    <cellStyle name="Normal 57 5 2 5 3 2" xfId="13869"/>
    <cellStyle name="Normal 57 5 2 5 3 2 2" xfId="24120"/>
    <cellStyle name="Normal 57 5 2 5 3 3" xfId="10290"/>
    <cellStyle name="Normal 57 5 2 5 3 4" xfId="19113"/>
    <cellStyle name="Normal 57 5 2 5 4" xfId="2463"/>
    <cellStyle name="Normal 57 5 2 5 4 2" xfId="11828"/>
    <cellStyle name="Normal 57 5 2 5 4 3" xfId="21832"/>
    <cellStyle name="Normal 57 5 2 5 5" xfId="6487"/>
    <cellStyle name="Normal 57 5 2 5 5 2" xfId="15314"/>
    <cellStyle name="Normal 57 5 2 5 5 3" xfId="25565"/>
    <cellStyle name="Normal 57 5 2 5 6" xfId="7933"/>
    <cellStyle name="Normal 57 5 2 5 6 2" xfId="20314"/>
    <cellStyle name="Normal 57 5 2 5 7" xfId="16825"/>
    <cellStyle name="Normal 57 5 2 6" xfId="1171"/>
    <cellStyle name="Normal 57 5 2 6 2" xfId="3600"/>
    <cellStyle name="Normal 57 5 2 6 2 2" xfId="12736"/>
    <cellStyle name="Normal 57 5 2 6 2 2 2" xfId="22955"/>
    <cellStyle name="Normal 57 5 2 6 2 3" xfId="9157"/>
    <cellStyle name="Normal 57 5 2 6 2 4" xfId="17948"/>
    <cellStyle name="Normal 57 5 2 6 3" xfId="5263"/>
    <cellStyle name="Normal 57 5 2 6 3 2" xfId="14100"/>
    <cellStyle name="Normal 57 5 2 6 3 2 2" xfId="24351"/>
    <cellStyle name="Normal 57 5 2 6 3 3" xfId="10521"/>
    <cellStyle name="Normal 57 5 2 6 3 4" xfId="19344"/>
    <cellStyle name="Normal 57 5 2 6 4" xfId="1771"/>
    <cellStyle name="Normal 57 5 2 6 4 2" xfId="11142"/>
    <cellStyle name="Normal 57 5 2 6 4 3" xfId="21146"/>
    <cellStyle name="Normal 57 5 2 6 5" xfId="6718"/>
    <cellStyle name="Normal 57 5 2 6 5 2" xfId="15545"/>
    <cellStyle name="Normal 57 5 2 6 5 3" xfId="25796"/>
    <cellStyle name="Normal 57 5 2 6 6" xfId="8164"/>
    <cellStyle name="Normal 57 5 2 6 6 2" xfId="20554"/>
    <cellStyle name="Normal 57 5 2 6 7" xfId="16139"/>
    <cellStyle name="Normal 57 5 2 7" xfId="2668"/>
    <cellStyle name="Normal 57 5 2 7 2" xfId="11986"/>
    <cellStyle name="Normal 57 5 2 7 2 2" xfId="22029"/>
    <cellStyle name="Normal 57 5 2 7 3" xfId="8439"/>
    <cellStyle name="Normal 57 5 2 7 4" xfId="17022"/>
    <cellStyle name="Normal 57 5 2 8" xfId="4219"/>
    <cellStyle name="Normal 57 5 2 8 2" xfId="13057"/>
    <cellStyle name="Normal 57 5 2 8 2 2" xfId="23308"/>
    <cellStyle name="Normal 57 5 2 8 3" xfId="9478"/>
    <cellStyle name="Normal 57 5 2 8 4" xfId="18301"/>
    <cellStyle name="Normal 57 5 2 9" xfId="1491"/>
    <cellStyle name="Normal 57 5 2 9 2" xfId="10868"/>
    <cellStyle name="Normal 57 5 2 9 3" xfId="20872"/>
    <cellStyle name="Normal 57 5 2_Degree data" xfId="3975"/>
    <cellStyle name="Normal 57 5 3" xfId="216"/>
    <cellStyle name="Normal 57 5 3 10" xfId="7162"/>
    <cellStyle name="Normal 57 5 3 10 2" xfId="19671"/>
    <cellStyle name="Normal 57 5 3 11" xfId="15908"/>
    <cellStyle name="Normal 57 5 3 2" xfId="542"/>
    <cellStyle name="Normal 57 5 3 2 2" xfId="873"/>
    <cellStyle name="Normal 57 5 3 2 2 2" xfId="3358"/>
    <cellStyle name="Normal 57 5 3 2 2 2 2" xfId="12500"/>
    <cellStyle name="Normal 57 5 3 2 2 2 2 2" xfId="22719"/>
    <cellStyle name="Normal 57 5 3 2 2 2 3" xfId="8922"/>
    <cellStyle name="Normal 57 5 3 2 2 2 4" xfId="17712"/>
    <cellStyle name="Normal 57 5 3 2 2 3" xfId="4687"/>
    <cellStyle name="Normal 57 5 3 2 2 3 2" xfId="13525"/>
    <cellStyle name="Normal 57 5 3 2 2 3 2 2" xfId="23776"/>
    <cellStyle name="Normal 57 5 3 2 2 3 3" xfId="9946"/>
    <cellStyle name="Normal 57 5 3 2 2 3 4" xfId="18769"/>
    <cellStyle name="Normal 57 5 3 2 2 4" xfId="2467"/>
    <cellStyle name="Normal 57 5 3 2 2 4 2" xfId="11832"/>
    <cellStyle name="Normal 57 5 3 2 2 4 3" xfId="21836"/>
    <cellStyle name="Normal 57 5 3 2 2 5" xfId="6143"/>
    <cellStyle name="Normal 57 5 3 2 2 5 2" xfId="14970"/>
    <cellStyle name="Normal 57 5 3 2 2 5 3" xfId="25221"/>
    <cellStyle name="Normal 57 5 3 2 2 6" xfId="7588"/>
    <cellStyle name="Normal 57 5 3 2 2 6 2" xfId="20318"/>
    <cellStyle name="Normal 57 5 3 2 2 7" xfId="16829"/>
    <cellStyle name="Normal 57 5 3 2 3" xfId="1314"/>
    <cellStyle name="Normal 57 5 3 2 3 2" xfId="3743"/>
    <cellStyle name="Normal 57 5 3 2 3 2 2" xfId="12879"/>
    <cellStyle name="Normal 57 5 3 2 3 2 2 2" xfId="23098"/>
    <cellStyle name="Normal 57 5 3 2 3 2 3" xfId="9300"/>
    <cellStyle name="Normal 57 5 3 2 3 2 4" xfId="18091"/>
    <cellStyle name="Normal 57 5 3 2 3 3" xfId="5036"/>
    <cellStyle name="Normal 57 5 3 2 3 3 2" xfId="13873"/>
    <cellStyle name="Normal 57 5 3 2 3 3 2 2" xfId="24124"/>
    <cellStyle name="Normal 57 5 3 2 3 3 3" xfId="10294"/>
    <cellStyle name="Normal 57 5 3 2 3 3 4" xfId="19117"/>
    <cellStyle name="Normal 57 5 3 2 3 4" xfId="2137"/>
    <cellStyle name="Normal 57 5 3 2 3 4 2" xfId="11502"/>
    <cellStyle name="Normal 57 5 3 2 3 4 3" xfId="21506"/>
    <cellStyle name="Normal 57 5 3 2 3 5" xfId="6491"/>
    <cellStyle name="Normal 57 5 3 2 3 5 2" xfId="15318"/>
    <cellStyle name="Normal 57 5 3 2 3 5 3" xfId="25569"/>
    <cellStyle name="Normal 57 5 3 2 3 6" xfId="7937"/>
    <cellStyle name="Normal 57 5 3 2 3 6 2" xfId="20697"/>
    <cellStyle name="Normal 57 5 3 2 3 7" xfId="16499"/>
    <cellStyle name="Normal 57 5 3 2 4" xfId="3028"/>
    <cellStyle name="Normal 57 5 3 2 4 2" xfId="5406"/>
    <cellStyle name="Normal 57 5 3 2 4 2 2" xfId="14243"/>
    <cellStyle name="Normal 57 5 3 2 4 2 2 2" xfId="24494"/>
    <cellStyle name="Normal 57 5 3 2 4 2 3" xfId="10664"/>
    <cellStyle name="Normal 57 5 3 2 4 2 4" xfId="19487"/>
    <cellStyle name="Normal 57 5 3 2 4 3" xfId="6861"/>
    <cellStyle name="Normal 57 5 3 2 4 3 2" xfId="15688"/>
    <cellStyle name="Normal 57 5 3 2 4 3 3" xfId="25939"/>
    <cellStyle name="Normal 57 5 3 2 4 4" xfId="8307"/>
    <cellStyle name="Normal 57 5 3 2 4 4 2" xfId="22389"/>
    <cellStyle name="Normal 57 5 3 2 4 5" xfId="17382"/>
    <cellStyle name="Normal 57 5 3 2 5" xfId="4362"/>
    <cellStyle name="Normal 57 5 3 2 5 2" xfId="13200"/>
    <cellStyle name="Normal 57 5 3 2 5 2 2" xfId="23451"/>
    <cellStyle name="Normal 57 5 3 2 5 3" xfId="9621"/>
    <cellStyle name="Normal 57 5 3 2 5 4" xfId="18444"/>
    <cellStyle name="Normal 57 5 3 2 6" xfId="1634"/>
    <cellStyle name="Normal 57 5 3 2 6 2" xfId="11011"/>
    <cellStyle name="Normal 57 5 3 2 6 3" xfId="21015"/>
    <cellStyle name="Normal 57 5 3 2 7" xfId="5818"/>
    <cellStyle name="Normal 57 5 3 2 7 2" xfId="14645"/>
    <cellStyle name="Normal 57 5 3 2 7 3" xfId="24896"/>
    <cellStyle name="Normal 57 5 3 2 8" xfId="7262"/>
    <cellStyle name="Normal 57 5 3 2 8 2" xfId="19988"/>
    <cellStyle name="Normal 57 5 3 2 9" xfId="16008"/>
    <cellStyle name="Normal 57 5 3 2_Degree data" xfId="3979"/>
    <cellStyle name="Normal 57 5 3 3" xfId="442"/>
    <cellStyle name="Normal 57 5 3 3 2" xfId="2928"/>
    <cellStyle name="Normal 57 5 3 3 2 2" xfId="12216"/>
    <cellStyle name="Normal 57 5 3 3 2 2 2" xfId="22289"/>
    <cellStyle name="Normal 57 5 3 3 2 3" xfId="8516"/>
    <cellStyle name="Normal 57 5 3 3 2 4" xfId="17282"/>
    <cellStyle name="Normal 57 5 3 3 3" xfId="4686"/>
    <cellStyle name="Normal 57 5 3 3 3 2" xfId="13524"/>
    <cellStyle name="Normal 57 5 3 3 3 2 2" xfId="23775"/>
    <cellStyle name="Normal 57 5 3 3 3 3" xfId="9945"/>
    <cellStyle name="Normal 57 5 3 3 3 4" xfId="18768"/>
    <cellStyle name="Normal 57 5 3 3 4" xfId="2037"/>
    <cellStyle name="Normal 57 5 3 3 4 2" xfId="11402"/>
    <cellStyle name="Normal 57 5 3 3 4 3" xfId="21406"/>
    <cellStyle name="Normal 57 5 3 3 5" xfId="6142"/>
    <cellStyle name="Normal 57 5 3 3 5 2" xfId="14969"/>
    <cellStyle name="Normal 57 5 3 3 5 3" xfId="25220"/>
    <cellStyle name="Normal 57 5 3 3 6" xfId="7587"/>
    <cellStyle name="Normal 57 5 3 3 6 2" xfId="19888"/>
    <cellStyle name="Normal 57 5 3 3 7" xfId="16399"/>
    <cellStyle name="Normal 57 5 3 4" xfId="872"/>
    <cellStyle name="Normal 57 5 3 4 2" xfId="3357"/>
    <cellStyle name="Normal 57 5 3 4 2 2" xfId="12499"/>
    <cellStyle name="Normal 57 5 3 4 2 2 2" xfId="22718"/>
    <cellStyle name="Normal 57 5 3 4 2 3" xfId="8921"/>
    <cellStyle name="Normal 57 5 3 4 2 4" xfId="17711"/>
    <cellStyle name="Normal 57 5 3 4 3" xfId="5035"/>
    <cellStyle name="Normal 57 5 3 4 3 2" xfId="13872"/>
    <cellStyle name="Normal 57 5 3 4 3 2 2" xfId="24123"/>
    <cellStyle name="Normal 57 5 3 4 3 3" xfId="10293"/>
    <cellStyle name="Normal 57 5 3 4 3 4" xfId="19116"/>
    <cellStyle name="Normal 57 5 3 4 4" xfId="2466"/>
    <cellStyle name="Normal 57 5 3 4 4 2" xfId="11831"/>
    <cellStyle name="Normal 57 5 3 4 4 3" xfId="21835"/>
    <cellStyle name="Normal 57 5 3 4 5" xfId="6490"/>
    <cellStyle name="Normal 57 5 3 4 5 2" xfId="15317"/>
    <cellStyle name="Normal 57 5 3 4 5 3" xfId="25568"/>
    <cellStyle name="Normal 57 5 3 4 6" xfId="7936"/>
    <cellStyle name="Normal 57 5 3 4 6 2" xfId="20317"/>
    <cellStyle name="Normal 57 5 3 4 7" xfId="16828"/>
    <cellStyle name="Normal 57 5 3 5" xfId="1214"/>
    <cellStyle name="Normal 57 5 3 5 2" xfId="3643"/>
    <cellStyle name="Normal 57 5 3 5 2 2" xfId="12779"/>
    <cellStyle name="Normal 57 5 3 5 2 2 2" xfId="22998"/>
    <cellStyle name="Normal 57 5 3 5 2 3" xfId="9200"/>
    <cellStyle name="Normal 57 5 3 5 2 4" xfId="17991"/>
    <cellStyle name="Normal 57 5 3 5 3" xfId="5306"/>
    <cellStyle name="Normal 57 5 3 5 3 2" xfId="14143"/>
    <cellStyle name="Normal 57 5 3 5 3 2 2" xfId="24394"/>
    <cellStyle name="Normal 57 5 3 5 3 3" xfId="10564"/>
    <cellStyle name="Normal 57 5 3 5 3 4" xfId="19387"/>
    <cellStyle name="Normal 57 5 3 5 4" xfId="1817"/>
    <cellStyle name="Normal 57 5 3 5 4 2" xfId="11185"/>
    <cellStyle name="Normal 57 5 3 5 4 3" xfId="21189"/>
    <cellStyle name="Normal 57 5 3 5 5" xfId="6761"/>
    <cellStyle name="Normal 57 5 3 5 5 2" xfId="15588"/>
    <cellStyle name="Normal 57 5 3 5 5 3" xfId="25839"/>
    <cellStyle name="Normal 57 5 3 5 6" xfId="8207"/>
    <cellStyle name="Normal 57 5 3 5 6 2" xfId="20597"/>
    <cellStyle name="Normal 57 5 3 5 7" xfId="16182"/>
    <cellStyle name="Normal 57 5 3 6" xfId="2711"/>
    <cellStyle name="Normal 57 5 3 6 2" xfId="12028"/>
    <cellStyle name="Normal 57 5 3 6 2 2" xfId="22072"/>
    <cellStyle name="Normal 57 5 3 6 3" xfId="8389"/>
    <cellStyle name="Normal 57 5 3 6 4" xfId="17065"/>
    <cellStyle name="Normal 57 5 3 7" xfId="4262"/>
    <cellStyle name="Normal 57 5 3 7 2" xfId="13100"/>
    <cellStyle name="Normal 57 5 3 7 2 2" xfId="23351"/>
    <cellStyle name="Normal 57 5 3 7 3" xfId="9521"/>
    <cellStyle name="Normal 57 5 3 7 4" xfId="18344"/>
    <cellStyle name="Normal 57 5 3 8" xfId="1534"/>
    <cellStyle name="Normal 57 5 3 8 2" xfId="10911"/>
    <cellStyle name="Normal 57 5 3 8 3" xfId="20915"/>
    <cellStyle name="Normal 57 5 3 9" xfId="5718"/>
    <cellStyle name="Normal 57 5 3 9 2" xfId="14545"/>
    <cellStyle name="Normal 57 5 3 9 3" xfId="24796"/>
    <cellStyle name="Normal 57 5 3_Degree data" xfId="3978"/>
    <cellStyle name="Normal 57 5 4" xfId="236"/>
    <cellStyle name="Normal 57 5 4 10" xfId="7074"/>
    <cellStyle name="Normal 57 5 4 10 2" xfId="19688"/>
    <cellStyle name="Normal 57 5 4 11" xfId="15820"/>
    <cellStyle name="Normal 57 5 4 2" xfId="559"/>
    <cellStyle name="Normal 57 5 4 2 2" xfId="875"/>
    <cellStyle name="Normal 57 5 4 2 2 2" xfId="3360"/>
    <cellStyle name="Normal 57 5 4 2 2 2 2" xfId="12502"/>
    <cellStyle name="Normal 57 5 4 2 2 2 2 2" xfId="22721"/>
    <cellStyle name="Normal 57 5 4 2 2 2 3" xfId="8924"/>
    <cellStyle name="Normal 57 5 4 2 2 2 4" xfId="17714"/>
    <cellStyle name="Normal 57 5 4 2 2 3" xfId="4689"/>
    <cellStyle name="Normal 57 5 4 2 2 3 2" xfId="13527"/>
    <cellStyle name="Normal 57 5 4 2 2 3 2 2" xfId="23778"/>
    <cellStyle name="Normal 57 5 4 2 2 3 3" xfId="9948"/>
    <cellStyle name="Normal 57 5 4 2 2 3 4" xfId="18771"/>
    <cellStyle name="Normal 57 5 4 2 2 4" xfId="2469"/>
    <cellStyle name="Normal 57 5 4 2 2 4 2" xfId="11834"/>
    <cellStyle name="Normal 57 5 4 2 2 4 3" xfId="21838"/>
    <cellStyle name="Normal 57 5 4 2 2 5" xfId="6145"/>
    <cellStyle name="Normal 57 5 4 2 2 5 2" xfId="14972"/>
    <cellStyle name="Normal 57 5 4 2 2 5 3" xfId="25223"/>
    <cellStyle name="Normal 57 5 4 2 2 6" xfId="7590"/>
    <cellStyle name="Normal 57 5 4 2 2 6 2" xfId="20320"/>
    <cellStyle name="Normal 57 5 4 2 2 7" xfId="16831"/>
    <cellStyle name="Normal 57 5 4 2 3" xfId="1331"/>
    <cellStyle name="Normal 57 5 4 2 3 2" xfId="3760"/>
    <cellStyle name="Normal 57 5 4 2 3 2 2" xfId="12896"/>
    <cellStyle name="Normal 57 5 4 2 3 2 2 2" xfId="23115"/>
    <cellStyle name="Normal 57 5 4 2 3 2 3" xfId="9317"/>
    <cellStyle name="Normal 57 5 4 2 3 2 4" xfId="18108"/>
    <cellStyle name="Normal 57 5 4 2 3 3" xfId="5038"/>
    <cellStyle name="Normal 57 5 4 2 3 3 2" xfId="13875"/>
    <cellStyle name="Normal 57 5 4 2 3 3 2 2" xfId="24126"/>
    <cellStyle name="Normal 57 5 4 2 3 3 3" xfId="10296"/>
    <cellStyle name="Normal 57 5 4 2 3 3 4" xfId="19119"/>
    <cellStyle name="Normal 57 5 4 2 3 4" xfId="2154"/>
    <cellStyle name="Normal 57 5 4 2 3 4 2" xfId="11519"/>
    <cellStyle name="Normal 57 5 4 2 3 4 3" xfId="21523"/>
    <cellStyle name="Normal 57 5 4 2 3 5" xfId="6493"/>
    <cellStyle name="Normal 57 5 4 2 3 5 2" xfId="15320"/>
    <cellStyle name="Normal 57 5 4 2 3 5 3" xfId="25571"/>
    <cellStyle name="Normal 57 5 4 2 3 6" xfId="7939"/>
    <cellStyle name="Normal 57 5 4 2 3 6 2" xfId="20714"/>
    <cellStyle name="Normal 57 5 4 2 3 7" xfId="16516"/>
    <cellStyle name="Normal 57 5 4 2 4" xfId="3045"/>
    <cellStyle name="Normal 57 5 4 2 4 2" xfId="5423"/>
    <cellStyle name="Normal 57 5 4 2 4 2 2" xfId="14260"/>
    <cellStyle name="Normal 57 5 4 2 4 2 2 2" xfId="24511"/>
    <cellStyle name="Normal 57 5 4 2 4 2 3" xfId="10681"/>
    <cellStyle name="Normal 57 5 4 2 4 2 4" xfId="19504"/>
    <cellStyle name="Normal 57 5 4 2 4 3" xfId="6878"/>
    <cellStyle name="Normal 57 5 4 2 4 3 2" xfId="15705"/>
    <cellStyle name="Normal 57 5 4 2 4 3 3" xfId="25956"/>
    <cellStyle name="Normal 57 5 4 2 4 4" xfId="8324"/>
    <cellStyle name="Normal 57 5 4 2 4 4 2" xfId="22406"/>
    <cellStyle name="Normal 57 5 4 2 4 5" xfId="17399"/>
    <cellStyle name="Normal 57 5 4 2 5" xfId="4379"/>
    <cellStyle name="Normal 57 5 4 2 5 2" xfId="13217"/>
    <cellStyle name="Normal 57 5 4 2 5 2 2" xfId="23468"/>
    <cellStyle name="Normal 57 5 4 2 5 3" xfId="9638"/>
    <cellStyle name="Normal 57 5 4 2 5 4" xfId="18461"/>
    <cellStyle name="Normal 57 5 4 2 6" xfId="1651"/>
    <cellStyle name="Normal 57 5 4 2 6 2" xfId="11028"/>
    <cellStyle name="Normal 57 5 4 2 6 3" xfId="21032"/>
    <cellStyle name="Normal 57 5 4 2 7" xfId="5835"/>
    <cellStyle name="Normal 57 5 4 2 7 2" xfId="14662"/>
    <cellStyle name="Normal 57 5 4 2 7 3" xfId="24913"/>
    <cellStyle name="Normal 57 5 4 2 8" xfId="7279"/>
    <cellStyle name="Normal 57 5 4 2 8 2" xfId="20005"/>
    <cellStyle name="Normal 57 5 4 2 9" xfId="16025"/>
    <cellStyle name="Normal 57 5 4 2_Degree data" xfId="3981"/>
    <cellStyle name="Normal 57 5 4 3" xfId="354"/>
    <cellStyle name="Normal 57 5 4 3 2" xfId="2840"/>
    <cellStyle name="Normal 57 5 4 3 2 2" xfId="12128"/>
    <cellStyle name="Normal 57 5 4 3 2 2 2" xfId="22201"/>
    <cellStyle name="Normal 57 5 4 3 2 3" xfId="8608"/>
    <cellStyle name="Normal 57 5 4 3 2 4" xfId="17194"/>
    <cellStyle name="Normal 57 5 4 3 3" xfId="4688"/>
    <cellStyle name="Normal 57 5 4 3 3 2" xfId="13526"/>
    <cellStyle name="Normal 57 5 4 3 3 2 2" xfId="23777"/>
    <cellStyle name="Normal 57 5 4 3 3 3" xfId="9947"/>
    <cellStyle name="Normal 57 5 4 3 3 4" xfId="18770"/>
    <cellStyle name="Normal 57 5 4 3 4" xfId="1949"/>
    <cellStyle name="Normal 57 5 4 3 4 2" xfId="11314"/>
    <cellStyle name="Normal 57 5 4 3 4 3" xfId="21318"/>
    <cellStyle name="Normal 57 5 4 3 5" xfId="6144"/>
    <cellStyle name="Normal 57 5 4 3 5 2" xfId="14971"/>
    <cellStyle name="Normal 57 5 4 3 5 3" xfId="25222"/>
    <cellStyle name="Normal 57 5 4 3 6" xfId="7589"/>
    <cellStyle name="Normal 57 5 4 3 6 2" xfId="19800"/>
    <cellStyle name="Normal 57 5 4 3 7" xfId="16311"/>
    <cellStyle name="Normal 57 5 4 4" xfId="874"/>
    <cellStyle name="Normal 57 5 4 4 2" xfId="3359"/>
    <cellStyle name="Normal 57 5 4 4 2 2" xfId="12501"/>
    <cellStyle name="Normal 57 5 4 4 2 2 2" xfId="22720"/>
    <cellStyle name="Normal 57 5 4 4 2 3" xfId="8923"/>
    <cellStyle name="Normal 57 5 4 4 2 4" xfId="17713"/>
    <cellStyle name="Normal 57 5 4 4 3" xfId="5037"/>
    <cellStyle name="Normal 57 5 4 4 3 2" xfId="13874"/>
    <cellStyle name="Normal 57 5 4 4 3 2 2" xfId="24125"/>
    <cellStyle name="Normal 57 5 4 4 3 3" xfId="10295"/>
    <cellStyle name="Normal 57 5 4 4 3 4" xfId="19118"/>
    <cellStyle name="Normal 57 5 4 4 4" xfId="2468"/>
    <cellStyle name="Normal 57 5 4 4 4 2" xfId="11833"/>
    <cellStyle name="Normal 57 5 4 4 4 3" xfId="21837"/>
    <cellStyle name="Normal 57 5 4 4 5" xfId="6492"/>
    <cellStyle name="Normal 57 5 4 4 5 2" xfId="15319"/>
    <cellStyle name="Normal 57 5 4 4 5 3" xfId="25570"/>
    <cellStyle name="Normal 57 5 4 4 6" xfId="7938"/>
    <cellStyle name="Normal 57 5 4 4 6 2" xfId="20319"/>
    <cellStyle name="Normal 57 5 4 4 7" xfId="16830"/>
    <cellStyle name="Normal 57 5 4 5" xfId="1126"/>
    <cellStyle name="Normal 57 5 4 5 2" xfId="3555"/>
    <cellStyle name="Normal 57 5 4 5 2 2" xfId="12691"/>
    <cellStyle name="Normal 57 5 4 5 2 2 2" xfId="22910"/>
    <cellStyle name="Normal 57 5 4 5 2 3" xfId="9112"/>
    <cellStyle name="Normal 57 5 4 5 2 4" xfId="17903"/>
    <cellStyle name="Normal 57 5 4 5 3" xfId="5218"/>
    <cellStyle name="Normal 57 5 4 5 3 2" xfId="14055"/>
    <cellStyle name="Normal 57 5 4 5 3 2 2" xfId="24306"/>
    <cellStyle name="Normal 57 5 4 5 3 3" xfId="10476"/>
    <cellStyle name="Normal 57 5 4 5 3 4" xfId="19299"/>
    <cellStyle name="Normal 57 5 4 5 4" xfId="1834"/>
    <cellStyle name="Normal 57 5 4 5 4 2" xfId="11202"/>
    <cellStyle name="Normal 57 5 4 5 4 3" xfId="21206"/>
    <cellStyle name="Normal 57 5 4 5 5" xfId="6673"/>
    <cellStyle name="Normal 57 5 4 5 5 2" xfId="15500"/>
    <cellStyle name="Normal 57 5 4 5 5 3" xfId="25751"/>
    <cellStyle name="Normal 57 5 4 5 6" xfId="8119"/>
    <cellStyle name="Normal 57 5 4 5 6 2" xfId="20509"/>
    <cellStyle name="Normal 57 5 4 5 7" xfId="16199"/>
    <cellStyle name="Normal 57 5 4 6" xfId="2728"/>
    <cellStyle name="Normal 57 5 4 6 2" xfId="12045"/>
    <cellStyle name="Normal 57 5 4 6 2 2" xfId="22089"/>
    <cellStyle name="Normal 57 5 4 6 3" xfId="8495"/>
    <cellStyle name="Normal 57 5 4 6 4" xfId="17082"/>
    <cellStyle name="Normal 57 5 4 7" xfId="4174"/>
    <cellStyle name="Normal 57 5 4 7 2" xfId="13012"/>
    <cellStyle name="Normal 57 5 4 7 2 2" xfId="23263"/>
    <cellStyle name="Normal 57 5 4 7 3" xfId="9433"/>
    <cellStyle name="Normal 57 5 4 7 4" xfId="18256"/>
    <cellStyle name="Normal 57 5 4 8" xfId="1446"/>
    <cellStyle name="Normal 57 5 4 8 2" xfId="10823"/>
    <cellStyle name="Normal 57 5 4 8 3" xfId="20827"/>
    <cellStyle name="Normal 57 5 4 9" xfId="5630"/>
    <cellStyle name="Normal 57 5 4 9 2" xfId="14457"/>
    <cellStyle name="Normal 57 5 4 9 3" xfId="24708"/>
    <cellStyle name="Normal 57 5 4_Degree data" xfId="3980"/>
    <cellStyle name="Normal 57 5 5" xfId="454"/>
    <cellStyle name="Normal 57 5 5 2" xfId="876"/>
    <cellStyle name="Normal 57 5 5 2 2" xfId="3361"/>
    <cellStyle name="Normal 57 5 5 2 2 2" xfId="12503"/>
    <cellStyle name="Normal 57 5 5 2 2 2 2" xfId="22722"/>
    <cellStyle name="Normal 57 5 5 2 2 3" xfId="8925"/>
    <cellStyle name="Normal 57 5 5 2 2 4" xfId="17715"/>
    <cellStyle name="Normal 57 5 5 2 3" xfId="4690"/>
    <cellStyle name="Normal 57 5 5 2 3 2" xfId="13528"/>
    <cellStyle name="Normal 57 5 5 2 3 2 2" xfId="23779"/>
    <cellStyle name="Normal 57 5 5 2 3 3" xfId="9949"/>
    <cellStyle name="Normal 57 5 5 2 3 4" xfId="18772"/>
    <cellStyle name="Normal 57 5 5 2 4" xfId="2470"/>
    <cellStyle name="Normal 57 5 5 2 4 2" xfId="11835"/>
    <cellStyle name="Normal 57 5 5 2 4 3" xfId="21839"/>
    <cellStyle name="Normal 57 5 5 2 5" xfId="6146"/>
    <cellStyle name="Normal 57 5 5 2 5 2" xfId="14973"/>
    <cellStyle name="Normal 57 5 5 2 5 3" xfId="25224"/>
    <cellStyle name="Normal 57 5 5 2 6" xfId="7591"/>
    <cellStyle name="Normal 57 5 5 2 6 2" xfId="20321"/>
    <cellStyle name="Normal 57 5 5 2 7" xfId="16832"/>
    <cellStyle name="Normal 57 5 5 3" xfId="1226"/>
    <cellStyle name="Normal 57 5 5 3 2" xfId="3655"/>
    <cellStyle name="Normal 57 5 5 3 2 2" xfId="12791"/>
    <cellStyle name="Normal 57 5 5 3 2 2 2" xfId="23010"/>
    <cellStyle name="Normal 57 5 5 3 2 3" xfId="9212"/>
    <cellStyle name="Normal 57 5 5 3 2 4" xfId="18003"/>
    <cellStyle name="Normal 57 5 5 3 3" xfId="5039"/>
    <cellStyle name="Normal 57 5 5 3 3 2" xfId="13876"/>
    <cellStyle name="Normal 57 5 5 3 3 2 2" xfId="24127"/>
    <cellStyle name="Normal 57 5 5 3 3 3" xfId="10297"/>
    <cellStyle name="Normal 57 5 5 3 3 4" xfId="19120"/>
    <cellStyle name="Normal 57 5 5 3 4" xfId="2049"/>
    <cellStyle name="Normal 57 5 5 3 4 2" xfId="11414"/>
    <cellStyle name="Normal 57 5 5 3 4 3" xfId="21418"/>
    <cellStyle name="Normal 57 5 5 3 5" xfId="6494"/>
    <cellStyle name="Normal 57 5 5 3 5 2" xfId="15321"/>
    <cellStyle name="Normal 57 5 5 3 5 3" xfId="25572"/>
    <cellStyle name="Normal 57 5 5 3 6" xfId="7940"/>
    <cellStyle name="Normal 57 5 5 3 6 2" xfId="20609"/>
    <cellStyle name="Normal 57 5 5 3 7" xfId="16411"/>
    <cellStyle name="Normal 57 5 5 4" xfId="2940"/>
    <cellStyle name="Normal 57 5 5 4 2" xfId="5318"/>
    <cellStyle name="Normal 57 5 5 4 2 2" xfId="14155"/>
    <cellStyle name="Normal 57 5 5 4 2 2 2" xfId="24406"/>
    <cellStyle name="Normal 57 5 5 4 2 3" xfId="10576"/>
    <cellStyle name="Normal 57 5 5 4 2 4" xfId="19399"/>
    <cellStyle name="Normal 57 5 5 4 3" xfId="6773"/>
    <cellStyle name="Normal 57 5 5 4 3 2" xfId="15600"/>
    <cellStyle name="Normal 57 5 5 4 3 3" xfId="25851"/>
    <cellStyle name="Normal 57 5 5 4 4" xfId="8219"/>
    <cellStyle name="Normal 57 5 5 4 4 2" xfId="22301"/>
    <cellStyle name="Normal 57 5 5 4 5" xfId="17294"/>
    <cellStyle name="Normal 57 5 5 5" xfId="4274"/>
    <cellStyle name="Normal 57 5 5 5 2" xfId="13112"/>
    <cellStyle name="Normal 57 5 5 5 2 2" xfId="23363"/>
    <cellStyle name="Normal 57 5 5 5 3" xfId="9533"/>
    <cellStyle name="Normal 57 5 5 5 4" xfId="18356"/>
    <cellStyle name="Normal 57 5 5 6" xfId="1546"/>
    <cellStyle name="Normal 57 5 5 6 2" xfId="10923"/>
    <cellStyle name="Normal 57 5 5 6 3" xfId="20927"/>
    <cellStyle name="Normal 57 5 5 7" xfId="5730"/>
    <cellStyle name="Normal 57 5 5 7 2" xfId="14557"/>
    <cellStyle name="Normal 57 5 5 7 3" xfId="24808"/>
    <cellStyle name="Normal 57 5 5 8" xfId="7174"/>
    <cellStyle name="Normal 57 5 5 8 2" xfId="19900"/>
    <cellStyle name="Normal 57 5 5 9" xfId="15920"/>
    <cellStyle name="Normal 57 5 5_Degree data" xfId="3982"/>
    <cellStyle name="Normal 57 5 6" xfId="342"/>
    <cellStyle name="Normal 57 5 6 2" xfId="877"/>
    <cellStyle name="Normal 57 5 6 2 2" xfId="3362"/>
    <cellStyle name="Normal 57 5 6 2 2 2" xfId="12504"/>
    <cellStyle name="Normal 57 5 6 2 2 2 2" xfId="22723"/>
    <cellStyle name="Normal 57 5 6 2 2 3" xfId="8926"/>
    <cellStyle name="Normal 57 5 6 2 2 4" xfId="17716"/>
    <cellStyle name="Normal 57 5 6 2 3" xfId="4691"/>
    <cellStyle name="Normal 57 5 6 2 3 2" xfId="13529"/>
    <cellStyle name="Normal 57 5 6 2 3 2 2" xfId="23780"/>
    <cellStyle name="Normal 57 5 6 2 3 3" xfId="9950"/>
    <cellStyle name="Normal 57 5 6 2 3 4" xfId="18773"/>
    <cellStyle name="Normal 57 5 6 2 4" xfId="2471"/>
    <cellStyle name="Normal 57 5 6 2 4 2" xfId="11836"/>
    <cellStyle name="Normal 57 5 6 2 4 3" xfId="21840"/>
    <cellStyle name="Normal 57 5 6 2 5" xfId="6147"/>
    <cellStyle name="Normal 57 5 6 2 5 2" xfId="14974"/>
    <cellStyle name="Normal 57 5 6 2 5 3" xfId="25225"/>
    <cellStyle name="Normal 57 5 6 2 6" xfId="7592"/>
    <cellStyle name="Normal 57 5 6 2 6 2" xfId="20322"/>
    <cellStyle name="Normal 57 5 6 2 7" xfId="16833"/>
    <cellStyle name="Normal 57 5 6 3" xfId="1114"/>
    <cellStyle name="Normal 57 5 6 3 2" xfId="3543"/>
    <cellStyle name="Normal 57 5 6 3 2 2" xfId="12679"/>
    <cellStyle name="Normal 57 5 6 3 2 2 2" xfId="22898"/>
    <cellStyle name="Normal 57 5 6 3 2 3" xfId="9100"/>
    <cellStyle name="Normal 57 5 6 3 2 4" xfId="17891"/>
    <cellStyle name="Normal 57 5 6 3 3" xfId="5040"/>
    <cellStyle name="Normal 57 5 6 3 3 2" xfId="13877"/>
    <cellStyle name="Normal 57 5 6 3 3 2 2" xfId="24128"/>
    <cellStyle name="Normal 57 5 6 3 3 3" xfId="10298"/>
    <cellStyle name="Normal 57 5 6 3 3 4" xfId="19121"/>
    <cellStyle name="Normal 57 5 6 3 4" xfId="2601"/>
    <cellStyle name="Normal 57 5 6 3 4 2" xfId="11965"/>
    <cellStyle name="Normal 57 5 6 3 4 3" xfId="21969"/>
    <cellStyle name="Normal 57 5 6 3 5" xfId="6495"/>
    <cellStyle name="Normal 57 5 6 3 5 2" xfId="15322"/>
    <cellStyle name="Normal 57 5 6 3 5 3" xfId="25573"/>
    <cellStyle name="Normal 57 5 6 3 6" xfId="7941"/>
    <cellStyle name="Normal 57 5 6 3 6 2" xfId="20497"/>
    <cellStyle name="Normal 57 5 6 3 7" xfId="16962"/>
    <cellStyle name="Normal 57 5 6 4" xfId="2828"/>
    <cellStyle name="Normal 57 5 6 4 2" xfId="5206"/>
    <cellStyle name="Normal 57 5 6 4 2 2" xfId="14043"/>
    <cellStyle name="Normal 57 5 6 4 2 2 2" xfId="24294"/>
    <cellStyle name="Normal 57 5 6 4 2 3" xfId="10464"/>
    <cellStyle name="Normal 57 5 6 4 2 4" xfId="19287"/>
    <cellStyle name="Normal 57 5 6 4 3" xfId="6661"/>
    <cellStyle name="Normal 57 5 6 4 3 2" xfId="15488"/>
    <cellStyle name="Normal 57 5 6 4 3 3" xfId="25739"/>
    <cellStyle name="Normal 57 5 6 4 4" xfId="8107"/>
    <cellStyle name="Normal 57 5 6 4 4 2" xfId="22189"/>
    <cellStyle name="Normal 57 5 6 4 5" xfId="17182"/>
    <cellStyle name="Normal 57 5 6 5" xfId="4160"/>
    <cellStyle name="Normal 57 5 6 5 2" xfId="12998"/>
    <cellStyle name="Normal 57 5 6 5 2 2" xfId="23249"/>
    <cellStyle name="Normal 57 5 6 5 3" xfId="9419"/>
    <cellStyle name="Normal 57 5 6 5 4" xfId="18242"/>
    <cellStyle name="Normal 57 5 6 6" xfId="1937"/>
    <cellStyle name="Normal 57 5 6 6 2" xfId="11302"/>
    <cellStyle name="Normal 57 5 6 6 3" xfId="21306"/>
    <cellStyle name="Normal 57 5 6 7" xfId="5618"/>
    <cellStyle name="Normal 57 5 6 7 2" xfId="14445"/>
    <cellStyle name="Normal 57 5 6 7 3" xfId="24696"/>
    <cellStyle name="Normal 57 5 6 8" xfId="7062"/>
    <cellStyle name="Normal 57 5 6 8 2" xfId="19788"/>
    <cellStyle name="Normal 57 5 6 9" xfId="16299"/>
    <cellStyle name="Normal 57 5 6_Degree data" xfId="3983"/>
    <cellStyle name="Normal 57 5 7" xfId="868"/>
    <cellStyle name="Normal 57 5 7 2" xfId="3353"/>
    <cellStyle name="Normal 57 5 7 2 2" xfId="12495"/>
    <cellStyle name="Normal 57 5 7 2 2 2" xfId="22714"/>
    <cellStyle name="Normal 57 5 7 2 3" xfId="8917"/>
    <cellStyle name="Normal 57 5 7 2 4" xfId="17707"/>
    <cellStyle name="Normal 57 5 7 3" xfId="4682"/>
    <cellStyle name="Normal 57 5 7 3 2" xfId="13520"/>
    <cellStyle name="Normal 57 5 7 3 2 2" xfId="23771"/>
    <cellStyle name="Normal 57 5 7 3 3" xfId="9941"/>
    <cellStyle name="Normal 57 5 7 3 4" xfId="18764"/>
    <cellStyle name="Normal 57 5 7 4" xfId="2462"/>
    <cellStyle name="Normal 57 5 7 4 2" xfId="11827"/>
    <cellStyle name="Normal 57 5 7 4 3" xfId="21831"/>
    <cellStyle name="Normal 57 5 7 5" xfId="6138"/>
    <cellStyle name="Normal 57 5 7 5 2" xfId="14965"/>
    <cellStyle name="Normal 57 5 7 5 3" xfId="25216"/>
    <cellStyle name="Normal 57 5 7 6" xfId="7583"/>
    <cellStyle name="Normal 57 5 7 6 2" xfId="20313"/>
    <cellStyle name="Normal 57 5 7 7" xfId="16824"/>
    <cellStyle name="Normal 57 5 8" xfId="1069"/>
    <cellStyle name="Normal 57 5 8 2" xfId="3498"/>
    <cellStyle name="Normal 57 5 8 2 2" xfId="12634"/>
    <cellStyle name="Normal 57 5 8 2 2 2" xfId="22853"/>
    <cellStyle name="Normal 57 5 8 2 3" xfId="9056"/>
    <cellStyle name="Normal 57 5 8 2 4" xfId="17846"/>
    <cellStyle name="Normal 57 5 8 3" xfId="5031"/>
    <cellStyle name="Normal 57 5 8 3 2" xfId="13868"/>
    <cellStyle name="Normal 57 5 8 3 2 2" xfId="24119"/>
    <cellStyle name="Normal 57 5 8 3 3" xfId="10289"/>
    <cellStyle name="Normal 57 5 8 3 4" xfId="19112"/>
    <cellStyle name="Normal 57 5 8 4" xfId="1722"/>
    <cellStyle name="Normal 57 5 8 4 2" xfId="11096"/>
    <cellStyle name="Normal 57 5 8 4 3" xfId="21100"/>
    <cellStyle name="Normal 57 5 8 5" xfId="6486"/>
    <cellStyle name="Normal 57 5 8 5 2" xfId="15313"/>
    <cellStyle name="Normal 57 5 8 5 3" xfId="25564"/>
    <cellStyle name="Normal 57 5 8 6" xfId="7932"/>
    <cellStyle name="Normal 57 5 8 6 2" xfId="20452"/>
    <cellStyle name="Normal 57 5 8 7" xfId="16093"/>
    <cellStyle name="Normal 57 5 9" xfId="2620"/>
    <cellStyle name="Normal 57 5 9 2" xfId="5161"/>
    <cellStyle name="Normal 57 5 9 2 2" xfId="13998"/>
    <cellStyle name="Normal 57 5 9 2 2 2" xfId="24249"/>
    <cellStyle name="Normal 57 5 9 2 3" xfId="10419"/>
    <cellStyle name="Normal 57 5 9 2 4" xfId="19242"/>
    <cellStyle name="Normal 57 5 9 3" xfId="6616"/>
    <cellStyle name="Normal 57 5 9 3 2" xfId="15443"/>
    <cellStyle name="Normal 57 5 9 3 3" xfId="25694"/>
    <cellStyle name="Normal 57 5 9 4" xfId="8062"/>
    <cellStyle name="Normal 57 5 9 4 2" xfId="21983"/>
    <cellStyle name="Normal 57 5 9 5" xfId="16976"/>
    <cellStyle name="Normal 57 5_Degree data" xfId="3974"/>
    <cellStyle name="Normal 57 6" xfId="134"/>
    <cellStyle name="Normal 57 6 10" xfId="1408"/>
    <cellStyle name="Normal 57 6 10 2" xfId="10785"/>
    <cellStyle name="Normal 57 6 10 3" xfId="20789"/>
    <cellStyle name="Normal 57 6 11" xfId="5519"/>
    <cellStyle name="Normal 57 6 11 2" xfId="14346"/>
    <cellStyle name="Normal 57 6 11 3" xfId="24597"/>
    <cellStyle name="Normal 57 6 12" xfId="6959"/>
    <cellStyle name="Normal 57 6 12 2" xfId="19601"/>
    <cellStyle name="Normal 57 6 13" xfId="15782"/>
    <cellStyle name="Normal 57 6 2" xfId="190"/>
    <cellStyle name="Normal 57 6 2 10" xfId="7138"/>
    <cellStyle name="Normal 57 6 2 10 2" xfId="19647"/>
    <cellStyle name="Normal 57 6 2 11" xfId="15884"/>
    <cellStyle name="Normal 57 6 2 2" xfId="518"/>
    <cellStyle name="Normal 57 6 2 2 2" xfId="880"/>
    <cellStyle name="Normal 57 6 2 2 2 2" xfId="3365"/>
    <cellStyle name="Normal 57 6 2 2 2 2 2" xfId="12507"/>
    <cellStyle name="Normal 57 6 2 2 2 2 2 2" xfId="22726"/>
    <cellStyle name="Normal 57 6 2 2 2 2 3" xfId="8929"/>
    <cellStyle name="Normal 57 6 2 2 2 2 4" xfId="17719"/>
    <cellStyle name="Normal 57 6 2 2 2 3" xfId="4694"/>
    <cellStyle name="Normal 57 6 2 2 2 3 2" xfId="13532"/>
    <cellStyle name="Normal 57 6 2 2 2 3 2 2" xfId="23783"/>
    <cellStyle name="Normal 57 6 2 2 2 3 3" xfId="9953"/>
    <cellStyle name="Normal 57 6 2 2 2 3 4" xfId="18776"/>
    <cellStyle name="Normal 57 6 2 2 2 4" xfId="2474"/>
    <cellStyle name="Normal 57 6 2 2 2 4 2" xfId="11839"/>
    <cellStyle name="Normal 57 6 2 2 2 4 3" xfId="21843"/>
    <cellStyle name="Normal 57 6 2 2 2 5" xfId="6150"/>
    <cellStyle name="Normal 57 6 2 2 2 5 2" xfId="14977"/>
    <cellStyle name="Normal 57 6 2 2 2 5 3" xfId="25228"/>
    <cellStyle name="Normal 57 6 2 2 2 6" xfId="7595"/>
    <cellStyle name="Normal 57 6 2 2 2 6 2" xfId="20325"/>
    <cellStyle name="Normal 57 6 2 2 2 7" xfId="16836"/>
    <cellStyle name="Normal 57 6 2 2 3" xfId="1290"/>
    <cellStyle name="Normal 57 6 2 2 3 2" xfId="3719"/>
    <cellStyle name="Normal 57 6 2 2 3 2 2" xfId="12855"/>
    <cellStyle name="Normal 57 6 2 2 3 2 2 2" xfId="23074"/>
    <cellStyle name="Normal 57 6 2 2 3 2 3" xfId="9276"/>
    <cellStyle name="Normal 57 6 2 2 3 2 4" xfId="18067"/>
    <cellStyle name="Normal 57 6 2 2 3 3" xfId="5043"/>
    <cellStyle name="Normal 57 6 2 2 3 3 2" xfId="13880"/>
    <cellStyle name="Normal 57 6 2 2 3 3 2 2" xfId="24131"/>
    <cellStyle name="Normal 57 6 2 2 3 3 3" xfId="10301"/>
    <cellStyle name="Normal 57 6 2 2 3 3 4" xfId="19124"/>
    <cellStyle name="Normal 57 6 2 2 3 4" xfId="2113"/>
    <cellStyle name="Normal 57 6 2 2 3 4 2" xfId="11478"/>
    <cellStyle name="Normal 57 6 2 2 3 4 3" xfId="21482"/>
    <cellStyle name="Normal 57 6 2 2 3 5" xfId="6498"/>
    <cellStyle name="Normal 57 6 2 2 3 5 2" xfId="15325"/>
    <cellStyle name="Normal 57 6 2 2 3 5 3" xfId="25576"/>
    <cellStyle name="Normal 57 6 2 2 3 6" xfId="7944"/>
    <cellStyle name="Normal 57 6 2 2 3 6 2" xfId="20673"/>
    <cellStyle name="Normal 57 6 2 2 3 7" xfId="16475"/>
    <cellStyle name="Normal 57 6 2 2 4" xfId="3004"/>
    <cellStyle name="Normal 57 6 2 2 4 2" xfId="5382"/>
    <cellStyle name="Normal 57 6 2 2 4 2 2" xfId="14219"/>
    <cellStyle name="Normal 57 6 2 2 4 2 2 2" xfId="24470"/>
    <cellStyle name="Normal 57 6 2 2 4 2 3" xfId="10640"/>
    <cellStyle name="Normal 57 6 2 2 4 2 4" xfId="19463"/>
    <cellStyle name="Normal 57 6 2 2 4 3" xfId="6837"/>
    <cellStyle name="Normal 57 6 2 2 4 3 2" xfId="15664"/>
    <cellStyle name="Normal 57 6 2 2 4 3 3" xfId="25915"/>
    <cellStyle name="Normal 57 6 2 2 4 4" xfId="8283"/>
    <cellStyle name="Normal 57 6 2 2 4 4 2" xfId="22365"/>
    <cellStyle name="Normal 57 6 2 2 4 5" xfId="17358"/>
    <cellStyle name="Normal 57 6 2 2 5" xfId="4338"/>
    <cellStyle name="Normal 57 6 2 2 5 2" xfId="13176"/>
    <cellStyle name="Normal 57 6 2 2 5 2 2" xfId="23427"/>
    <cellStyle name="Normal 57 6 2 2 5 3" xfId="9597"/>
    <cellStyle name="Normal 57 6 2 2 5 4" xfId="18420"/>
    <cellStyle name="Normal 57 6 2 2 6" xfId="1610"/>
    <cellStyle name="Normal 57 6 2 2 6 2" xfId="10987"/>
    <cellStyle name="Normal 57 6 2 2 6 3" xfId="20991"/>
    <cellStyle name="Normal 57 6 2 2 7" xfId="5794"/>
    <cellStyle name="Normal 57 6 2 2 7 2" xfId="14621"/>
    <cellStyle name="Normal 57 6 2 2 7 3" xfId="24872"/>
    <cellStyle name="Normal 57 6 2 2 8" xfId="7238"/>
    <cellStyle name="Normal 57 6 2 2 8 2" xfId="19964"/>
    <cellStyle name="Normal 57 6 2 2 9" xfId="15984"/>
    <cellStyle name="Normal 57 6 2 2_Degree data" xfId="3986"/>
    <cellStyle name="Normal 57 6 2 3" xfId="418"/>
    <cellStyle name="Normal 57 6 2 3 2" xfId="2904"/>
    <cellStyle name="Normal 57 6 2 3 2 2" xfId="12192"/>
    <cellStyle name="Normal 57 6 2 3 2 2 2" xfId="22265"/>
    <cellStyle name="Normal 57 6 2 3 2 3" xfId="8521"/>
    <cellStyle name="Normal 57 6 2 3 2 4" xfId="17258"/>
    <cellStyle name="Normal 57 6 2 3 3" xfId="4693"/>
    <cellStyle name="Normal 57 6 2 3 3 2" xfId="13531"/>
    <cellStyle name="Normal 57 6 2 3 3 2 2" xfId="23782"/>
    <cellStyle name="Normal 57 6 2 3 3 3" xfId="9952"/>
    <cellStyle name="Normal 57 6 2 3 3 4" xfId="18775"/>
    <cellStyle name="Normal 57 6 2 3 4" xfId="2013"/>
    <cellStyle name="Normal 57 6 2 3 4 2" xfId="11378"/>
    <cellStyle name="Normal 57 6 2 3 4 3" xfId="21382"/>
    <cellStyle name="Normal 57 6 2 3 5" xfId="6149"/>
    <cellStyle name="Normal 57 6 2 3 5 2" xfId="14976"/>
    <cellStyle name="Normal 57 6 2 3 5 3" xfId="25227"/>
    <cellStyle name="Normal 57 6 2 3 6" xfId="7594"/>
    <cellStyle name="Normal 57 6 2 3 6 2" xfId="19864"/>
    <cellStyle name="Normal 57 6 2 3 7" xfId="16375"/>
    <cellStyle name="Normal 57 6 2 4" xfId="879"/>
    <cellStyle name="Normal 57 6 2 4 2" xfId="3364"/>
    <cellStyle name="Normal 57 6 2 4 2 2" xfId="12506"/>
    <cellStyle name="Normal 57 6 2 4 2 2 2" xfId="22725"/>
    <cellStyle name="Normal 57 6 2 4 2 3" xfId="8928"/>
    <cellStyle name="Normal 57 6 2 4 2 4" xfId="17718"/>
    <cellStyle name="Normal 57 6 2 4 3" xfId="5042"/>
    <cellStyle name="Normal 57 6 2 4 3 2" xfId="13879"/>
    <cellStyle name="Normal 57 6 2 4 3 2 2" xfId="24130"/>
    <cellStyle name="Normal 57 6 2 4 3 3" xfId="10300"/>
    <cellStyle name="Normal 57 6 2 4 3 4" xfId="19123"/>
    <cellStyle name="Normal 57 6 2 4 4" xfId="2473"/>
    <cellStyle name="Normal 57 6 2 4 4 2" xfId="11838"/>
    <cellStyle name="Normal 57 6 2 4 4 3" xfId="21842"/>
    <cellStyle name="Normal 57 6 2 4 5" xfId="6497"/>
    <cellStyle name="Normal 57 6 2 4 5 2" xfId="15324"/>
    <cellStyle name="Normal 57 6 2 4 5 3" xfId="25575"/>
    <cellStyle name="Normal 57 6 2 4 6" xfId="7943"/>
    <cellStyle name="Normal 57 6 2 4 6 2" xfId="20324"/>
    <cellStyle name="Normal 57 6 2 4 7" xfId="16835"/>
    <cellStyle name="Normal 57 6 2 5" xfId="1190"/>
    <cellStyle name="Normal 57 6 2 5 2" xfId="3619"/>
    <cellStyle name="Normal 57 6 2 5 2 2" xfId="12755"/>
    <cellStyle name="Normal 57 6 2 5 2 2 2" xfId="22974"/>
    <cellStyle name="Normal 57 6 2 5 2 3" xfId="9176"/>
    <cellStyle name="Normal 57 6 2 5 2 4" xfId="17967"/>
    <cellStyle name="Normal 57 6 2 5 3" xfId="5282"/>
    <cellStyle name="Normal 57 6 2 5 3 2" xfId="14119"/>
    <cellStyle name="Normal 57 6 2 5 3 2 2" xfId="24370"/>
    <cellStyle name="Normal 57 6 2 5 3 3" xfId="10540"/>
    <cellStyle name="Normal 57 6 2 5 3 4" xfId="19363"/>
    <cellStyle name="Normal 57 6 2 5 4" xfId="1792"/>
    <cellStyle name="Normal 57 6 2 5 4 2" xfId="11161"/>
    <cellStyle name="Normal 57 6 2 5 4 3" xfId="21165"/>
    <cellStyle name="Normal 57 6 2 5 5" xfId="6737"/>
    <cellStyle name="Normal 57 6 2 5 5 2" xfId="15564"/>
    <cellStyle name="Normal 57 6 2 5 5 3" xfId="25815"/>
    <cellStyle name="Normal 57 6 2 5 6" xfId="8183"/>
    <cellStyle name="Normal 57 6 2 5 6 2" xfId="20573"/>
    <cellStyle name="Normal 57 6 2 5 7" xfId="16158"/>
    <cellStyle name="Normal 57 6 2 6" xfId="2687"/>
    <cellStyle name="Normal 57 6 2 6 2" xfId="12004"/>
    <cellStyle name="Normal 57 6 2 6 2 2" xfId="22048"/>
    <cellStyle name="Normal 57 6 2 6 3" xfId="8565"/>
    <cellStyle name="Normal 57 6 2 6 4" xfId="17041"/>
    <cellStyle name="Normal 57 6 2 7" xfId="4238"/>
    <cellStyle name="Normal 57 6 2 7 2" xfId="13076"/>
    <cellStyle name="Normal 57 6 2 7 2 2" xfId="23327"/>
    <cellStyle name="Normal 57 6 2 7 3" xfId="9497"/>
    <cellStyle name="Normal 57 6 2 7 4" xfId="18320"/>
    <cellStyle name="Normal 57 6 2 8" xfId="1510"/>
    <cellStyle name="Normal 57 6 2 8 2" xfId="10887"/>
    <cellStyle name="Normal 57 6 2 8 3" xfId="20891"/>
    <cellStyle name="Normal 57 6 2 9" xfId="5694"/>
    <cellStyle name="Normal 57 6 2 9 2" xfId="14521"/>
    <cellStyle name="Normal 57 6 2 9 3" xfId="24772"/>
    <cellStyle name="Normal 57 6 2_Degree data" xfId="3985"/>
    <cellStyle name="Normal 57 6 3" xfId="254"/>
    <cellStyle name="Normal 57 6 3 10" xfId="7092"/>
    <cellStyle name="Normal 57 6 3 10 2" xfId="19706"/>
    <cellStyle name="Normal 57 6 3 11" xfId="15838"/>
    <cellStyle name="Normal 57 6 3 2" xfId="577"/>
    <cellStyle name="Normal 57 6 3 2 2" xfId="882"/>
    <cellStyle name="Normal 57 6 3 2 2 2" xfId="3367"/>
    <cellStyle name="Normal 57 6 3 2 2 2 2" xfId="12509"/>
    <cellStyle name="Normal 57 6 3 2 2 2 2 2" xfId="22728"/>
    <cellStyle name="Normal 57 6 3 2 2 2 3" xfId="8931"/>
    <cellStyle name="Normal 57 6 3 2 2 2 4" xfId="17721"/>
    <cellStyle name="Normal 57 6 3 2 2 3" xfId="4696"/>
    <cellStyle name="Normal 57 6 3 2 2 3 2" xfId="13534"/>
    <cellStyle name="Normal 57 6 3 2 2 3 2 2" xfId="23785"/>
    <cellStyle name="Normal 57 6 3 2 2 3 3" xfId="9955"/>
    <cellStyle name="Normal 57 6 3 2 2 3 4" xfId="18778"/>
    <cellStyle name="Normal 57 6 3 2 2 4" xfId="2476"/>
    <cellStyle name="Normal 57 6 3 2 2 4 2" xfId="11841"/>
    <cellStyle name="Normal 57 6 3 2 2 4 3" xfId="21845"/>
    <cellStyle name="Normal 57 6 3 2 2 5" xfId="6152"/>
    <cellStyle name="Normal 57 6 3 2 2 5 2" xfId="14979"/>
    <cellStyle name="Normal 57 6 3 2 2 5 3" xfId="25230"/>
    <cellStyle name="Normal 57 6 3 2 2 6" xfId="7597"/>
    <cellStyle name="Normal 57 6 3 2 2 6 2" xfId="20327"/>
    <cellStyle name="Normal 57 6 3 2 2 7" xfId="16838"/>
    <cellStyle name="Normal 57 6 3 2 3" xfId="1349"/>
    <cellStyle name="Normal 57 6 3 2 3 2" xfId="3778"/>
    <cellStyle name="Normal 57 6 3 2 3 2 2" xfId="12914"/>
    <cellStyle name="Normal 57 6 3 2 3 2 2 2" xfId="23133"/>
    <cellStyle name="Normal 57 6 3 2 3 2 3" xfId="9335"/>
    <cellStyle name="Normal 57 6 3 2 3 2 4" xfId="18126"/>
    <cellStyle name="Normal 57 6 3 2 3 3" xfId="5045"/>
    <cellStyle name="Normal 57 6 3 2 3 3 2" xfId="13882"/>
    <cellStyle name="Normal 57 6 3 2 3 3 2 2" xfId="24133"/>
    <cellStyle name="Normal 57 6 3 2 3 3 3" xfId="10303"/>
    <cellStyle name="Normal 57 6 3 2 3 3 4" xfId="19126"/>
    <cellStyle name="Normal 57 6 3 2 3 4" xfId="2172"/>
    <cellStyle name="Normal 57 6 3 2 3 4 2" xfId="11537"/>
    <cellStyle name="Normal 57 6 3 2 3 4 3" xfId="21541"/>
    <cellStyle name="Normal 57 6 3 2 3 5" xfId="6500"/>
    <cellStyle name="Normal 57 6 3 2 3 5 2" xfId="15327"/>
    <cellStyle name="Normal 57 6 3 2 3 5 3" xfId="25578"/>
    <cellStyle name="Normal 57 6 3 2 3 6" xfId="7946"/>
    <cellStyle name="Normal 57 6 3 2 3 6 2" xfId="20732"/>
    <cellStyle name="Normal 57 6 3 2 3 7" xfId="16534"/>
    <cellStyle name="Normal 57 6 3 2 4" xfId="3063"/>
    <cellStyle name="Normal 57 6 3 2 4 2" xfId="5441"/>
    <cellStyle name="Normal 57 6 3 2 4 2 2" xfId="14278"/>
    <cellStyle name="Normal 57 6 3 2 4 2 2 2" xfId="24529"/>
    <cellStyle name="Normal 57 6 3 2 4 2 3" xfId="10699"/>
    <cellStyle name="Normal 57 6 3 2 4 2 4" xfId="19522"/>
    <cellStyle name="Normal 57 6 3 2 4 3" xfId="6896"/>
    <cellStyle name="Normal 57 6 3 2 4 3 2" xfId="15723"/>
    <cellStyle name="Normal 57 6 3 2 4 3 3" xfId="25974"/>
    <cellStyle name="Normal 57 6 3 2 4 4" xfId="8342"/>
    <cellStyle name="Normal 57 6 3 2 4 4 2" xfId="22424"/>
    <cellStyle name="Normal 57 6 3 2 4 5" xfId="17417"/>
    <cellStyle name="Normal 57 6 3 2 5" xfId="4397"/>
    <cellStyle name="Normal 57 6 3 2 5 2" xfId="13235"/>
    <cellStyle name="Normal 57 6 3 2 5 2 2" xfId="23486"/>
    <cellStyle name="Normal 57 6 3 2 5 3" xfId="9656"/>
    <cellStyle name="Normal 57 6 3 2 5 4" xfId="18479"/>
    <cellStyle name="Normal 57 6 3 2 6" xfId="1669"/>
    <cellStyle name="Normal 57 6 3 2 6 2" xfId="11046"/>
    <cellStyle name="Normal 57 6 3 2 6 3" xfId="21050"/>
    <cellStyle name="Normal 57 6 3 2 7" xfId="5853"/>
    <cellStyle name="Normal 57 6 3 2 7 2" xfId="14680"/>
    <cellStyle name="Normal 57 6 3 2 7 3" xfId="24931"/>
    <cellStyle name="Normal 57 6 3 2 8" xfId="7297"/>
    <cellStyle name="Normal 57 6 3 2 8 2" xfId="20023"/>
    <cellStyle name="Normal 57 6 3 2 9" xfId="16043"/>
    <cellStyle name="Normal 57 6 3 2_Degree data" xfId="3988"/>
    <cellStyle name="Normal 57 6 3 3" xfId="372"/>
    <cellStyle name="Normal 57 6 3 3 2" xfId="2858"/>
    <cellStyle name="Normal 57 6 3 3 2 2" xfId="12146"/>
    <cellStyle name="Normal 57 6 3 3 2 2 2" xfId="22219"/>
    <cellStyle name="Normal 57 6 3 3 2 3" xfId="8533"/>
    <cellStyle name="Normal 57 6 3 3 2 4" xfId="17212"/>
    <cellStyle name="Normal 57 6 3 3 3" xfId="4695"/>
    <cellStyle name="Normal 57 6 3 3 3 2" xfId="13533"/>
    <cellStyle name="Normal 57 6 3 3 3 2 2" xfId="23784"/>
    <cellStyle name="Normal 57 6 3 3 3 3" xfId="9954"/>
    <cellStyle name="Normal 57 6 3 3 3 4" xfId="18777"/>
    <cellStyle name="Normal 57 6 3 3 4" xfId="1967"/>
    <cellStyle name="Normal 57 6 3 3 4 2" xfId="11332"/>
    <cellStyle name="Normal 57 6 3 3 4 3" xfId="21336"/>
    <cellStyle name="Normal 57 6 3 3 5" xfId="6151"/>
    <cellStyle name="Normal 57 6 3 3 5 2" xfId="14978"/>
    <cellStyle name="Normal 57 6 3 3 5 3" xfId="25229"/>
    <cellStyle name="Normal 57 6 3 3 6" xfId="7596"/>
    <cellStyle name="Normal 57 6 3 3 6 2" xfId="19818"/>
    <cellStyle name="Normal 57 6 3 3 7" xfId="16329"/>
    <cellStyle name="Normal 57 6 3 4" xfId="881"/>
    <cellStyle name="Normal 57 6 3 4 2" xfId="3366"/>
    <cellStyle name="Normal 57 6 3 4 2 2" xfId="12508"/>
    <cellStyle name="Normal 57 6 3 4 2 2 2" xfId="22727"/>
    <cellStyle name="Normal 57 6 3 4 2 3" xfId="8930"/>
    <cellStyle name="Normal 57 6 3 4 2 4" xfId="17720"/>
    <cellStyle name="Normal 57 6 3 4 3" xfId="5044"/>
    <cellStyle name="Normal 57 6 3 4 3 2" xfId="13881"/>
    <cellStyle name="Normal 57 6 3 4 3 2 2" xfId="24132"/>
    <cellStyle name="Normal 57 6 3 4 3 3" xfId="10302"/>
    <cellStyle name="Normal 57 6 3 4 3 4" xfId="19125"/>
    <cellStyle name="Normal 57 6 3 4 4" xfId="2475"/>
    <cellStyle name="Normal 57 6 3 4 4 2" xfId="11840"/>
    <cellStyle name="Normal 57 6 3 4 4 3" xfId="21844"/>
    <cellStyle name="Normal 57 6 3 4 5" xfId="6499"/>
    <cellStyle name="Normal 57 6 3 4 5 2" xfId="15326"/>
    <cellStyle name="Normal 57 6 3 4 5 3" xfId="25577"/>
    <cellStyle name="Normal 57 6 3 4 6" xfId="7945"/>
    <cellStyle name="Normal 57 6 3 4 6 2" xfId="20326"/>
    <cellStyle name="Normal 57 6 3 4 7" xfId="16837"/>
    <cellStyle name="Normal 57 6 3 5" xfId="1144"/>
    <cellStyle name="Normal 57 6 3 5 2" xfId="3573"/>
    <cellStyle name="Normal 57 6 3 5 2 2" xfId="12709"/>
    <cellStyle name="Normal 57 6 3 5 2 2 2" xfId="22928"/>
    <cellStyle name="Normal 57 6 3 5 2 3" xfId="9130"/>
    <cellStyle name="Normal 57 6 3 5 2 4" xfId="17921"/>
    <cellStyle name="Normal 57 6 3 5 3" xfId="5236"/>
    <cellStyle name="Normal 57 6 3 5 3 2" xfId="14073"/>
    <cellStyle name="Normal 57 6 3 5 3 2 2" xfId="24324"/>
    <cellStyle name="Normal 57 6 3 5 3 3" xfId="10494"/>
    <cellStyle name="Normal 57 6 3 5 3 4" xfId="19317"/>
    <cellStyle name="Normal 57 6 3 5 4" xfId="1852"/>
    <cellStyle name="Normal 57 6 3 5 4 2" xfId="11220"/>
    <cellStyle name="Normal 57 6 3 5 4 3" xfId="21224"/>
    <cellStyle name="Normal 57 6 3 5 5" xfId="6691"/>
    <cellStyle name="Normal 57 6 3 5 5 2" xfId="15518"/>
    <cellStyle name="Normal 57 6 3 5 5 3" xfId="25769"/>
    <cellStyle name="Normal 57 6 3 5 6" xfId="8137"/>
    <cellStyle name="Normal 57 6 3 5 6 2" xfId="20527"/>
    <cellStyle name="Normal 57 6 3 5 7" xfId="16217"/>
    <cellStyle name="Normal 57 6 3 6" xfId="2746"/>
    <cellStyle name="Normal 57 6 3 6 2" xfId="12063"/>
    <cellStyle name="Normal 57 6 3 6 2 2" xfId="22107"/>
    <cellStyle name="Normal 57 6 3 6 3" xfId="8553"/>
    <cellStyle name="Normal 57 6 3 6 4" xfId="17100"/>
    <cellStyle name="Normal 57 6 3 7" xfId="4192"/>
    <cellStyle name="Normal 57 6 3 7 2" xfId="13030"/>
    <cellStyle name="Normal 57 6 3 7 2 2" xfId="23281"/>
    <cellStyle name="Normal 57 6 3 7 3" xfId="9451"/>
    <cellStyle name="Normal 57 6 3 7 4" xfId="18274"/>
    <cellStyle name="Normal 57 6 3 8" xfId="1464"/>
    <cellStyle name="Normal 57 6 3 8 2" xfId="10841"/>
    <cellStyle name="Normal 57 6 3 8 3" xfId="20845"/>
    <cellStyle name="Normal 57 6 3 9" xfId="5648"/>
    <cellStyle name="Normal 57 6 3 9 2" xfId="14475"/>
    <cellStyle name="Normal 57 6 3 9 3" xfId="24726"/>
    <cellStyle name="Normal 57 6 3_Degree data" xfId="3987"/>
    <cellStyle name="Normal 57 6 4" xfId="472"/>
    <cellStyle name="Normal 57 6 4 2" xfId="883"/>
    <cellStyle name="Normal 57 6 4 2 2" xfId="3368"/>
    <cellStyle name="Normal 57 6 4 2 2 2" xfId="12510"/>
    <cellStyle name="Normal 57 6 4 2 2 2 2" xfId="22729"/>
    <cellStyle name="Normal 57 6 4 2 2 3" xfId="8932"/>
    <cellStyle name="Normal 57 6 4 2 2 4" xfId="17722"/>
    <cellStyle name="Normal 57 6 4 2 3" xfId="4697"/>
    <cellStyle name="Normal 57 6 4 2 3 2" xfId="13535"/>
    <cellStyle name="Normal 57 6 4 2 3 2 2" xfId="23786"/>
    <cellStyle name="Normal 57 6 4 2 3 3" xfId="9956"/>
    <cellStyle name="Normal 57 6 4 2 3 4" xfId="18779"/>
    <cellStyle name="Normal 57 6 4 2 4" xfId="2477"/>
    <cellStyle name="Normal 57 6 4 2 4 2" xfId="11842"/>
    <cellStyle name="Normal 57 6 4 2 4 3" xfId="21846"/>
    <cellStyle name="Normal 57 6 4 2 5" xfId="6153"/>
    <cellStyle name="Normal 57 6 4 2 5 2" xfId="14980"/>
    <cellStyle name="Normal 57 6 4 2 5 3" xfId="25231"/>
    <cellStyle name="Normal 57 6 4 2 6" xfId="7598"/>
    <cellStyle name="Normal 57 6 4 2 6 2" xfId="20328"/>
    <cellStyle name="Normal 57 6 4 2 7" xfId="16839"/>
    <cellStyle name="Normal 57 6 4 3" xfId="1244"/>
    <cellStyle name="Normal 57 6 4 3 2" xfId="3673"/>
    <cellStyle name="Normal 57 6 4 3 2 2" xfId="12809"/>
    <cellStyle name="Normal 57 6 4 3 2 2 2" xfId="23028"/>
    <cellStyle name="Normal 57 6 4 3 2 3" xfId="9230"/>
    <cellStyle name="Normal 57 6 4 3 2 4" xfId="18021"/>
    <cellStyle name="Normal 57 6 4 3 3" xfId="5046"/>
    <cellStyle name="Normal 57 6 4 3 3 2" xfId="13883"/>
    <cellStyle name="Normal 57 6 4 3 3 2 2" xfId="24134"/>
    <cellStyle name="Normal 57 6 4 3 3 3" xfId="10304"/>
    <cellStyle name="Normal 57 6 4 3 3 4" xfId="19127"/>
    <cellStyle name="Normal 57 6 4 3 4" xfId="2067"/>
    <cellStyle name="Normal 57 6 4 3 4 2" xfId="11432"/>
    <cellStyle name="Normal 57 6 4 3 4 3" xfId="21436"/>
    <cellStyle name="Normal 57 6 4 3 5" xfId="6501"/>
    <cellStyle name="Normal 57 6 4 3 5 2" xfId="15328"/>
    <cellStyle name="Normal 57 6 4 3 5 3" xfId="25579"/>
    <cellStyle name="Normal 57 6 4 3 6" xfId="7947"/>
    <cellStyle name="Normal 57 6 4 3 6 2" xfId="20627"/>
    <cellStyle name="Normal 57 6 4 3 7" xfId="16429"/>
    <cellStyle name="Normal 57 6 4 4" xfId="2958"/>
    <cellStyle name="Normal 57 6 4 4 2" xfId="5336"/>
    <cellStyle name="Normal 57 6 4 4 2 2" xfId="14173"/>
    <cellStyle name="Normal 57 6 4 4 2 2 2" xfId="24424"/>
    <cellStyle name="Normal 57 6 4 4 2 3" xfId="10594"/>
    <cellStyle name="Normal 57 6 4 4 2 4" xfId="19417"/>
    <cellStyle name="Normal 57 6 4 4 3" xfId="6791"/>
    <cellStyle name="Normal 57 6 4 4 3 2" xfId="15618"/>
    <cellStyle name="Normal 57 6 4 4 3 3" xfId="25869"/>
    <cellStyle name="Normal 57 6 4 4 4" xfId="8237"/>
    <cellStyle name="Normal 57 6 4 4 4 2" xfId="22319"/>
    <cellStyle name="Normal 57 6 4 4 5" xfId="17312"/>
    <cellStyle name="Normal 57 6 4 5" xfId="4292"/>
    <cellStyle name="Normal 57 6 4 5 2" xfId="13130"/>
    <cellStyle name="Normal 57 6 4 5 2 2" xfId="23381"/>
    <cellStyle name="Normal 57 6 4 5 3" xfId="9551"/>
    <cellStyle name="Normal 57 6 4 5 4" xfId="18374"/>
    <cellStyle name="Normal 57 6 4 6" xfId="1564"/>
    <cellStyle name="Normal 57 6 4 6 2" xfId="10941"/>
    <cellStyle name="Normal 57 6 4 6 3" xfId="20945"/>
    <cellStyle name="Normal 57 6 4 7" xfId="5748"/>
    <cellStyle name="Normal 57 6 4 7 2" xfId="14575"/>
    <cellStyle name="Normal 57 6 4 7 3" xfId="24826"/>
    <cellStyle name="Normal 57 6 4 8" xfId="7192"/>
    <cellStyle name="Normal 57 6 4 8 2" xfId="19918"/>
    <cellStyle name="Normal 57 6 4 9" xfId="15938"/>
    <cellStyle name="Normal 57 6 4_Degree data" xfId="3989"/>
    <cellStyle name="Normal 57 6 5" xfId="316"/>
    <cellStyle name="Normal 57 6 5 2" xfId="2802"/>
    <cellStyle name="Normal 57 6 5 2 2" xfId="12106"/>
    <cellStyle name="Normal 57 6 5 2 2 2" xfId="22163"/>
    <cellStyle name="Normal 57 6 5 2 3" xfId="8442"/>
    <cellStyle name="Normal 57 6 5 2 4" xfId="17156"/>
    <cellStyle name="Normal 57 6 5 3" xfId="4692"/>
    <cellStyle name="Normal 57 6 5 3 2" xfId="13530"/>
    <cellStyle name="Normal 57 6 5 3 2 2" xfId="23781"/>
    <cellStyle name="Normal 57 6 5 3 3" xfId="9951"/>
    <cellStyle name="Normal 57 6 5 3 4" xfId="18774"/>
    <cellStyle name="Normal 57 6 5 4" xfId="1911"/>
    <cellStyle name="Normal 57 6 5 4 2" xfId="11276"/>
    <cellStyle name="Normal 57 6 5 4 3" xfId="21280"/>
    <cellStyle name="Normal 57 6 5 5" xfId="6148"/>
    <cellStyle name="Normal 57 6 5 5 2" xfId="14975"/>
    <cellStyle name="Normal 57 6 5 5 3" xfId="25226"/>
    <cellStyle name="Normal 57 6 5 6" xfId="7593"/>
    <cellStyle name="Normal 57 6 5 6 2" xfId="19762"/>
    <cellStyle name="Normal 57 6 5 7" xfId="16273"/>
    <cellStyle name="Normal 57 6 6" xfId="878"/>
    <cellStyle name="Normal 57 6 6 2" xfId="3363"/>
    <cellStyle name="Normal 57 6 6 2 2" xfId="12505"/>
    <cellStyle name="Normal 57 6 6 2 2 2" xfId="22724"/>
    <cellStyle name="Normal 57 6 6 2 3" xfId="8927"/>
    <cellStyle name="Normal 57 6 6 2 4" xfId="17717"/>
    <cellStyle name="Normal 57 6 6 3" xfId="5041"/>
    <cellStyle name="Normal 57 6 6 3 2" xfId="13878"/>
    <cellStyle name="Normal 57 6 6 3 2 2" xfId="24129"/>
    <cellStyle name="Normal 57 6 6 3 3" xfId="10299"/>
    <cellStyle name="Normal 57 6 6 3 4" xfId="19122"/>
    <cellStyle name="Normal 57 6 6 4" xfId="2472"/>
    <cellStyle name="Normal 57 6 6 4 2" xfId="11837"/>
    <cellStyle name="Normal 57 6 6 4 3" xfId="21841"/>
    <cellStyle name="Normal 57 6 6 5" xfId="6496"/>
    <cellStyle name="Normal 57 6 6 5 2" xfId="15323"/>
    <cellStyle name="Normal 57 6 6 5 3" xfId="25574"/>
    <cellStyle name="Normal 57 6 6 6" xfId="7942"/>
    <cellStyle name="Normal 57 6 6 6 2" xfId="20323"/>
    <cellStyle name="Normal 57 6 6 7" xfId="16834"/>
    <cellStyle name="Normal 57 6 7" xfId="1088"/>
    <cellStyle name="Normal 57 6 7 2" xfId="3517"/>
    <cellStyle name="Normal 57 6 7 2 2" xfId="12653"/>
    <cellStyle name="Normal 57 6 7 2 2 2" xfId="22872"/>
    <cellStyle name="Normal 57 6 7 2 3" xfId="9075"/>
    <cellStyle name="Normal 57 6 7 2 4" xfId="17865"/>
    <cellStyle name="Normal 57 6 7 3" xfId="5180"/>
    <cellStyle name="Normal 57 6 7 3 2" xfId="14017"/>
    <cellStyle name="Normal 57 6 7 3 2 2" xfId="24268"/>
    <cellStyle name="Normal 57 6 7 3 3" xfId="10438"/>
    <cellStyle name="Normal 57 6 7 3 4" xfId="19261"/>
    <cellStyle name="Normal 57 6 7 4" xfId="1740"/>
    <cellStyle name="Normal 57 6 7 4 2" xfId="11114"/>
    <cellStyle name="Normal 57 6 7 4 3" xfId="21118"/>
    <cellStyle name="Normal 57 6 7 5" xfId="6635"/>
    <cellStyle name="Normal 57 6 7 5 2" xfId="15462"/>
    <cellStyle name="Normal 57 6 7 5 3" xfId="25713"/>
    <cellStyle name="Normal 57 6 7 6" xfId="8081"/>
    <cellStyle name="Normal 57 6 7 6 2" xfId="20471"/>
    <cellStyle name="Normal 57 6 7 7" xfId="16111"/>
    <cellStyle name="Normal 57 6 8" xfId="2640"/>
    <cellStyle name="Normal 57 6 8 2" xfId="5592"/>
    <cellStyle name="Normal 57 6 8 2 2" xfId="14419"/>
    <cellStyle name="Normal 57 6 8 2 3" xfId="24670"/>
    <cellStyle name="Normal 57 6 8 3" xfId="7036"/>
    <cellStyle name="Normal 57 6 8 3 2" xfId="22002"/>
    <cellStyle name="Normal 57 6 8 4" xfId="16995"/>
    <cellStyle name="Normal 57 6 9" xfId="4134"/>
    <cellStyle name="Normal 57 6 9 2" xfId="12972"/>
    <cellStyle name="Normal 57 6 9 2 2" xfId="23223"/>
    <cellStyle name="Normal 57 6 9 3" xfId="9393"/>
    <cellStyle name="Normal 57 6 9 4" xfId="18216"/>
    <cellStyle name="Normal 57 6_Degree data" xfId="3984"/>
    <cellStyle name="Normal 57 7" xfId="140"/>
    <cellStyle name="Normal 57 7 10" xfId="5651"/>
    <cellStyle name="Normal 57 7 10 2" xfId="14478"/>
    <cellStyle name="Normal 57 7 10 3" xfId="24729"/>
    <cellStyle name="Normal 57 7 11" xfId="7095"/>
    <cellStyle name="Normal 57 7 11 2" xfId="19604"/>
    <cellStyle name="Normal 57 7 12" xfId="15841"/>
    <cellStyle name="Normal 57 7 2" xfId="257"/>
    <cellStyle name="Normal 57 7 2 10" xfId="16046"/>
    <cellStyle name="Normal 57 7 2 2" xfId="580"/>
    <cellStyle name="Normal 57 7 2 2 2" xfId="3066"/>
    <cellStyle name="Normal 57 7 2 2 2 2" xfId="12227"/>
    <cellStyle name="Normal 57 7 2 2 2 2 2" xfId="22427"/>
    <cellStyle name="Normal 57 7 2 2 2 3" xfId="8649"/>
    <cellStyle name="Normal 57 7 2 2 2 4" xfId="17420"/>
    <cellStyle name="Normal 57 7 2 2 3" xfId="4699"/>
    <cellStyle name="Normal 57 7 2 2 3 2" xfId="13537"/>
    <cellStyle name="Normal 57 7 2 2 3 2 2" xfId="23788"/>
    <cellStyle name="Normal 57 7 2 2 3 3" xfId="9958"/>
    <cellStyle name="Normal 57 7 2 2 3 4" xfId="18781"/>
    <cellStyle name="Normal 57 7 2 2 4" xfId="2175"/>
    <cellStyle name="Normal 57 7 2 2 4 2" xfId="11540"/>
    <cellStyle name="Normal 57 7 2 2 4 3" xfId="21544"/>
    <cellStyle name="Normal 57 7 2 2 5" xfId="6155"/>
    <cellStyle name="Normal 57 7 2 2 5 2" xfId="14982"/>
    <cellStyle name="Normal 57 7 2 2 5 3" xfId="25233"/>
    <cellStyle name="Normal 57 7 2 2 6" xfId="7600"/>
    <cellStyle name="Normal 57 7 2 2 6 2" xfId="20026"/>
    <cellStyle name="Normal 57 7 2 2 7" xfId="16537"/>
    <cellStyle name="Normal 57 7 2 3" xfId="885"/>
    <cellStyle name="Normal 57 7 2 3 2" xfId="3370"/>
    <cellStyle name="Normal 57 7 2 3 2 2" xfId="12512"/>
    <cellStyle name="Normal 57 7 2 3 2 2 2" xfId="22731"/>
    <cellStyle name="Normal 57 7 2 3 2 3" xfId="8934"/>
    <cellStyle name="Normal 57 7 2 3 2 4" xfId="17724"/>
    <cellStyle name="Normal 57 7 2 3 3" xfId="5048"/>
    <cellStyle name="Normal 57 7 2 3 3 2" xfId="13885"/>
    <cellStyle name="Normal 57 7 2 3 3 2 2" xfId="24136"/>
    <cellStyle name="Normal 57 7 2 3 3 3" xfId="10306"/>
    <cellStyle name="Normal 57 7 2 3 3 4" xfId="19129"/>
    <cellStyle name="Normal 57 7 2 3 4" xfId="2479"/>
    <cellStyle name="Normal 57 7 2 3 4 2" xfId="11844"/>
    <cellStyle name="Normal 57 7 2 3 4 3" xfId="21848"/>
    <cellStyle name="Normal 57 7 2 3 5" xfId="6503"/>
    <cellStyle name="Normal 57 7 2 3 5 2" xfId="15330"/>
    <cellStyle name="Normal 57 7 2 3 5 3" xfId="25581"/>
    <cellStyle name="Normal 57 7 2 3 6" xfId="7949"/>
    <cellStyle name="Normal 57 7 2 3 6 2" xfId="20330"/>
    <cellStyle name="Normal 57 7 2 3 7" xfId="16841"/>
    <cellStyle name="Normal 57 7 2 4" xfId="1352"/>
    <cellStyle name="Normal 57 7 2 4 2" xfId="3781"/>
    <cellStyle name="Normal 57 7 2 4 2 2" xfId="12917"/>
    <cellStyle name="Normal 57 7 2 4 2 2 2" xfId="23136"/>
    <cellStyle name="Normal 57 7 2 4 2 3" xfId="9338"/>
    <cellStyle name="Normal 57 7 2 4 2 4" xfId="18129"/>
    <cellStyle name="Normal 57 7 2 4 3" xfId="5444"/>
    <cellStyle name="Normal 57 7 2 4 3 2" xfId="14281"/>
    <cellStyle name="Normal 57 7 2 4 3 2 2" xfId="24532"/>
    <cellStyle name="Normal 57 7 2 4 3 3" xfId="10702"/>
    <cellStyle name="Normal 57 7 2 4 3 4" xfId="19525"/>
    <cellStyle name="Normal 57 7 2 4 4" xfId="1855"/>
    <cellStyle name="Normal 57 7 2 4 4 2" xfId="11223"/>
    <cellStyle name="Normal 57 7 2 4 4 3" xfId="21227"/>
    <cellStyle name="Normal 57 7 2 4 5" xfId="6899"/>
    <cellStyle name="Normal 57 7 2 4 5 2" xfId="15726"/>
    <cellStyle name="Normal 57 7 2 4 5 3" xfId="25977"/>
    <cellStyle name="Normal 57 7 2 4 6" xfId="8345"/>
    <cellStyle name="Normal 57 7 2 4 6 2" xfId="20735"/>
    <cellStyle name="Normal 57 7 2 4 7" xfId="16220"/>
    <cellStyle name="Normal 57 7 2 5" xfId="2749"/>
    <cellStyle name="Normal 57 7 2 5 2" xfId="12066"/>
    <cellStyle name="Normal 57 7 2 5 2 2" xfId="22110"/>
    <cellStyle name="Normal 57 7 2 5 3" xfId="8636"/>
    <cellStyle name="Normal 57 7 2 5 4" xfId="17103"/>
    <cellStyle name="Normal 57 7 2 6" xfId="4400"/>
    <cellStyle name="Normal 57 7 2 6 2" xfId="13238"/>
    <cellStyle name="Normal 57 7 2 6 2 2" xfId="23489"/>
    <cellStyle name="Normal 57 7 2 6 3" xfId="9659"/>
    <cellStyle name="Normal 57 7 2 6 4" xfId="18482"/>
    <cellStyle name="Normal 57 7 2 7" xfId="1672"/>
    <cellStyle name="Normal 57 7 2 7 2" xfId="11049"/>
    <cellStyle name="Normal 57 7 2 7 3" xfId="21053"/>
    <cellStyle name="Normal 57 7 2 8" xfId="5856"/>
    <cellStyle name="Normal 57 7 2 8 2" xfId="14683"/>
    <cellStyle name="Normal 57 7 2 8 3" xfId="24934"/>
    <cellStyle name="Normal 57 7 2 9" xfId="7300"/>
    <cellStyle name="Normal 57 7 2 9 2" xfId="19709"/>
    <cellStyle name="Normal 57 7 2_Degree data" xfId="3991"/>
    <cellStyle name="Normal 57 7 3" xfId="475"/>
    <cellStyle name="Normal 57 7 3 2" xfId="886"/>
    <cellStyle name="Normal 57 7 3 2 2" xfId="3371"/>
    <cellStyle name="Normal 57 7 3 2 2 2" xfId="12513"/>
    <cellStyle name="Normal 57 7 3 2 2 2 2" xfId="22732"/>
    <cellStyle name="Normal 57 7 3 2 2 3" xfId="8935"/>
    <cellStyle name="Normal 57 7 3 2 2 4" xfId="17725"/>
    <cellStyle name="Normal 57 7 3 2 3" xfId="4700"/>
    <cellStyle name="Normal 57 7 3 2 3 2" xfId="13538"/>
    <cellStyle name="Normal 57 7 3 2 3 2 2" xfId="23789"/>
    <cellStyle name="Normal 57 7 3 2 3 3" xfId="9959"/>
    <cellStyle name="Normal 57 7 3 2 3 4" xfId="18782"/>
    <cellStyle name="Normal 57 7 3 2 4" xfId="2480"/>
    <cellStyle name="Normal 57 7 3 2 4 2" xfId="11845"/>
    <cellStyle name="Normal 57 7 3 2 4 3" xfId="21849"/>
    <cellStyle name="Normal 57 7 3 2 5" xfId="6156"/>
    <cellStyle name="Normal 57 7 3 2 5 2" xfId="14983"/>
    <cellStyle name="Normal 57 7 3 2 5 3" xfId="25234"/>
    <cellStyle name="Normal 57 7 3 2 6" xfId="7601"/>
    <cellStyle name="Normal 57 7 3 2 6 2" xfId="20331"/>
    <cellStyle name="Normal 57 7 3 2 7" xfId="16842"/>
    <cellStyle name="Normal 57 7 3 3" xfId="1247"/>
    <cellStyle name="Normal 57 7 3 3 2" xfId="3676"/>
    <cellStyle name="Normal 57 7 3 3 2 2" xfId="12812"/>
    <cellStyle name="Normal 57 7 3 3 2 2 2" xfId="23031"/>
    <cellStyle name="Normal 57 7 3 3 2 3" xfId="9233"/>
    <cellStyle name="Normal 57 7 3 3 2 4" xfId="18024"/>
    <cellStyle name="Normal 57 7 3 3 3" xfId="5049"/>
    <cellStyle name="Normal 57 7 3 3 3 2" xfId="13886"/>
    <cellStyle name="Normal 57 7 3 3 3 2 2" xfId="24137"/>
    <cellStyle name="Normal 57 7 3 3 3 3" xfId="10307"/>
    <cellStyle name="Normal 57 7 3 3 3 4" xfId="19130"/>
    <cellStyle name="Normal 57 7 3 3 4" xfId="2070"/>
    <cellStyle name="Normal 57 7 3 3 4 2" xfId="11435"/>
    <cellStyle name="Normal 57 7 3 3 4 3" xfId="21439"/>
    <cellStyle name="Normal 57 7 3 3 5" xfId="6504"/>
    <cellStyle name="Normal 57 7 3 3 5 2" xfId="15331"/>
    <cellStyle name="Normal 57 7 3 3 5 3" xfId="25582"/>
    <cellStyle name="Normal 57 7 3 3 6" xfId="7950"/>
    <cellStyle name="Normal 57 7 3 3 6 2" xfId="20630"/>
    <cellStyle name="Normal 57 7 3 3 7" xfId="16432"/>
    <cellStyle name="Normal 57 7 3 4" xfId="2961"/>
    <cellStyle name="Normal 57 7 3 4 2" xfId="5339"/>
    <cellStyle name="Normal 57 7 3 4 2 2" xfId="14176"/>
    <cellStyle name="Normal 57 7 3 4 2 2 2" xfId="24427"/>
    <cellStyle name="Normal 57 7 3 4 2 3" xfId="10597"/>
    <cellStyle name="Normal 57 7 3 4 2 4" xfId="19420"/>
    <cellStyle name="Normal 57 7 3 4 3" xfId="6794"/>
    <cellStyle name="Normal 57 7 3 4 3 2" xfId="15621"/>
    <cellStyle name="Normal 57 7 3 4 3 3" xfId="25872"/>
    <cellStyle name="Normal 57 7 3 4 4" xfId="8240"/>
    <cellStyle name="Normal 57 7 3 4 4 2" xfId="22322"/>
    <cellStyle name="Normal 57 7 3 4 5" xfId="17315"/>
    <cellStyle name="Normal 57 7 3 5" xfId="4295"/>
    <cellStyle name="Normal 57 7 3 5 2" xfId="13133"/>
    <cellStyle name="Normal 57 7 3 5 2 2" xfId="23384"/>
    <cellStyle name="Normal 57 7 3 5 3" xfId="9554"/>
    <cellStyle name="Normal 57 7 3 5 4" xfId="18377"/>
    <cellStyle name="Normal 57 7 3 6" xfId="1567"/>
    <cellStyle name="Normal 57 7 3 6 2" xfId="10944"/>
    <cellStyle name="Normal 57 7 3 6 3" xfId="20948"/>
    <cellStyle name="Normal 57 7 3 7" xfId="5751"/>
    <cellStyle name="Normal 57 7 3 7 2" xfId="14578"/>
    <cellStyle name="Normal 57 7 3 7 3" xfId="24829"/>
    <cellStyle name="Normal 57 7 3 8" xfId="7195"/>
    <cellStyle name="Normal 57 7 3 8 2" xfId="19921"/>
    <cellStyle name="Normal 57 7 3 9" xfId="15941"/>
    <cellStyle name="Normal 57 7 3_Degree data" xfId="3992"/>
    <cellStyle name="Normal 57 7 4" xfId="375"/>
    <cellStyle name="Normal 57 7 4 2" xfId="2861"/>
    <cellStyle name="Normal 57 7 4 2 2" xfId="12149"/>
    <cellStyle name="Normal 57 7 4 2 2 2" xfId="22222"/>
    <cellStyle name="Normal 57 7 4 2 3" xfId="8620"/>
    <cellStyle name="Normal 57 7 4 2 4" xfId="17215"/>
    <cellStyle name="Normal 57 7 4 3" xfId="4698"/>
    <cellStyle name="Normal 57 7 4 3 2" xfId="13536"/>
    <cellStyle name="Normal 57 7 4 3 2 2" xfId="23787"/>
    <cellStyle name="Normal 57 7 4 3 3" xfId="9957"/>
    <cellStyle name="Normal 57 7 4 3 4" xfId="18780"/>
    <cellStyle name="Normal 57 7 4 4" xfId="1970"/>
    <cellStyle name="Normal 57 7 4 4 2" xfId="11335"/>
    <cellStyle name="Normal 57 7 4 4 3" xfId="21339"/>
    <cellStyle name="Normal 57 7 4 5" xfId="6154"/>
    <cellStyle name="Normal 57 7 4 5 2" xfId="14981"/>
    <cellStyle name="Normal 57 7 4 5 3" xfId="25232"/>
    <cellStyle name="Normal 57 7 4 6" xfId="7599"/>
    <cellStyle name="Normal 57 7 4 6 2" xfId="19821"/>
    <cellStyle name="Normal 57 7 4 7" xfId="16332"/>
    <cellStyle name="Normal 57 7 5" xfId="884"/>
    <cellStyle name="Normal 57 7 5 2" xfId="3369"/>
    <cellStyle name="Normal 57 7 5 2 2" xfId="12511"/>
    <cellStyle name="Normal 57 7 5 2 2 2" xfId="22730"/>
    <cellStyle name="Normal 57 7 5 2 3" xfId="8933"/>
    <cellStyle name="Normal 57 7 5 2 4" xfId="17723"/>
    <cellStyle name="Normal 57 7 5 3" xfId="5047"/>
    <cellStyle name="Normal 57 7 5 3 2" xfId="13884"/>
    <cellStyle name="Normal 57 7 5 3 2 2" xfId="24135"/>
    <cellStyle name="Normal 57 7 5 3 3" xfId="10305"/>
    <cellStyle name="Normal 57 7 5 3 4" xfId="19128"/>
    <cellStyle name="Normal 57 7 5 4" xfId="2478"/>
    <cellStyle name="Normal 57 7 5 4 2" xfId="11843"/>
    <cellStyle name="Normal 57 7 5 4 3" xfId="21847"/>
    <cellStyle name="Normal 57 7 5 5" xfId="6502"/>
    <cellStyle name="Normal 57 7 5 5 2" xfId="15329"/>
    <cellStyle name="Normal 57 7 5 5 3" xfId="25580"/>
    <cellStyle name="Normal 57 7 5 6" xfId="7948"/>
    <cellStyle name="Normal 57 7 5 6 2" xfId="20329"/>
    <cellStyle name="Normal 57 7 5 7" xfId="16840"/>
    <cellStyle name="Normal 57 7 6" xfId="1147"/>
    <cellStyle name="Normal 57 7 6 2" xfId="3576"/>
    <cellStyle name="Normal 57 7 6 2 2" xfId="12712"/>
    <cellStyle name="Normal 57 7 6 2 2 2" xfId="22931"/>
    <cellStyle name="Normal 57 7 6 2 3" xfId="9133"/>
    <cellStyle name="Normal 57 7 6 2 4" xfId="17924"/>
    <cellStyle name="Normal 57 7 6 3" xfId="5239"/>
    <cellStyle name="Normal 57 7 6 3 2" xfId="14076"/>
    <cellStyle name="Normal 57 7 6 3 2 2" xfId="24327"/>
    <cellStyle name="Normal 57 7 6 3 3" xfId="10497"/>
    <cellStyle name="Normal 57 7 6 3 4" xfId="19320"/>
    <cellStyle name="Normal 57 7 6 4" xfId="1746"/>
    <cellStyle name="Normal 57 7 6 4 2" xfId="11117"/>
    <cellStyle name="Normal 57 7 6 4 3" xfId="21121"/>
    <cellStyle name="Normal 57 7 6 5" xfId="6694"/>
    <cellStyle name="Normal 57 7 6 5 2" xfId="15521"/>
    <cellStyle name="Normal 57 7 6 5 3" xfId="25772"/>
    <cellStyle name="Normal 57 7 6 6" xfId="8140"/>
    <cellStyle name="Normal 57 7 6 6 2" xfId="20530"/>
    <cellStyle name="Normal 57 7 6 7" xfId="16114"/>
    <cellStyle name="Normal 57 7 7" xfId="2644"/>
    <cellStyle name="Normal 57 7 7 2" xfId="11976"/>
    <cellStyle name="Normal 57 7 7 2 2" xfId="22005"/>
    <cellStyle name="Normal 57 7 7 3" xfId="8396"/>
    <cellStyle name="Normal 57 7 7 4" xfId="16998"/>
    <cellStyle name="Normal 57 7 8" xfId="4195"/>
    <cellStyle name="Normal 57 7 8 2" xfId="13033"/>
    <cellStyle name="Normal 57 7 8 2 2" xfId="23284"/>
    <cellStyle name="Normal 57 7 8 3" xfId="9454"/>
    <cellStyle name="Normal 57 7 8 4" xfId="18277"/>
    <cellStyle name="Normal 57 7 9" xfId="1467"/>
    <cellStyle name="Normal 57 7 9 2" xfId="10844"/>
    <cellStyle name="Normal 57 7 9 3" xfId="20848"/>
    <cellStyle name="Normal 57 7_Degree data" xfId="3990"/>
    <cellStyle name="Normal 57 8" xfId="177"/>
    <cellStyle name="Normal 57 8 10" xfId="7125"/>
    <cellStyle name="Normal 57 8 10 2" xfId="19634"/>
    <cellStyle name="Normal 57 8 11" xfId="15871"/>
    <cellStyle name="Normal 57 8 2" xfId="505"/>
    <cellStyle name="Normal 57 8 2 2" xfId="888"/>
    <cellStyle name="Normal 57 8 2 2 2" xfId="3373"/>
    <cellStyle name="Normal 57 8 2 2 2 2" xfId="12515"/>
    <cellStyle name="Normal 57 8 2 2 2 2 2" xfId="22734"/>
    <cellStyle name="Normal 57 8 2 2 2 3" xfId="8937"/>
    <cellStyle name="Normal 57 8 2 2 2 4" xfId="17727"/>
    <cellStyle name="Normal 57 8 2 2 3" xfId="4702"/>
    <cellStyle name="Normal 57 8 2 2 3 2" xfId="13540"/>
    <cellStyle name="Normal 57 8 2 2 3 2 2" xfId="23791"/>
    <cellStyle name="Normal 57 8 2 2 3 3" xfId="9961"/>
    <cellStyle name="Normal 57 8 2 2 3 4" xfId="18784"/>
    <cellStyle name="Normal 57 8 2 2 4" xfId="2482"/>
    <cellStyle name="Normal 57 8 2 2 4 2" xfId="11847"/>
    <cellStyle name="Normal 57 8 2 2 4 3" xfId="21851"/>
    <cellStyle name="Normal 57 8 2 2 5" xfId="6158"/>
    <cellStyle name="Normal 57 8 2 2 5 2" xfId="14985"/>
    <cellStyle name="Normal 57 8 2 2 5 3" xfId="25236"/>
    <cellStyle name="Normal 57 8 2 2 6" xfId="7603"/>
    <cellStyle name="Normal 57 8 2 2 6 2" xfId="20333"/>
    <cellStyle name="Normal 57 8 2 2 7" xfId="16844"/>
    <cellStyle name="Normal 57 8 2 3" xfId="1277"/>
    <cellStyle name="Normal 57 8 2 3 2" xfId="3706"/>
    <cellStyle name="Normal 57 8 2 3 2 2" xfId="12842"/>
    <cellStyle name="Normal 57 8 2 3 2 2 2" xfId="23061"/>
    <cellStyle name="Normal 57 8 2 3 2 3" xfId="9263"/>
    <cellStyle name="Normal 57 8 2 3 2 4" xfId="18054"/>
    <cellStyle name="Normal 57 8 2 3 3" xfId="5051"/>
    <cellStyle name="Normal 57 8 2 3 3 2" xfId="13888"/>
    <cellStyle name="Normal 57 8 2 3 3 2 2" xfId="24139"/>
    <cellStyle name="Normal 57 8 2 3 3 3" xfId="10309"/>
    <cellStyle name="Normal 57 8 2 3 3 4" xfId="19132"/>
    <cellStyle name="Normal 57 8 2 3 4" xfId="2100"/>
    <cellStyle name="Normal 57 8 2 3 4 2" xfId="11465"/>
    <cellStyle name="Normal 57 8 2 3 4 3" xfId="21469"/>
    <cellStyle name="Normal 57 8 2 3 5" xfId="6506"/>
    <cellStyle name="Normal 57 8 2 3 5 2" xfId="15333"/>
    <cellStyle name="Normal 57 8 2 3 5 3" xfId="25584"/>
    <cellStyle name="Normal 57 8 2 3 6" xfId="7952"/>
    <cellStyle name="Normal 57 8 2 3 6 2" xfId="20660"/>
    <cellStyle name="Normal 57 8 2 3 7" xfId="16462"/>
    <cellStyle name="Normal 57 8 2 4" xfId="2991"/>
    <cellStyle name="Normal 57 8 2 4 2" xfId="5369"/>
    <cellStyle name="Normal 57 8 2 4 2 2" xfId="14206"/>
    <cellStyle name="Normal 57 8 2 4 2 2 2" xfId="24457"/>
    <cellStyle name="Normal 57 8 2 4 2 3" xfId="10627"/>
    <cellStyle name="Normal 57 8 2 4 2 4" xfId="19450"/>
    <cellStyle name="Normal 57 8 2 4 3" xfId="6824"/>
    <cellStyle name="Normal 57 8 2 4 3 2" xfId="15651"/>
    <cellStyle name="Normal 57 8 2 4 3 3" xfId="25902"/>
    <cellStyle name="Normal 57 8 2 4 4" xfId="8270"/>
    <cellStyle name="Normal 57 8 2 4 4 2" xfId="22352"/>
    <cellStyle name="Normal 57 8 2 4 5" xfId="17345"/>
    <cellStyle name="Normal 57 8 2 5" xfId="4325"/>
    <cellStyle name="Normal 57 8 2 5 2" xfId="13163"/>
    <cellStyle name="Normal 57 8 2 5 2 2" xfId="23414"/>
    <cellStyle name="Normal 57 8 2 5 3" xfId="9584"/>
    <cellStyle name="Normal 57 8 2 5 4" xfId="18407"/>
    <cellStyle name="Normal 57 8 2 6" xfId="1597"/>
    <cellStyle name="Normal 57 8 2 6 2" xfId="10974"/>
    <cellStyle name="Normal 57 8 2 6 3" xfId="20978"/>
    <cellStyle name="Normal 57 8 2 7" xfId="5781"/>
    <cellStyle name="Normal 57 8 2 7 2" xfId="14608"/>
    <cellStyle name="Normal 57 8 2 7 3" xfId="24859"/>
    <cellStyle name="Normal 57 8 2 8" xfId="7225"/>
    <cellStyle name="Normal 57 8 2 8 2" xfId="19951"/>
    <cellStyle name="Normal 57 8 2 9" xfId="15971"/>
    <cellStyle name="Normal 57 8 2_Degree data" xfId="3994"/>
    <cellStyle name="Normal 57 8 3" xfId="405"/>
    <cellStyle name="Normal 57 8 3 2" xfId="2891"/>
    <cellStyle name="Normal 57 8 3 2 2" xfId="12179"/>
    <cellStyle name="Normal 57 8 3 2 2 2" xfId="22252"/>
    <cellStyle name="Normal 57 8 3 2 3" xfId="8445"/>
    <cellStyle name="Normal 57 8 3 2 4" xfId="17245"/>
    <cellStyle name="Normal 57 8 3 3" xfId="4701"/>
    <cellStyle name="Normal 57 8 3 3 2" xfId="13539"/>
    <cellStyle name="Normal 57 8 3 3 2 2" xfId="23790"/>
    <cellStyle name="Normal 57 8 3 3 3" xfId="9960"/>
    <cellStyle name="Normal 57 8 3 3 4" xfId="18783"/>
    <cellStyle name="Normal 57 8 3 4" xfId="2000"/>
    <cellStyle name="Normal 57 8 3 4 2" xfId="11365"/>
    <cellStyle name="Normal 57 8 3 4 3" xfId="21369"/>
    <cellStyle name="Normal 57 8 3 5" xfId="6157"/>
    <cellStyle name="Normal 57 8 3 5 2" xfId="14984"/>
    <cellStyle name="Normal 57 8 3 5 3" xfId="25235"/>
    <cellStyle name="Normal 57 8 3 6" xfId="7602"/>
    <cellStyle name="Normal 57 8 3 6 2" xfId="19851"/>
    <cellStyle name="Normal 57 8 3 7" xfId="16362"/>
    <cellStyle name="Normal 57 8 4" xfId="887"/>
    <cellStyle name="Normal 57 8 4 2" xfId="3372"/>
    <cellStyle name="Normal 57 8 4 2 2" xfId="12514"/>
    <cellStyle name="Normal 57 8 4 2 2 2" xfId="22733"/>
    <cellStyle name="Normal 57 8 4 2 3" xfId="8936"/>
    <cellStyle name="Normal 57 8 4 2 4" xfId="17726"/>
    <cellStyle name="Normal 57 8 4 3" xfId="5050"/>
    <cellStyle name="Normal 57 8 4 3 2" xfId="13887"/>
    <cellStyle name="Normal 57 8 4 3 2 2" xfId="24138"/>
    <cellStyle name="Normal 57 8 4 3 3" xfId="10308"/>
    <cellStyle name="Normal 57 8 4 3 4" xfId="19131"/>
    <cellStyle name="Normal 57 8 4 4" xfId="2481"/>
    <cellStyle name="Normal 57 8 4 4 2" xfId="11846"/>
    <cellStyle name="Normal 57 8 4 4 3" xfId="21850"/>
    <cellStyle name="Normal 57 8 4 5" xfId="6505"/>
    <cellStyle name="Normal 57 8 4 5 2" xfId="15332"/>
    <cellStyle name="Normal 57 8 4 5 3" xfId="25583"/>
    <cellStyle name="Normal 57 8 4 6" xfId="7951"/>
    <cellStyle name="Normal 57 8 4 6 2" xfId="20332"/>
    <cellStyle name="Normal 57 8 4 7" xfId="16843"/>
    <cellStyle name="Normal 57 8 5" xfId="1177"/>
    <cellStyle name="Normal 57 8 5 2" xfId="3606"/>
    <cellStyle name="Normal 57 8 5 2 2" xfId="12742"/>
    <cellStyle name="Normal 57 8 5 2 2 2" xfId="22961"/>
    <cellStyle name="Normal 57 8 5 2 3" xfId="9163"/>
    <cellStyle name="Normal 57 8 5 2 4" xfId="17954"/>
    <cellStyle name="Normal 57 8 5 3" xfId="5269"/>
    <cellStyle name="Normal 57 8 5 3 2" xfId="14106"/>
    <cellStyle name="Normal 57 8 5 3 2 2" xfId="24357"/>
    <cellStyle name="Normal 57 8 5 3 3" xfId="10527"/>
    <cellStyle name="Normal 57 8 5 3 4" xfId="19350"/>
    <cellStyle name="Normal 57 8 5 4" xfId="1779"/>
    <cellStyle name="Normal 57 8 5 4 2" xfId="11148"/>
    <cellStyle name="Normal 57 8 5 4 3" xfId="21152"/>
    <cellStyle name="Normal 57 8 5 5" xfId="6724"/>
    <cellStyle name="Normal 57 8 5 5 2" xfId="15551"/>
    <cellStyle name="Normal 57 8 5 5 3" xfId="25802"/>
    <cellStyle name="Normal 57 8 5 6" xfId="8170"/>
    <cellStyle name="Normal 57 8 5 6 2" xfId="20560"/>
    <cellStyle name="Normal 57 8 5 7" xfId="16145"/>
    <cellStyle name="Normal 57 8 6" xfId="2674"/>
    <cellStyle name="Normal 57 8 6 2" xfId="11991"/>
    <cellStyle name="Normal 57 8 6 2 2" xfId="22035"/>
    <cellStyle name="Normal 57 8 6 3" xfId="8575"/>
    <cellStyle name="Normal 57 8 6 4" xfId="17028"/>
    <cellStyle name="Normal 57 8 7" xfId="4225"/>
    <cellStyle name="Normal 57 8 7 2" xfId="13063"/>
    <cellStyle name="Normal 57 8 7 2 2" xfId="23314"/>
    <cellStyle name="Normal 57 8 7 3" xfId="9484"/>
    <cellStyle name="Normal 57 8 7 4" xfId="18307"/>
    <cellStyle name="Normal 57 8 8" xfId="1497"/>
    <cellStyle name="Normal 57 8 8 2" xfId="10874"/>
    <cellStyle name="Normal 57 8 8 3" xfId="20878"/>
    <cellStyle name="Normal 57 8 9" xfId="5681"/>
    <cellStyle name="Normal 57 8 9 2" xfId="14508"/>
    <cellStyle name="Normal 57 8 9 3" xfId="24759"/>
    <cellStyle name="Normal 57 8_Degree data" xfId="3993"/>
    <cellStyle name="Normal 57 9" xfId="230"/>
    <cellStyle name="Normal 57 9 10" xfId="7068"/>
    <cellStyle name="Normal 57 9 10 2" xfId="19682"/>
    <cellStyle name="Normal 57 9 11" xfId="15814"/>
    <cellStyle name="Normal 57 9 2" xfId="553"/>
    <cellStyle name="Normal 57 9 2 2" xfId="890"/>
    <cellStyle name="Normal 57 9 2 2 2" xfId="3375"/>
    <cellStyle name="Normal 57 9 2 2 2 2" xfId="12517"/>
    <cellStyle name="Normal 57 9 2 2 2 2 2" xfId="22736"/>
    <cellStyle name="Normal 57 9 2 2 2 3" xfId="8939"/>
    <cellStyle name="Normal 57 9 2 2 2 4" xfId="17729"/>
    <cellStyle name="Normal 57 9 2 2 3" xfId="4704"/>
    <cellStyle name="Normal 57 9 2 2 3 2" xfId="13542"/>
    <cellStyle name="Normal 57 9 2 2 3 2 2" xfId="23793"/>
    <cellStyle name="Normal 57 9 2 2 3 3" xfId="9963"/>
    <cellStyle name="Normal 57 9 2 2 3 4" xfId="18786"/>
    <cellStyle name="Normal 57 9 2 2 4" xfId="2484"/>
    <cellStyle name="Normal 57 9 2 2 4 2" xfId="11849"/>
    <cellStyle name="Normal 57 9 2 2 4 3" xfId="21853"/>
    <cellStyle name="Normal 57 9 2 2 5" xfId="6160"/>
    <cellStyle name="Normal 57 9 2 2 5 2" xfId="14987"/>
    <cellStyle name="Normal 57 9 2 2 5 3" xfId="25238"/>
    <cellStyle name="Normal 57 9 2 2 6" xfId="7605"/>
    <cellStyle name="Normal 57 9 2 2 6 2" xfId="20335"/>
    <cellStyle name="Normal 57 9 2 2 7" xfId="16846"/>
    <cellStyle name="Normal 57 9 2 3" xfId="1325"/>
    <cellStyle name="Normal 57 9 2 3 2" xfId="3754"/>
    <cellStyle name="Normal 57 9 2 3 2 2" xfId="12890"/>
    <cellStyle name="Normal 57 9 2 3 2 2 2" xfId="23109"/>
    <cellStyle name="Normal 57 9 2 3 2 3" xfId="9311"/>
    <cellStyle name="Normal 57 9 2 3 2 4" xfId="18102"/>
    <cellStyle name="Normal 57 9 2 3 3" xfId="5053"/>
    <cellStyle name="Normal 57 9 2 3 3 2" xfId="13890"/>
    <cellStyle name="Normal 57 9 2 3 3 2 2" xfId="24141"/>
    <cellStyle name="Normal 57 9 2 3 3 3" xfId="10311"/>
    <cellStyle name="Normal 57 9 2 3 3 4" xfId="19134"/>
    <cellStyle name="Normal 57 9 2 3 4" xfId="2148"/>
    <cellStyle name="Normal 57 9 2 3 4 2" xfId="11513"/>
    <cellStyle name="Normal 57 9 2 3 4 3" xfId="21517"/>
    <cellStyle name="Normal 57 9 2 3 5" xfId="6508"/>
    <cellStyle name="Normal 57 9 2 3 5 2" xfId="15335"/>
    <cellStyle name="Normal 57 9 2 3 5 3" xfId="25586"/>
    <cellStyle name="Normal 57 9 2 3 6" xfId="7954"/>
    <cellStyle name="Normal 57 9 2 3 6 2" xfId="20708"/>
    <cellStyle name="Normal 57 9 2 3 7" xfId="16510"/>
    <cellStyle name="Normal 57 9 2 4" xfId="3039"/>
    <cellStyle name="Normal 57 9 2 4 2" xfId="5417"/>
    <cellStyle name="Normal 57 9 2 4 2 2" xfId="14254"/>
    <cellStyle name="Normal 57 9 2 4 2 2 2" xfId="24505"/>
    <cellStyle name="Normal 57 9 2 4 2 3" xfId="10675"/>
    <cellStyle name="Normal 57 9 2 4 2 4" xfId="19498"/>
    <cellStyle name="Normal 57 9 2 4 3" xfId="6872"/>
    <cellStyle name="Normal 57 9 2 4 3 2" xfId="15699"/>
    <cellStyle name="Normal 57 9 2 4 3 3" xfId="25950"/>
    <cellStyle name="Normal 57 9 2 4 4" xfId="8318"/>
    <cellStyle name="Normal 57 9 2 4 4 2" xfId="22400"/>
    <cellStyle name="Normal 57 9 2 4 5" xfId="17393"/>
    <cellStyle name="Normal 57 9 2 5" xfId="4373"/>
    <cellStyle name="Normal 57 9 2 5 2" xfId="13211"/>
    <cellStyle name="Normal 57 9 2 5 2 2" xfId="23462"/>
    <cellStyle name="Normal 57 9 2 5 3" xfId="9632"/>
    <cellStyle name="Normal 57 9 2 5 4" xfId="18455"/>
    <cellStyle name="Normal 57 9 2 6" xfId="1645"/>
    <cellStyle name="Normal 57 9 2 6 2" xfId="11022"/>
    <cellStyle name="Normal 57 9 2 6 3" xfId="21026"/>
    <cellStyle name="Normal 57 9 2 7" xfId="5829"/>
    <cellStyle name="Normal 57 9 2 7 2" xfId="14656"/>
    <cellStyle name="Normal 57 9 2 7 3" xfId="24907"/>
    <cellStyle name="Normal 57 9 2 8" xfId="7273"/>
    <cellStyle name="Normal 57 9 2 8 2" xfId="19999"/>
    <cellStyle name="Normal 57 9 2 9" xfId="16019"/>
    <cellStyle name="Normal 57 9 2_Degree data" xfId="3996"/>
    <cellStyle name="Normal 57 9 3" xfId="348"/>
    <cellStyle name="Normal 57 9 3 2" xfId="2834"/>
    <cellStyle name="Normal 57 9 3 2 2" xfId="12122"/>
    <cellStyle name="Normal 57 9 3 2 2 2" xfId="22195"/>
    <cellStyle name="Normal 57 9 3 2 3" xfId="8475"/>
    <cellStyle name="Normal 57 9 3 2 4" xfId="17188"/>
    <cellStyle name="Normal 57 9 3 3" xfId="4703"/>
    <cellStyle name="Normal 57 9 3 3 2" xfId="13541"/>
    <cellStyle name="Normal 57 9 3 3 2 2" xfId="23792"/>
    <cellStyle name="Normal 57 9 3 3 3" xfId="9962"/>
    <cellStyle name="Normal 57 9 3 3 4" xfId="18785"/>
    <cellStyle name="Normal 57 9 3 4" xfId="1943"/>
    <cellStyle name="Normal 57 9 3 4 2" xfId="11308"/>
    <cellStyle name="Normal 57 9 3 4 3" xfId="21312"/>
    <cellStyle name="Normal 57 9 3 5" xfId="6159"/>
    <cellStyle name="Normal 57 9 3 5 2" xfId="14986"/>
    <cellStyle name="Normal 57 9 3 5 3" xfId="25237"/>
    <cellStyle name="Normal 57 9 3 6" xfId="7604"/>
    <cellStyle name="Normal 57 9 3 6 2" xfId="19794"/>
    <cellStyle name="Normal 57 9 3 7" xfId="16305"/>
    <cellStyle name="Normal 57 9 4" xfId="889"/>
    <cellStyle name="Normal 57 9 4 2" xfId="3374"/>
    <cellStyle name="Normal 57 9 4 2 2" xfId="12516"/>
    <cellStyle name="Normal 57 9 4 2 2 2" xfId="22735"/>
    <cellStyle name="Normal 57 9 4 2 3" xfId="8938"/>
    <cellStyle name="Normal 57 9 4 2 4" xfId="17728"/>
    <cellStyle name="Normal 57 9 4 3" xfId="5052"/>
    <cellStyle name="Normal 57 9 4 3 2" xfId="13889"/>
    <cellStyle name="Normal 57 9 4 3 2 2" xfId="24140"/>
    <cellStyle name="Normal 57 9 4 3 3" xfId="10310"/>
    <cellStyle name="Normal 57 9 4 3 4" xfId="19133"/>
    <cellStyle name="Normal 57 9 4 4" xfId="2483"/>
    <cellStyle name="Normal 57 9 4 4 2" xfId="11848"/>
    <cellStyle name="Normal 57 9 4 4 3" xfId="21852"/>
    <cellStyle name="Normal 57 9 4 5" xfId="6507"/>
    <cellStyle name="Normal 57 9 4 5 2" xfId="15334"/>
    <cellStyle name="Normal 57 9 4 5 3" xfId="25585"/>
    <cellStyle name="Normal 57 9 4 6" xfId="7953"/>
    <cellStyle name="Normal 57 9 4 6 2" xfId="20334"/>
    <cellStyle name="Normal 57 9 4 7" xfId="16845"/>
    <cellStyle name="Normal 57 9 5" xfId="1120"/>
    <cellStyle name="Normal 57 9 5 2" xfId="3549"/>
    <cellStyle name="Normal 57 9 5 2 2" xfId="12685"/>
    <cellStyle name="Normal 57 9 5 2 2 2" xfId="22904"/>
    <cellStyle name="Normal 57 9 5 2 3" xfId="9106"/>
    <cellStyle name="Normal 57 9 5 2 4" xfId="17897"/>
    <cellStyle name="Normal 57 9 5 3" xfId="5212"/>
    <cellStyle name="Normal 57 9 5 3 2" xfId="14049"/>
    <cellStyle name="Normal 57 9 5 3 2 2" xfId="24300"/>
    <cellStyle name="Normal 57 9 5 3 3" xfId="10470"/>
    <cellStyle name="Normal 57 9 5 3 4" xfId="19293"/>
    <cellStyle name="Normal 57 9 5 4" xfId="1828"/>
    <cellStyle name="Normal 57 9 5 4 2" xfId="11196"/>
    <cellStyle name="Normal 57 9 5 4 3" xfId="21200"/>
    <cellStyle name="Normal 57 9 5 5" xfId="6667"/>
    <cellStyle name="Normal 57 9 5 5 2" xfId="15494"/>
    <cellStyle name="Normal 57 9 5 5 3" xfId="25745"/>
    <cellStyle name="Normal 57 9 5 6" xfId="8113"/>
    <cellStyle name="Normal 57 9 5 6 2" xfId="20503"/>
    <cellStyle name="Normal 57 9 5 7" xfId="16193"/>
    <cellStyle name="Normal 57 9 6" xfId="2722"/>
    <cellStyle name="Normal 57 9 6 2" xfId="12039"/>
    <cellStyle name="Normal 57 9 6 2 2" xfId="22083"/>
    <cellStyle name="Normal 57 9 6 3" xfId="8621"/>
    <cellStyle name="Normal 57 9 6 4" xfId="17076"/>
    <cellStyle name="Normal 57 9 7" xfId="4168"/>
    <cellStyle name="Normal 57 9 7 2" xfId="13006"/>
    <cellStyle name="Normal 57 9 7 2 2" xfId="23257"/>
    <cellStyle name="Normal 57 9 7 3" xfId="9427"/>
    <cellStyle name="Normal 57 9 7 4" xfId="18250"/>
    <cellStyle name="Normal 57 9 8" xfId="1440"/>
    <cellStyle name="Normal 57 9 8 2" xfId="10817"/>
    <cellStyle name="Normal 57 9 8 3" xfId="20821"/>
    <cellStyle name="Normal 57 9 9" xfId="5624"/>
    <cellStyle name="Normal 57 9 9 2" xfId="14451"/>
    <cellStyle name="Normal 57 9 9 3" xfId="24702"/>
    <cellStyle name="Normal 57 9_Degree data" xfId="3995"/>
    <cellStyle name="Normal 57_Degree data" xfId="3939"/>
    <cellStyle name="Normal 58" xfId="46"/>
    <cellStyle name="Normal 58 10" xfId="449"/>
    <cellStyle name="Normal 58 10 2" xfId="892"/>
    <cellStyle name="Normal 58 10 2 2" xfId="3377"/>
    <cellStyle name="Normal 58 10 2 2 2" xfId="12519"/>
    <cellStyle name="Normal 58 10 2 2 2 2" xfId="22738"/>
    <cellStyle name="Normal 58 10 2 2 3" xfId="8941"/>
    <cellStyle name="Normal 58 10 2 2 4" xfId="17731"/>
    <cellStyle name="Normal 58 10 2 3" xfId="4706"/>
    <cellStyle name="Normal 58 10 2 3 2" xfId="13544"/>
    <cellStyle name="Normal 58 10 2 3 2 2" xfId="23795"/>
    <cellStyle name="Normal 58 10 2 3 3" xfId="9965"/>
    <cellStyle name="Normal 58 10 2 3 4" xfId="18788"/>
    <cellStyle name="Normal 58 10 2 4" xfId="2486"/>
    <cellStyle name="Normal 58 10 2 4 2" xfId="11851"/>
    <cellStyle name="Normal 58 10 2 4 3" xfId="21855"/>
    <cellStyle name="Normal 58 10 2 5" xfId="6162"/>
    <cellStyle name="Normal 58 10 2 5 2" xfId="14989"/>
    <cellStyle name="Normal 58 10 2 5 3" xfId="25240"/>
    <cellStyle name="Normal 58 10 2 6" xfId="7607"/>
    <cellStyle name="Normal 58 10 2 6 2" xfId="20337"/>
    <cellStyle name="Normal 58 10 2 7" xfId="16848"/>
    <cellStyle name="Normal 58 10 3" xfId="1221"/>
    <cellStyle name="Normal 58 10 3 2" xfId="3650"/>
    <cellStyle name="Normal 58 10 3 2 2" xfId="12786"/>
    <cellStyle name="Normal 58 10 3 2 2 2" xfId="23005"/>
    <cellStyle name="Normal 58 10 3 2 3" xfId="9207"/>
    <cellStyle name="Normal 58 10 3 2 4" xfId="17998"/>
    <cellStyle name="Normal 58 10 3 3" xfId="5055"/>
    <cellStyle name="Normal 58 10 3 3 2" xfId="13892"/>
    <cellStyle name="Normal 58 10 3 3 2 2" xfId="24143"/>
    <cellStyle name="Normal 58 10 3 3 3" xfId="10313"/>
    <cellStyle name="Normal 58 10 3 3 4" xfId="19136"/>
    <cellStyle name="Normal 58 10 3 4" xfId="2044"/>
    <cellStyle name="Normal 58 10 3 4 2" xfId="11409"/>
    <cellStyle name="Normal 58 10 3 4 3" xfId="21413"/>
    <cellStyle name="Normal 58 10 3 5" xfId="6510"/>
    <cellStyle name="Normal 58 10 3 5 2" xfId="15337"/>
    <cellStyle name="Normal 58 10 3 5 3" xfId="25588"/>
    <cellStyle name="Normal 58 10 3 6" xfId="7956"/>
    <cellStyle name="Normal 58 10 3 6 2" xfId="20604"/>
    <cellStyle name="Normal 58 10 3 7" xfId="16406"/>
    <cellStyle name="Normal 58 10 4" xfId="2935"/>
    <cellStyle name="Normal 58 10 4 2" xfId="5313"/>
    <cellStyle name="Normal 58 10 4 2 2" xfId="14150"/>
    <cellStyle name="Normal 58 10 4 2 2 2" xfId="24401"/>
    <cellStyle name="Normal 58 10 4 2 3" xfId="10571"/>
    <cellStyle name="Normal 58 10 4 2 4" xfId="19394"/>
    <cellStyle name="Normal 58 10 4 3" xfId="6768"/>
    <cellStyle name="Normal 58 10 4 3 2" xfId="15595"/>
    <cellStyle name="Normal 58 10 4 3 3" xfId="25846"/>
    <cellStyle name="Normal 58 10 4 4" xfId="8214"/>
    <cellStyle name="Normal 58 10 4 4 2" xfId="22296"/>
    <cellStyle name="Normal 58 10 4 5" xfId="17289"/>
    <cellStyle name="Normal 58 10 5" xfId="4269"/>
    <cellStyle name="Normal 58 10 5 2" xfId="13107"/>
    <cellStyle name="Normal 58 10 5 2 2" xfId="23358"/>
    <cellStyle name="Normal 58 10 5 3" xfId="9528"/>
    <cellStyle name="Normal 58 10 5 4" xfId="18351"/>
    <cellStyle name="Normal 58 10 6" xfId="1541"/>
    <cellStyle name="Normal 58 10 6 2" xfId="10918"/>
    <cellStyle name="Normal 58 10 6 3" xfId="20922"/>
    <cellStyle name="Normal 58 10 7" xfId="5725"/>
    <cellStyle name="Normal 58 10 7 2" xfId="14552"/>
    <cellStyle name="Normal 58 10 7 3" xfId="24803"/>
    <cellStyle name="Normal 58 10 8" xfId="7169"/>
    <cellStyle name="Normal 58 10 8 2" xfId="19895"/>
    <cellStyle name="Normal 58 10 9" xfId="15915"/>
    <cellStyle name="Normal 58 10_Degree data" xfId="3998"/>
    <cellStyle name="Normal 58 11" xfId="305"/>
    <cellStyle name="Normal 58 11 2" xfId="893"/>
    <cellStyle name="Normal 58 11 2 2" xfId="3378"/>
    <cellStyle name="Normal 58 11 2 2 2" xfId="12520"/>
    <cellStyle name="Normal 58 11 2 2 2 2" xfId="22739"/>
    <cellStyle name="Normal 58 11 2 2 3" xfId="8942"/>
    <cellStyle name="Normal 58 11 2 2 4" xfId="17732"/>
    <cellStyle name="Normal 58 11 2 3" xfId="4707"/>
    <cellStyle name="Normal 58 11 2 3 2" xfId="13545"/>
    <cellStyle name="Normal 58 11 2 3 2 2" xfId="23796"/>
    <cellStyle name="Normal 58 11 2 3 3" xfId="9966"/>
    <cellStyle name="Normal 58 11 2 3 4" xfId="18789"/>
    <cellStyle name="Normal 58 11 2 4" xfId="2487"/>
    <cellStyle name="Normal 58 11 2 4 2" xfId="11852"/>
    <cellStyle name="Normal 58 11 2 4 3" xfId="21856"/>
    <cellStyle name="Normal 58 11 2 5" xfId="6163"/>
    <cellStyle name="Normal 58 11 2 5 2" xfId="14990"/>
    <cellStyle name="Normal 58 11 2 5 3" xfId="25241"/>
    <cellStyle name="Normal 58 11 2 6" xfId="7608"/>
    <cellStyle name="Normal 58 11 2 6 2" xfId="20338"/>
    <cellStyle name="Normal 58 11 2 7" xfId="16849"/>
    <cellStyle name="Normal 58 11 3" xfId="1077"/>
    <cellStyle name="Normal 58 11 3 2" xfId="3506"/>
    <cellStyle name="Normal 58 11 3 2 2" xfId="12642"/>
    <cellStyle name="Normal 58 11 3 2 2 2" xfId="22861"/>
    <cellStyle name="Normal 58 11 3 2 3" xfId="9064"/>
    <cellStyle name="Normal 58 11 3 2 4" xfId="17854"/>
    <cellStyle name="Normal 58 11 3 3" xfId="5056"/>
    <cellStyle name="Normal 58 11 3 3 2" xfId="13893"/>
    <cellStyle name="Normal 58 11 3 3 2 2" xfId="24144"/>
    <cellStyle name="Normal 58 11 3 3 3" xfId="10314"/>
    <cellStyle name="Normal 58 11 3 3 4" xfId="19137"/>
    <cellStyle name="Normal 58 11 3 4" xfId="2602"/>
    <cellStyle name="Normal 58 11 3 4 2" xfId="11966"/>
    <cellStyle name="Normal 58 11 3 4 3" xfId="21970"/>
    <cellStyle name="Normal 58 11 3 5" xfId="6511"/>
    <cellStyle name="Normal 58 11 3 5 2" xfId="15338"/>
    <cellStyle name="Normal 58 11 3 5 3" xfId="25589"/>
    <cellStyle name="Normal 58 11 3 6" xfId="7957"/>
    <cellStyle name="Normal 58 11 3 6 2" xfId="20460"/>
    <cellStyle name="Normal 58 11 3 7" xfId="16963"/>
    <cellStyle name="Normal 58 11 4" xfId="2791"/>
    <cellStyle name="Normal 58 11 4 2" xfId="5169"/>
    <cellStyle name="Normal 58 11 4 2 2" xfId="14006"/>
    <cellStyle name="Normal 58 11 4 2 2 2" xfId="24257"/>
    <cellStyle name="Normal 58 11 4 2 3" xfId="10427"/>
    <cellStyle name="Normal 58 11 4 2 4" xfId="19250"/>
    <cellStyle name="Normal 58 11 4 3" xfId="6624"/>
    <cellStyle name="Normal 58 11 4 3 2" xfId="15451"/>
    <cellStyle name="Normal 58 11 4 3 3" xfId="25702"/>
    <cellStyle name="Normal 58 11 4 4" xfId="8070"/>
    <cellStyle name="Normal 58 11 4 4 2" xfId="22152"/>
    <cellStyle name="Normal 58 11 4 5" xfId="17145"/>
    <cellStyle name="Normal 58 11 5" xfId="4123"/>
    <cellStyle name="Normal 58 11 5 2" xfId="12961"/>
    <cellStyle name="Normal 58 11 5 2 2" xfId="23212"/>
    <cellStyle name="Normal 58 11 5 3" xfId="9382"/>
    <cellStyle name="Normal 58 11 5 4" xfId="18205"/>
    <cellStyle name="Normal 58 11 6" xfId="1900"/>
    <cellStyle name="Normal 58 11 6 2" xfId="11265"/>
    <cellStyle name="Normal 58 11 6 3" xfId="21269"/>
    <cellStyle name="Normal 58 11 7" xfId="5581"/>
    <cellStyle name="Normal 58 11 7 2" xfId="14408"/>
    <cellStyle name="Normal 58 11 7 3" xfId="24659"/>
    <cellStyle name="Normal 58 11 8" xfId="7025"/>
    <cellStyle name="Normal 58 11 8 2" xfId="19751"/>
    <cellStyle name="Normal 58 11 9" xfId="16262"/>
    <cellStyle name="Normal 58 11_Degree data" xfId="3999"/>
    <cellStyle name="Normal 58 12" xfId="891"/>
    <cellStyle name="Normal 58 12 2" xfId="3376"/>
    <cellStyle name="Normal 58 12 2 2" xfId="12518"/>
    <cellStyle name="Normal 58 12 2 2 2" xfId="22737"/>
    <cellStyle name="Normal 58 12 2 3" xfId="8940"/>
    <cellStyle name="Normal 58 12 2 4" xfId="17730"/>
    <cellStyle name="Normal 58 12 3" xfId="4705"/>
    <cellStyle name="Normal 58 12 3 2" xfId="13543"/>
    <cellStyle name="Normal 58 12 3 2 2" xfId="23794"/>
    <cellStyle name="Normal 58 12 3 3" xfId="9964"/>
    <cellStyle name="Normal 58 12 3 4" xfId="18787"/>
    <cellStyle name="Normal 58 12 4" xfId="2485"/>
    <cellStyle name="Normal 58 12 4 2" xfId="11850"/>
    <cellStyle name="Normal 58 12 4 3" xfId="21854"/>
    <cellStyle name="Normal 58 12 5" xfId="6161"/>
    <cellStyle name="Normal 58 12 5 2" xfId="14988"/>
    <cellStyle name="Normal 58 12 5 3" xfId="25239"/>
    <cellStyle name="Normal 58 12 6" xfId="7606"/>
    <cellStyle name="Normal 58 12 6 2" xfId="20336"/>
    <cellStyle name="Normal 58 12 7" xfId="16847"/>
    <cellStyle name="Normal 58 13" xfId="1050"/>
    <cellStyle name="Normal 58 13 2" xfId="3479"/>
    <cellStyle name="Normal 58 13 2 2" xfId="12615"/>
    <cellStyle name="Normal 58 13 2 2 2" xfId="22834"/>
    <cellStyle name="Normal 58 13 2 3" xfId="9037"/>
    <cellStyle name="Normal 58 13 2 4" xfId="17827"/>
    <cellStyle name="Normal 58 13 3" xfId="5054"/>
    <cellStyle name="Normal 58 13 3 2" xfId="13891"/>
    <cellStyle name="Normal 58 13 3 2 2" xfId="24142"/>
    <cellStyle name="Normal 58 13 3 3" xfId="10312"/>
    <cellStyle name="Normal 58 13 3 4" xfId="19135"/>
    <cellStyle name="Normal 58 13 4" xfId="1714"/>
    <cellStyle name="Normal 58 13 4 2" xfId="11091"/>
    <cellStyle name="Normal 58 13 4 3" xfId="21095"/>
    <cellStyle name="Normal 58 13 5" xfId="6509"/>
    <cellStyle name="Normal 58 13 5 2" xfId="15336"/>
    <cellStyle name="Normal 58 13 5 3" xfId="25587"/>
    <cellStyle name="Normal 58 13 6" xfId="7955"/>
    <cellStyle name="Normal 58 13 6 2" xfId="20433"/>
    <cellStyle name="Normal 58 13 7" xfId="16088"/>
    <cellStyle name="Normal 58 14" xfId="2614"/>
    <cellStyle name="Normal 58 14 2" xfId="5142"/>
    <cellStyle name="Normal 58 14 2 2" xfId="13979"/>
    <cellStyle name="Normal 58 14 2 2 2" xfId="24230"/>
    <cellStyle name="Normal 58 14 2 3" xfId="10400"/>
    <cellStyle name="Normal 58 14 2 4" xfId="19223"/>
    <cellStyle name="Normal 58 14 3" xfId="6597"/>
    <cellStyle name="Normal 58 14 3 2" xfId="15424"/>
    <cellStyle name="Normal 58 14 3 3" xfId="25675"/>
    <cellStyle name="Normal 58 14 4" xfId="8043"/>
    <cellStyle name="Normal 58 14 4 2" xfId="21978"/>
    <cellStyle name="Normal 58 14 5" xfId="16971"/>
    <cellStyle name="Normal 58 15" xfId="4096"/>
    <cellStyle name="Normal 58 15 2" xfId="5554"/>
    <cellStyle name="Normal 58 15 2 2" xfId="14381"/>
    <cellStyle name="Normal 58 15 2 3" xfId="24632"/>
    <cellStyle name="Normal 58 15 3" xfId="6998"/>
    <cellStyle name="Normal 58 15 3 2" xfId="23185"/>
    <cellStyle name="Normal 58 15 4" xfId="18178"/>
    <cellStyle name="Normal 58 16" xfId="1397"/>
    <cellStyle name="Normal 58 16 2" xfId="10774"/>
    <cellStyle name="Normal 58 16 3" xfId="20778"/>
    <cellStyle name="Normal 58 17" xfId="5514"/>
    <cellStyle name="Normal 58 17 2" xfId="14341"/>
    <cellStyle name="Normal 58 17 3" xfId="24592"/>
    <cellStyle name="Normal 58 18" xfId="6953"/>
    <cellStyle name="Normal 58 18 2" xfId="19578"/>
    <cellStyle name="Normal 58 19" xfId="15771"/>
    <cellStyle name="Normal 58 2" xfId="45"/>
    <cellStyle name="Normal 58 3" xfId="118"/>
    <cellStyle name="Normal 58 3 10" xfId="4108"/>
    <cellStyle name="Normal 58 3 10 2" xfId="5566"/>
    <cellStyle name="Normal 58 3 10 2 2" xfId="14393"/>
    <cellStyle name="Normal 58 3 10 2 3" xfId="24644"/>
    <cellStyle name="Normal 58 3 10 3" xfId="7010"/>
    <cellStyle name="Normal 58 3 10 3 2" xfId="23197"/>
    <cellStyle name="Normal 58 3 10 4" xfId="18190"/>
    <cellStyle name="Normal 58 3 11" xfId="1402"/>
    <cellStyle name="Normal 58 3 11 2" xfId="10779"/>
    <cellStyle name="Normal 58 3 11 3" xfId="20783"/>
    <cellStyle name="Normal 58 3 12" xfId="5536"/>
    <cellStyle name="Normal 58 3 12 2" xfId="14363"/>
    <cellStyle name="Normal 58 3 12 3" xfId="24614"/>
    <cellStyle name="Normal 58 3 13" xfId="6980"/>
    <cellStyle name="Normal 58 3 13 2" xfId="19591"/>
    <cellStyle name="Normal 58 3 14" xfId="15776"/>
    <cellStyle name="Normal 58 3 2" xfId="162"/>
    <cellStyle name="Normal 58 3 2 10" xfId="1427"/>
    <cellStyle name="Normal 58 3 2 10 2" xfId="10804"/>
    <cellStyle name="Normal 58 3 2 10 3" xfId="20808"/>
    <cellStyle name="Normal 58 3 2 11" xfId="5611"/>
    <cellStyle name="Normal 58 3 2 11 2" xfId="14438"/>
    <cellStyle name="Normal 58 3 2 11 3" xfId="24689"/>
    <cellStyle name="Normal 58 3 2 12" xfId="7055"/>
    <cellStyle name="Normal 58 3 2 12 2" xfId="19621"/>
    <cellStyle name="Normal 58 3 2 13" xfId="15801"/>
    <cellStyle name="Normal 58 3 2 2" xfId="274"/>
    <cellStyle name="Normal 58 3 2 2 10" xfId="7112"/>
    <cellStyle name="Normal 58 3 2 2 10 2" xfId="19725"/>
    <cellStyle name="Normal 58 3 2 2 11" xfId="15858"/>
    <cellStyle name="Normal 58 3 2 2 2" xfId="596"/>
    <cellStyle name="Normal 58 3 2 2 2 2" xfId="897"/>
    <cellStyle name="Normal 58 3 2 2 2 2 2" xfId="3382"/>
    <cellStyle name="Normal 58 3 2 2 2 2 2 2" xfId="12524"/>
    <cellStyle name="Normal 58 3 2 2 2 2 2 2 2" xfId="22743"/>
    <cellStyle name="Normal 58 3 2 2 2 2 2 3" xfId="8946"/>
    <cellStyle name="Normal 58 3 2 2 2 2 2 4" xfId="17736"/>
    <cellStyle name="Normal 58 3 2 2 2 2 3" xfId="4711"/>
    <cellStyle name="Normal 58 3 2 2 2 2 3 2" xfId="13549"/>
    <cellStyle name="Normal 58 3 2 2 2 2 3 2 2" xfId="23800"/>
    <cellStyle name="Normal 58 3 2 2 2 2 3 3" xfId="9970"/>
    <cellStyle name="Normal 58 3 2 2 2 2 3 4" xfId="18793"/>
    <cellStyle name="Normal 58 3 2 2 2 2 4" xfId="2491"/>
    <cellStyle name="Normal 58 3 2 2 2 2 4 2" xfId="11856"/>
    <cellStyle name="Normal 58 3 2 2 2 2 4 3" xfId="21860"/>
    <cellStyle name="Normal 58 3 2 2 2 2 5" xfId="6167"/>
    <cellStyle name="Normal 58 3 2 2 2 2 5 2" xfId="14994"/>
    <cellStyle name="Normal 58 3 2 2 2 2 5 3" xfId="25245"/>
    <cellStyle name="Normal 58 3 2 2 2 2 6" xfId="7612"/>
    <cellStyle name="Normal 58 3 2 2 2 2 6 2" xfId="20342"/>
    <cellStyle name="Normal 58 3 2 2 2 2 7" xfId="16853"/>
    <cellStyle name="Normal 58 3 2 2 2 3" xfId="1368"/>
    <cellStyle name="Normal 58 3 2 2 2 3 2" xfId="3797"/>
    <cellStyle name="Normal 58 3 2 2 2 3 2 2" xfId="12933"/>
    <cellStyle name="Normal 58 3 2 2 2 3 2 2 2" xfId="23152"/>
    <cellStyle name="Normal 58 3 2 2 2 3 2 3" xfId="9354"/>
    <cellStyle name="Normal 58 3 2 2 2 3 2 4" xfId="18145"/>
    <cellStyle name="Normal 58 3 2 2 2 3 3" xfId="5060"/>
    <cellStyle name="Normal 58 3 2 2 2 3 3 2" xfId="13897"/>
    <cellStyle name="Normal 58 3 2 2 2 3 3 2 2" xfId="24148"/>
    <cellStyle name="Normal 58 3 2 2 2 3 3 3" xfId="10318"/>
    <cellStyle name="Normal 58 3 2 2 2 3 3 4" xfId="19141"/>
    <cellStyle name="Normal 58 3 2 2 2 3 4" xfId="2191"/>
    <cellStyle name="Normal 58 3 2 2 2 3 4 2" xfId="11556"/>
    <cellStyle name="Normal 58 3 2 2 2 3 4 3" xfId="21560"/>
    <cellStyle name="Normal 58 3 2 2 2 3 5" xfId="6515"/>
    <cellStyle name="Normal 58 3 2 2 2 3 5 2" xfId="15342"/>
    <cellStyle name="Normal 58 3 2 2 2 3 5 3" xfId="25593"/>
    <cellStyle name="Normal 58 3 2 2 2 3 6" xfId="7961"/>
    <cellStyle name="Normal 58 3 2 2 2 3 6 2" xfId="20751"/>
    <cellStyle name="Normal 58 3 2 2 2 3 7" xfId="16553"/>
    <cellStyle name="Normal 58 3 2 2 2 4" xfId="3082"/>
    <cellStyle name="Normal 58 3 2 2 2 4 2" xfId="5460"/>
    <cellStyle name="Normal 58 3 2 2 2 4 2 2" xfId="14297"/>
    <cellStyle name="Normal 58 3 2 2 2 4 2 2 2" xfId="24548"/>
    <cellStyle name="Normal 58 3 2 2 2 4 2 3" xfId="10718"/>
    <cellStyle name="Normal 58 3 2 2 2 4 2 4" xfId="19541"/>
    <cellStyle name="Normal 58 3 2 2 2 4 3" xfId="6915"/>
    <cellStyle name="Normal 58 3 2 2 2 4 3 2" xfId="15742"/>
    <cellStyle name="Normal 58 3 2 2 2 4 3 3" xfId="25993"/>
    <cellStyle name="Normal 58 3 2 2 2 4 4" xfId="8361"/>
    <cellStyle name="Normal 58 3 2 2 2 4 4 2" xfId="22443"/>
    <cellStyle name="Normal 58 3 2 2 2 4 5" xfId="17436"/>
    <cellStyle name="Normal 58 3 2 2 2 5" xfId="4416"/>
    <cellStyle name="Normal 58 3 2 2 2 5 2" xfId="13254"/>
    <cellStyle name="Normal 58 3 2 2 2 5 2 2" xfId="23505"/>
    <cellStyle name="Normal 58 3 2 2 2 5 3" xfId="9675"/>
    <cellStyle name="Normal 58 3 2 2 2 5 4" xfId="18498"/>
    <cellStyle name="Normal 58 3 2 2 2 6" xfId="1688"/>
    <cellStyle name="Normal 58 3 2 2 2 6 2" xfId="11065"/>
    <cellStyle name="Normal 58 3 2 2 2 6 3" xfId="21069"/>
    <cellStyle name="Normal 58 3 2 2 2 7" xfId="5872"/>
    <cellStyle name="Normal 58 3 2 2 2 7 2" xfId="14699"/>
    <cellStyle name="Normal 58 3 2 2 2 7 3" xfId="24950"/>
    <cellStyle name="Normal 58 3 2 2 2 8" xfId="7316"/>
    <cellStyle name="Normal 58 3 2 2 2 8 2" xfId="20042"/>
    <cellStyle name="Normal 58 3 2 2 2 9" xfId="16062"/>
    <cellStyle name="Normal 58 3 2 2 2_Degree data" xfId="4003"/>
    <cellStyle name="Normal 58 3 2 2 3" xfId="392"/>
    <cellStyle name="Normal 58 3 2 2 3 2" xfId="2878"/>
    <cellStyle name="Normal 58 3 2 2 3 2 2" xfId="12166"/>
    <cellStyle name="Normal 58 3 2 2 3 2 2 2" xfId="22239"/>
    <cellStyle name="Normal 58 3 2 2 3 2 3" xfId="8467"/>
    <cellStyle name="Normal 58 3 2 2 3 2 4" xfId="17232"/>
    <cellStyle name="Normal 58 3 2 2 3 3" xfId="4710"/>
    <cellStyle name="Normal 58 3 2 2 3 3 2" xfId="13548"/>
    <cellStyle name="Normal 58 3 2 2 3 3 2 2" xfId="23799"/>
    <cellStyle name="Normal 58 3 2 2 3 3 3" xfId="9969"/>
    <cellStyle name="Normal 58 3 2 2 3 3 4" xfId="18792"/>
    <cellStyle name="Normal 58 3 2 2 3 4" xfId="1987"/>
    <cellStyle name="Normal 58 3 2 2 3 4 2" xfId="11352"/>
    <cellStyle name="Normal 58 3 2 2 3 4 3" xfId="21356"/>
    <cellStyle name="Normal 58 3 2 2 3 5" xfId="6166"/>
    <cellStyle name="Normal 58 3 2 2 3 5 2" xfId="14993"/>
    <cellStyle name="Normal 58 3 2 2 3 5 3" xfId="25244"/>
    <cellStyle name="Normal 58 3 2 2 3 6" xfId="7611"/>
    <cellStyle name="Normal 58 3 2 2 3 6 2" xfId="19838"/>
    <cellStyle name="Normal 58 3 2 2 3 7" xfId="16349"/>
    <cellStyle name="Normal 58 3 2 2 4" xfId="896"/>
    <cellStyle name="Normal 58 3 2 2 4 2" xfId="3381"/>
    <cellStyle name="Normal 58 3 2 2 4 2 2" xfId="12523"/>
    <cellStyle name="Normal 58 3 2 2 4 2 2 2" xfId="22742"/>
    <cellStyle name="Normal 58 3 2 2 4 2 3" xfId="8945"/>
    <cellStyle name="Normal 58 3 2 2 4 2 4" xfId="17735"/>
    <cellStyle name="Normal 58 3 2 2 4 3" xfId="5059"/>
    <cellStyle name="Normal 58 3 2 2 4 3 2" xfId="13896"/>
    <cellStyle name="Normal 58 3 2 2 4 3 2 2" xfId="24147"/>
    <cellStyle name="Normal 58 3 2 2 4 3 3" xfId="10317"/>
    <cellStyle name="Normal 58 3 2 2 4 3 4" xfId="19140"/>
    <cellStyle name="Normal 58 3 2 2 4 4" xfId="2490"/>
    <cellStyle name="Normal 58 3 2 2 4 4 2" xfId="11855"/>
    <cellStyle name="Normal 58 3 2 2 4 4 3" xfId="21859"/>
    <cellStyle name="Normal 58 3 2 2 4 5" xfId="6514"/>
    <cellStyle name="Normal 58 3 2 2 4 5 2" xfId="15341"/>
    <cellStyle name="Normal 58 3 2 2 4 5 3" xfId="25592"/>
    <cellStyle name="Normal 58 3 2 2 4 6" xfId="7960"/>
    <cellStyle name="Normal 58 3 2 2 4 6 2" xfId="20341"/>
    <cellStyle name="Normal 58 3 2 2 4 7" xfId="16852"/>
    <cellStyle name="Normal 58 3 2 2 5" xfId="1164"/>
    <cellStyle name="Normal 58 3 2 2 5 2" xfId="3593"/>
    <cellStyle name="Normal 58 3 2 2 5 2 2" xfId="12729"/>
    <cellStyle name="Normal 58 3 2 2 5 2 2 2" xfId="22948"/>
    <cellStyle name="Normal 58 3 2 2 5 2 3" xfId="9150"/>
    <cellStyle name="Normal 58 3 2 2 5 2 4" xfId="17941"/>
    <cellStyle name="Normal 58 3 2 2 5 3" xfId="5256"/>
    <cellStyle name="Normal 58 3 2 2 5 3 2" xfId="14093"/>
    <cellStyle name="Normal 58 3 2 2 5 3 2 2" xfId="24344"/>
    <cellStyle name="Normal 58 3 2 2 5 3 3" xfId="10514"/>
    <cellStyle name="Normal 58 3 2 2 5 3 4" xfId="19337"/>
    <cellStyle name="Normal 58 3 2 2 5 4" xfId="1871"/>
    <cellStyle name="Normal 58 3 2 2 5 4 2" xfId="11239"/>
    <cellStyle name="Normal 58 3 2 2 5 4 3" xfId="21243"/>
    <cellStyle name="Normal 58 3 2 2 5 5" xfId="6711"/>
    <cellStyle name="Normal 58 3 2 2 5 5 2" xfId="15538"/>
    <cellStyle name="Normal 58 3 2 2 5 5 3" xfId="25789"/>
    <cellStyle name="Normal 58 3 2 2 5 6" xfId="8157"/>
    <cellStyle name="Normal 58 3 2 2 5 6 2" xfId="20547"/>
    <cellStyle name="Normal 58 3 2 2 5 7" xfId="16236"/>
    <cellStyle name="Normal 58 3 2 2 6" xfId="2765"/>
    <cellStyle name="Normal 58 3 2 2 6 2" xfId="12082"/>
    <cellStyle name="Normal 58 3 2 2 6 2 2" xfId="22126"/>
    <cellStyle name="Normal 58 3 2 2 6 3" xfId="8547"/>
    <cellStyle name="Normal 58 3 2 2 6 4" xfId="17119"/>
    <cellStyle name="Normal 58 3 2 2 7" xfId="4212"/>
    <cellStyle name="Normal 58 3 2 2 7 2" xfId="13050"/>
    <cellStyle name="Normal 58 3 2 2 7 2 2" xfId="23301"/>
    <cellStyle name="Normal 58 3 2 2 7 3" xfId="9471"/>
    <cellStyle name="Normal 58 3 2 2 7 4" xfId="18294"/>
    <cellStyle name="Normal 58 3 2 2 8" xfId="1484"/>
    <cellStyle name="Normal 58 3 2 2 8 2" xfId="10861"/>
    <cellStyle name="Normal 58 3 2 2 8 3" xfId="20865"/>
    <cellStyle name="Normal 58 3 2 2 9" xfId="5668"/>
    <cellStyle name="Normal 58 3 2 2 9 2" xfId="14495"/>
    <cellStyle name="Normal 58 3 2 2 9 3" xfId="24746"/>
    <cellStyle name="Normal 58 3 2 2_Degree data" xfId="4002"/>
    <cellStyle name="Normal 58 3 2 3" xfId="228"/>
    <cellStyle name="Normal 58 3 2 3 10" xfId="16018"/>
    <cellStyle name="Normal 58 3 2 3 2" xfId="552"/>
    <cellStyle name="Normal 58 3 2 3 2 2" xfId="3038"/>
    <cellStyle name="Normal 58 3 2 3 2 2 2" xfId="12226"/>
    <cellStyle name="Normal 58 3 2 3 2 2 2 2" xfId="22399"/>
    <cellStyle name="Normal 58 3 2 3 2 2 3" xfId="8451"/>
    <cellStyle name="Normal 58 3 2 3 2 2 4" xfId="17392"/>
    <cellStyle name="Normal 58 3 2 3 2 3" xfId="4712"/>
    <cellStyle name="Normal 58 3 2 3 2 3 2" xfId="13550"/>
    <cellStyle name="Normal 58 3 2 3 2 3 2 2" xfId="23801"/>
    <cellStyle name="Normal 58 3 2 3 2 3 3" xfId="9971"/>
    <cellStyle name="Normal 58 3 2 3 2 3 4" xfId="18794"/>
    <cellStyle name="Normal 58 3 2 3 2 4" xfId="2147"/>
    <cellStyle name="Normal 58 3 2 3 2 4 2" xfId="11512"/>
    <cellStyle name="Normal 58 3 2 3 2 4 3" xfId="21516"/>
    <cellStyle name="Normal 58 3 2 3 2 5" xfId="6168"/>
    <cellStyle name="Normal 58 3 2 3 2 5 2" xfId="14995"/>
    <cellStyle name="Normal 58 3 2 3 2 5 3" xfId="25246"/>
    <cellStyle name="Normal 58 3 2 3 2 6" xfId="7613"/>
    <cellStyle name="Normal 58 3 2 3 2 6 2" xfId="19998"/>
    <cellStyle name="Normal 58 3 2 3 2 7" xfId="16509"/>
    <cellStyle name="Normal 58 3 2 3 3" xfId="898"/>
    <cellStyle name="Normal 58 3 2 3 3 2" xfId="3383"/>
    <cellStyle name="Normal 58 3 2 3 3 2 2" xfId="12525"/>
    <cellStyle name="Normal 58 3 2 3 3 2 2 2" xfId="22744"/>
    <cellStyle name="Normal 58 3 2 3 3 2 3" xfId="8947"/>
    <cellStyle name="Normal 58 3 2 3 3 2 4" xfId="17737"/>
    <cellStyle name="Normal 58 3 2 3 3 3" xfId="5061"/>
    <cellStyle name="Normal 58 3 2 3 3 3 2" xfId="13898"/>
    <cellStyle name="Normal 58 3 2 3 3 3 2 2" xfId="24149"/>
    <cellStyle name="Normal 58 3 2 3 3 3 3" xfId="10319"/>
    <cellStyle name="Normal 58 3 2 3 3 3 4" xfId="19142"/>
    <cellStyle name="Normal 58 3 2 3 3 4" xfId="2492"/>
    <cellStyle name="Normal 58 3 2 3 3 4 2" xfId="11857"/>
    <cellStyle name="Normal 58 3 2 3 3 4 3" xfId="21861"/>
    <cellStyle name="Normal 58 3 2 3 3 5" xfId="6516"/>
    <cellStyle name="Normal 58 3 2 3 3 5 2" xfId="15343"/>
    <cellStyle name="Normal 58 3 2 3 3 5 3" xfId="25594"/>
    <cellStyle name="Normal 58 3 2 3 3 6" xfId="7962"/>
    <cellStyle name="Normal 58 3 2 3 3 6 2" xfId="20343"/>
    <cellStyle name="Normal 58 3 2 3 3 7" xfId="16854"/>
    <cellStyle name="Normal 58 3 2 3 4" xfId="1324"/>
    <cellStyle name="Normal 58 3 2 3 4 2" xfId="3753"/>
    <cellStyle name="Normal 58 3 2 3 4 2 2" xfId="12889"/>
    <cellStyle name="Normal 58 3 2 3 4 2 2 2" xfId="23108"/>
    <cellStyle name="Normal 58 3 2 3 4 2 3" xfId="9310"/>
    <cellStyle name="Normal 58 3 2 3 4 2 4" xfId="18101"/>
    <cellStyle name="Normal 58 3 2 3 4 3" xfId="5416"/>
    <cellStyle name="Normal 58 3 2 3 4 3 2" xfId="14253"/>
    <cellStyle name="Normal 58 3 2 3 4 3 2 2" xfId="24504"/>
    <cellStyle name="Normal 58 3 2 3 4 3 3" xfId="10674"/>
    <cellStyle name="Normal 58 3 2 3 4 3 4" xfId="19497"/>
    <cellStyle name="Normal 58 3 2 3 4 4" xfId="1827"/>
    <cellStyle name="Normal 58 3 2 3 4 4 2" xfId="11195"/>
    <cellStyle name="Normal 58 3 2 3 4 4 3" xfId="21199"/>
    <cellStyle name="Normal 58 3 2 3 4 5" xfId="6871"/>
    <cellStyle name="Normal 58 3 2 3 4 5 2" xfId="15698"/>
    <cellStyle name="Normal 58 3 2 3 4 5 3" xfId="25949"/>
    <cellStyle name="Normal 58 3 2 3 4 6" xfId="8317"/>
    <cellStyle name="Normal 58 3 2 3 4 6 2" xfId="20707"/>
    <cellStyle name="Normal 58 3 2 3 4 7" xfId="16192"/>
    <cellStyle name="Normal 58 3 2 3 5" xfId="2721"/>
    <cellStyle name="Normal 58 3 2 3 5 2" xfId="12038"/>
    <cellStyle name="Normal 58 3 2 3 5 2 2" xfId="22082"/>
    <cellStyle name="Normal 58 3 2 3 5 3" xfId="8391"/>
    <cellStyle name="Normal 58 3 2 3 5 4" xfId="17075"/>
    <cellStyle name="Normal 58 3 2 3 6" xfId="4372"/>
    <cellStyle name="Normal 58 3 2 3 6 2" xfId="13210"/>
    <cellStyle name="Normal 58 3 2 3 6 2 2" xfId="23461"/>
    <cellStyle name="Normal 58 3 2 3 6 3" xfId="9631"/>
    <cellStyle name="Normal 58 3 2 3 6 4" xfId="18454"/>
    <cellStyle name="Normal 58 3 2 3 7" xfId="1644"/>
    <cellStyle name="Normal 58 3 2 3 7 2" xfId="11021"/>
    <cellStyle name="Normal 58 3 2 3 7 3" xfId="21025"/>
    <cellStyle name="Normal 58 3 2 3 8" xfId="5828"/>
    <cellStyle name="Normal 58 3 2 3 8 2" xfId="14655"/>
    <cellStyle name="Normal 58 3 2 3 8 3" xfId="24906"/>
    <cellStyle name="Normal 58 3 2 3 9" xfId="7272"/>
    <cellStyle name="Normal 58 3 2 3 9 2" xfId="19681"/>
    <cellStyle name="Normal 58 3 2 3_Degree data" xfId="4004"/>
    <cellStyle name="Normal 58 3 2 4" xfId="492"/>
    <cellStyle name="Normal 58 3 2 4 2" xfId="899"/>
    <cellStyle name="Normal 58 3 2 4 2 2" xfId="3384"/>
    <cellStyle name="Normal 58 3 2 4 2 2 2" xfId="12526"/>
    <cellStyle name="Normal 58 3 2 4 2 2 2 2" xfId="22745"/>
    <cellStyle name="Normal 58 3 2 4 2 2 3" xfId="8948"/>
    <cellStyle name="Normal 58 3 2 4 2 2 4" xfId="17738"/>
    <cellStyle name="Normal 58 3 2 4 2 3" xfId="4713"/>
    <cellStyle name="Normal 58 3 2 4 2 3 2" xfId="13551"/>
    <cellStyle name="Normal 58 3 2 4 2 3 2 2" xfId="23802"/>
    <cellStyle name="Normal 58 3 2 4 2 3 3" xfId="9972"/>
    <cellStyle name="Normal 58 3 2 4 2 3 4" xfId="18795"/>
    <cellStyle name="Normal 58 3 2 4 2 4" xfId="2493"/>
    <cellStyle name="Normal 58 3 2 4 2 4 2" xfId="11858"/>
    <cellStyle name="Normal 58 3 2 4 2 4 3" xfId="21862"/>
    <cellStyle name="Normal 58 3 2 4 2 5" xfId="6169"/>
    <cellStyle name="Normal 58 3 2 4 2 5 2" xfId="14996"/>
    <cellStyle name="Normal 58 3 2 4 2 5 3" xfId="25247"/>
    <cellStyle name="Normal 58 3 2 4 2 6" xfId="7614"/>
    <cellStyle name="Normal 58 3 2 4 2 6 2" xfId="20344"/>
    <cellStyle name="Normal 58 3 2 4 2 7" xfId="16855"/>
    <cellStyle name="Normal 58 3 2 4 3" xfId="1264"/>
    <cellStyle name="Normal 58 3 2 4 3 2" xfId="3693"/>
    <cellStyle name="Normal 58 3 2 4 3 2 2" xfId="12829"/>
    <cellStyle name="Normal 58 3 2 4 3 2 2 2" xfId="23048"/>
    <cellStyle name="Normal 58 3 2 4 3 2 3" xfId="9250"/>
    <cellStyle name="Normal 58 3 2 4 3 2 4" xfId="18041"/>
    <cellStyle name="Normal 58 3 2 4 3 3" xfId="5062"/>
    <cellStyle name="Normal 58 3 2 4 3 3 2" xfId="13899"/>
    <cellStyle name="Normal 58 3 2 4 3 3 2 2" xfId="24150"/>
    <cellStyle name="Normal 58 3 2 4 3 3 3" xfId="10320"/>
    <cellStyle name="Normal 58 3 2 4 3 3 4" xfId="19143"/>
    <cellStyle name="Normal 58 3 2 4 3 4" xfId="2087"/>
    <cellStyle name="Normal 58 3 2 4 3 4 2" xfId="11452"/>
    <cellStyle name="Normal 58 3 2 4 3 4 3" xfId="21456"/>
    <cellStyle name="Normal 58 3 2 4 3 5" xfId="6517"/>
    <cellStyle name="Normal 58 3 2 4 3 5 2" xfId="15344"/>
    <cellStyle name="Normal 58 3 2 4 3 5 3" xfId="25595"/>
    <cellStyle name="Normal 58 3 2 4 3 6" xfId="7963"/>
    <cellStyle name="Normal 58 3 2 4 3 6 2" xfId="20647"/>
    <cellStyle name="Normal 58 3 2 4 3 7" xfId="16449"/>
    <cellStyle name="Normal 58 3 2 4 4" xfId="2978"/>
    <cellStyle name="Normal 58 3 2 4 4 2" xfId="5356"/>
    <cellStyle name="Normal 58 3 2 4 4 2 2" xfId="14193"/>
    <cellStyle name="Normal 58 3 2 4 4 2 2 2" xfId="24444"/>
    <cellStyle name="Normal 58 3 2 4 4 2 3" xfId="10614"/>
    <cellStyle name="Normal 58 3 2 4 4 2 4" xfId="19437"/>
    <cellStyle name="Normal 58 3 2 4 4 3" xfId="6811"/>
    <cellStyle name="Normal 58 3 2 4 4 3 2" xfId="15638"/>
    <cellStyle name="Normal 58 3 2 4 4 3 3" xfId="25889"/>
    <cellStyle name="Normal 58 3 2 4 4 4" xfId="8257"/>
    <cellStyle name="Normal 58 3 2 4 4 4 2" xfId="22339"/>
    <cellStyle name="Normal 58 3 2 4 4 5" xfId="17332"/>
    <cellStyle name="Normal 58 3 2 4 5" xfId="4312"/>
    <cellStyle name="Normal 58 3 2 4 5 2" xfId="13150"/>
    <cellStyle name="Normal 58 3 2 4 5 2 2" xfId="23401"/>
    <cellStyle name="Normal 58 3 2 4 5 3" xfId="9571"/>
    <cellStyle name="Normal 58 3 2 4 5 4" xfId="18394"/>
    <cellStyle name="Normal 58 3 2 4 6" xfId="1584"/>
    <cellStyle name="Normal 58 3 2 4 6 2" xfId="10961"/>
    <cellStyle name="Normal 58 3 2 4 6 3" xfId="20965"/>
    <cellStyle name="Normal 58 3 2 4 7" xfId="5768"/>
    <cellStyle name="Normal 58 3 2 4 7 2" xfId="14595"/>
    <cellStyle name="Normal 58 3 2 4 7 3" xfId="24846"/>
    <cellStyle name="Normal 58 3 2 4 8" xfId="7212"/>
    <cellStyle name="Normal 58 3 2 4 8 2" xfId="19938"/>
    <cellStyle name="Normal 58 3 2 4 9" xfId="15958"/>
    <cellStyle name="Normal 58 3 2 4_Degree data" xfId="4005"/>
    <cellStyle name="Normal 58 3 2 5" xfId="335"/>
    <cellStyle name="Normal 58 3 2 5 2" xfId="2821"/>
    <cellStyle name="Normal 58 3 2 5 2 2" xfId="12120"/>
    <cellStyle name="Normal 58 3 2 5 2 2 2" xfId="22182"/>
    <cellStyle name="Normal 58 3 2 5 2 3" xfId="8538"/>
    <cellStyle name="Normal 58 3 2 5 2 4" xfId="17175"/>
    <cellStyle name="Normal 58 3 2 5 3" xfId="4709"/>
    <cellStyle name="Normal 58 3 2 5 3 2" xfId="13547"/>
    <cellStyle name="Normal 58 3 2 5 3 2 2" xfId="23798"/>
    <cellStyle name="Normal 58 3 2 5 3 3" xfId="9968"/>
    <cellStyle name="Normal 58 3 2 5 3 4" xfId="18791"/>
    <cellStyle name="Normal 58 3 2 5 4" xfId="1930"/>
    <cellStyle name="Normal 58 3 2 5 4 2" xfId="11295"/>
    <cellStyle name="Normal 58 3 2 5 4 3" xfId="21299"/>
    <cellStyle name="Normal 58 3 2 5 5" xfId="6165"/>
    <cellStyle name="Normal 58 3 2 5 5 2" xfId="14992"/>
    <cellStyle name="Normal 58 3 2 5 5 3" xfId="25243"/>
    <cellStyle name="Normal 58 3 2 5 6" xfId="7610"/>
    <cellStyle name="Normal 58 3 2 5 6 2" xfId="19781"/>
    <cellStyle name="Normal 58 3 2 5 7" xfId="16292"/>
    <cellStyle name="Normal 58 3 2 6" xfId="895"/>
    <cellStyle name="Normal 58 3 2 6 2" xfId="3380"/>
    <cellStyle name="Normal 58 3 2 6 2 2" xfId="12522"/>
    <cellStyle name="Normal 58 3 2 6 2 2 2" xfId="22741"/>
    <cellStyle name="Normal 58 3 2 6 2 3" xfId="8944"/>
    <cellStyle name="Normal 58 3 2 6 2 4" xfId="17734"/>
    <cellStyle name="Normal 58 3 2 6 3" xfId="5058"/>
    <cellStyle name="Normal 58 3 2 6 3 2" xfId="13895"/>
    <cellStyle name="Normal 58 3 2 6 3 2 2" xfId="24146"/>
    <cellStyle name="Normal 58 3 2 6 3 3" xfId="10316"/>
    <cellStyle name="Normal 58 3 2 6 3 4" xfId="19139"/>
    <cellStyle name="Normal 58 3 2 6 4" xfId="2489"/>
    <cellStyle name="Normal 58 3 2 6 4 2" xfId="11854"/>
    <cellStyle name="Normal 58 3 2 6 4 3" xfId="21858"/>
    <cellStyle name="Normal 58 3 2 6 5" xfId="6513"/>
    <cellStyle name="Normal 58 3 2 6 5 2" xfId="15340"/>
    <cellStyle name="Normal 58 3 2 6 5 3" xfId="25591"/>
    <cellStyle name="Normal 58 3 2 6 6" xfId="7959"/>
    <cellStyle name="Normal 58 3 2 6 6 2" xfId="20340"/>
    <cellStyle name="Normal 58 3 2 6 7" xfId="16851"/>
    <cellStyle name="Normal 58 3 2 7" xfId="1107"/>
    <cellStyle name="Normal 58 3 2 7 2" xfId="3536"/>
    <cellStyle name="Normal 58 3 2 7 2 2" xfId="12672"/>
    <cellStyle name="Normal 58 3 2 7 2 2 2" xfId="22891"/>
    <cellStyle name="Normal 58 3 2 7 2 3" xfId="9093"/>
    <cellStyle name="Normal 58 3 2 7 2 4" xfId="17884"/>
    <cellStyle name="Normal 58 3 2 7 3" xfId="5199"/>
    <cellStyle name="Normal 58 3 2 7 3 2" xfId="14036"/>
    <cellStyle name="Normal 58 3 2 7 3 2 2" xfId="24287"/>
    <cellStyle name="Normal 58 3 2 7 3 3" xfId="10457"/>
    <cellStyle name="Normal 58 3 2 7 3 4" xfId="19280"/>
    <cellStyle name="Normal 58 3 2 7 4" xfId="1764"/>
    <cellStyle name="Normal 58 3 2 7 4 2" xfId="11135"/>
    <cellStyle name="Normal 58 3 2 7 4 3" xfId="21139"/>
    <cellStyle name="Normal 58 3 2 7 5" xfId="6654"/>
    <cellStyle name="Normal 58 3 2 7 5 2" xfId="15481"/>
    <cellStyle name="Normal 58 3 2 7 5 3" xfId="25732"/>
    <cellStyle name="Normal 58 3 2 7 6" xfId="8100"/>
    <cellStyle name="Normal 58 3 2 7 6 2" xfId="20490"/>
    <cellStyle name="Normal 58 3 2 7 7" xfId="16132"/>
    <cellStyle name="Normal 58 3 2 8" xfId="2661"/>
    <cellStyle name="Normal 58 3 2 8 2" xfId="11981"/>
    <cellStyle name="Normal 58 3 2 8 2 2" xfId="22022"/>
    <cellStyle name="Normal 58 3 2 8 3" xfId="8599"/>
    <cellStyle name="Normal 58 3 2 8 4" xfId="17015"/>
    <cellStyle name="Normal 58 3 2 9" xfId="4153"/>
    <cellStyle name="Normal 58 3 2 9 2" xfId="12991"/>
    <cellStyle name="Normal 58 3 2 9 2 2" xfId="23242"/>
    <cellStyle name="Normal 58 3 2 9 3" xfId="9412"/>
    <cellStyle name="Normal 58 3 2 9 4" xfId="18235"/>
    <cellStyle name="Normal 58 3 2_Degree data" xfId="4001"/>
    <cellStyle name="Normal 58 3 3" xfId="209"/>
    <cellStyle name="Normal 58 3 3 10" xfId="7155"/>
    <cellStyle name="Normal 58 3 3 10 2" xfId="19664"/>
    <cellStyle name="Normal 58 3 3 11" xfId="15901"/>
    <cellStyle name="Normal 58 3 3 2" xfId="535"/>
    <cellStyle name="Normal 58 3 3 2 2" xfId="901"/>
    <cellStyle name="Normal 58 3 3 2 2 2" xfId="3386"/>
    <cellStyle name="Normal 58 3 3 2 2 2 2" xfId="12528"/>
    <cellStyle name="Normal 58 3 3 2 2 2 2 2" xfId="22747"/>
    <cellStyle name="Normal 58 3 3 2 2 2 3" xfId="8950"/>
    <cellStyle name="Normal 58 3 3 2 2 2 4" xfId="17740"/>
    <cellStyle name="Normal 58 3 3 2 2 3" xfId="4715"/>
    <cellStyle name="Normal 58 3 3 2 2 3 2" xfId="13553"/>
    <cellStyle name="Normal 58 3 3 2 2 3 2 2" xfId="23804"/>
    <cellStyle name="Normal 58 3 3 2 2 3 3" xfId="9974"/>
    <cellStyle name="Normal 58 3 3 2 2 3 4" xfId="18797"/>
    <cellStyle name="Normal 58 3 3 2 2 4" xfId="2495"/>
    <cellStyle name="Normal 58 3 3 2 2 4 2" xfId="11860"/>
    <cellStyle name="Normal 58 3 3 2 2 4 3" xfId="21864"/>
    <cellStyle name="Normal 58 3 3 2 2 5" xfId="6171"/>
    <cellStyle name="Normal 58 3 3 2 2 5 2" xfId="14998"/>
    <cellStyle name="Normal 58 3 3 2 2 5 3" xfId="25249"/>
    <cellStyle name="Normal 58 3 3 2 2 6" xfId="7616"/>
    <cellStyle name="Normal 58 3 3 2 2 6 2" xfId="20346"/>
    <cellStyle name="Normal 58 3 3 2 2 7" xfId="16857"/>
    <cellStyle name="Normal 58 3 3 2 3" xfId="1307"/>
    <cellStyle name="Normal 58 3 3 2 3 2" xfId="3736"/>
    <cellStyle name="Normal 58 3 3 2 3 2 2" xfId="12872"/>
    <cellStyle name="Normal 58 3 3 2 3 2 2 2" xfId="23091"/>
    <cellStyle name="Normal 58 3 3 2 3 2 3" xfId="9293"/>
    <cellStyle name="Normal 58 3 3 2 3 2 4" xfId="18084"/>
    <cellStyle name="Normal 58 3 3 2 3 3" xfId="5064"/>
    <cellStyle name="Normal 58 3 3 2 3 3 2" xfId="13901"/>
    <cellStyle name="Normal 58 3 3 2 3 3 2 2" xfId="24152"/>
    <cellStyle name="Normal 58 3 3 2 3 3 3" xfId="10322"/>
    <cellStyle name="Normal 58 3 3 2 3 3 4" xfId="19145"/>
    <cellStyle name="Normal 58 3 3 2 3 4" xfId="2130"/>
    <cellStyle name="Normal 58 3 3 2 3 4 2" xfId="11495"/>
    <cellStyle name="Normal 58 3 3 2 3 4 3" xfId="21499"/>
    <cellStyle name="Normal 58 3 3 2 3 5" xfId="6519"/>
    <cellStyle name="Normal 58 3 3 2 3 5 2" xfId="15346"/>
    <cellStyle name="Normal 58 3 3 2 3 5 3" xfId="25597"/>
    <cellStyle name="Normal 58 3 3 2 3 6" xfId="7965"/>
    <cellStyle name="Normal 58 3 3 2 3 6 2" xfId="20690"/>
    <cellStyle name="Normal 58 3 3 2 3 7" xfId="16492"/>
    <cellStyle name="Normal 58 3 3 2 4" xfId="3021"/>
    <cellStyle name="Normal 58 3 3 2 4 2" xfId="5399"/>
    <cellStyle name="Normal 58 3 3 2 4 2 2" xfId="14236"/>
    <cellStyle name="Normal 58 3 3 2 4 2 2 2" xfId="24487"/>
    <cellStyle name="Normal 58 3 3 2 4 2 3" xfId="10657"/>
    <cellStyle name="Normal 58 3 3 2 4 2 4" xfId="19480"/>
    <cellStyle name="Normal 58 3 3 2 4 3" xfId="6854"/>
    <cellStyle name="Normal 58 3 3 2 4 3 2" xfId="15681"/>
    <cellStyle name="Normal 58 3 3 2 4 3 3" xfId="25932"/>
    <cellStyle name="Normal 58 3 3 2 4 4" xfId="8300"/>
    <cellStyle name="Normal 58 3 3 2 4 4 2" xfId="22382"/>
    <cellStyle name="Normal 58 3 3 2 4 5" xfId="17375"/>
    <cellStyle name="Normal 58 3 3 2 5" xfId="4355"/>
    <cellStyle name="Normal 58 3 3 2 5 2" xfId="13193"/>
    <cellStyle name="Normal 58 3 3 2 5 2 2" xfId="23444"/>
    <cellStyle name="Normal 58 3 3 2 5 3" xfId="9614"/>
    <cellStyle name="Normal 58 3 3 2 5 4" xfId="18437"/>
    <cellStyle name="Normal 58 3 3 2 6" xfId="1627"/>
    <cellStyle name="Normal 58 3 3 2 6 2" xfId="11004"/>
    <cellStyle name="Normal 58 3 3 2 6 3" xfId="21008"/>
    <cellStyle name="Normal 58 3 3 2 7" xfId="5811"/>
    <cellStyle name="Normal 58 3 3 2 7 2" xfId="14638"/>
    <cellStyle name="Normal 58 3 3 2 7 3" xfId="24889"/>
    <cellStyle name="Normal 58 3 3 2 8" xfId="7255"/>
    <cellStyle name="Normal 58 3 3 2 8 2" xfId="19981"/>
    <cellStyle name="Normal 58 3 3 2 9" xfId="16001"/>
    <cellStyle name="Normal 58 3 3 2_Degree data" xfId="4007"/>
    <cellStyle name="Normal 58 3 3 3" xfId="435"/>
    <cellStyle name="Normal 58 3 3 3 2" xfId="2921"/>
    <cellStyle name="Normal 58 3 3 3 2 2" xfId="12209"/>
    <cellStyle name="Normal 58 3 3 3 2 2 2" xfId="22282"/>
    <cellStyle name="Normal 58 3 3 3 2 3" xfId="8429"/>
    <cellStyle name="Normal 58 3 3 3 2 4" xfId="17275"/>
    <cellStyle name="Normal 58 3 3 3 3" xfId="4714"/>
    <cellStyle name="Normal 58 3 3 3 3 2" xfId="13552"/>
    <cellStyle name="Normal 58 3 3 3 3 2 2" xfId="23803"/>
    <cellStyle name="Normal 58 3 3 3 3 3" xfId="9973"/>
    <cellStyle name="Normal 58 3 3 3 3 4" xfId="18796"/>
    <cellStyle name="Normal 58 3 3 3 4" xfId="2030"/>
    <cellStyle name="Normal 58 3 3 3 4 2" xfId="11395"/>
    <cellStyle name="Normal 58 3 3 3 4 3" xfId="21399"/>
    <cellStyle name="Normal 58 3 3 3 5" xfId="6170"/>
    <cellStyle name="Normal 58 3 3 3 5 2" xfId="14997"/>
    <cellStyle name="Normal 58 3 3 3 5 3" xfId="25248"/>
    <cellStyle name="Normal 58 3 3 3 6" xfId="7615"/>
    <cellStyle name="Normal 58 3 3 3 6 2" xfId="19881"/>
    <cellStyle name="Normal 58 3 3 3 7" xfId="16392"/>
    <cellStyle name="Normal 58 3 3 4" xfId="900"/>
    <cellStyle name="Normal 58 3 3 4 2" xfId="3385"/>
    <cellStyle name="Normal 58 3 3 4 2 2" xfId="12527"/>
    <cellStyle name="Normal 58 3 3 4 2 2 2" xfId="22746"/>
    <cellStyle name="Normal 58 3 3 4 2 3" xfId="8949"/>
    <cellStyle name="Normal 58 3 3 4 2 4" xfId="17739"/>
    <cellStyle name="Normal 58 3 3 4 3" xfId="5063"/>
    <cellStyle name="Normal 58 3 3 4 3 2" xfId="13900"/>
    <cellStyle name="Normal 58 3 3 4 3 2 2" xfId="24151"/>
    <cellStyle name="Normal 58 3 3 4 3 3" xfId="10321"/>
    <cellStyle name="Normal 58 3 3 4 3 4" xfId="19144"/>
    <cellStyle name="Normal 58 3 3 4 4" xfId="2494"/>
    <cellStyle name="Normal 58 3 3 4 4 2" xfId="11859"/>
    <cellStyle name="Normal 58 3 3 4 4 3" xfId="21863"/>
    <cellStyle name="Normal 58 3 3 4 5" xfId="6518"/>
    <cellStyle name="Normal 58 3 3 4 5 2" xfId="15345"/>
    <cellStyle name="Normal 58 3 3 4 5 3" xfId="25596"/>
    <cellStyle name="Normal 58 3 3 4 6" xfId="7964"/>
    <cellStyle name="Normal 58 3 3 4 6 2" xfId="20345"/>
    <cellStyle name="Normal 58 3 3 4 7" xfId="16856"/>
    <cellStyle name="Normal 58 3 3 5" xfId="1207"/>
    <cellStyle name="Normal 58 3 3 5 2" xfId="3636"/>
    <cellStyle name="Normal 58 3 3 5 2 2" xfId="12772"/>
    <cellStyle name="Normal 58 3 3 5 2 2 2" xfId="22991"/>
    <cellStyle name="Normal 58 3 3 5 2 3" xfId="9193"/>
    <cellStyle name="Normal 58 3 3 5 2 4" xfId="17984"/>
    <cellStyle name="Normal 58 3 3 5 3" xfId="5299"/>
    <cellStyle name="Normal 58 3 3 5 3 2" xfId="14136"/>
    <cellStyle name="Normal 58 3 3 5 3 2 2" xfId="24387"/>
    <cellStyle name="Normal 58 3 3 5 3 3" xfId="10557"/>
    <cellStyle name="Normal 58 3 3 5 3 4" xfId="19380"/>
    <cellStyle name="Normal 58 3 3 5 4" xfId="1810"/>
    <cellStyle name="Normal 58 3 3 5 4 2" xfId="11178"/>
    <cellStyle name="Normal 58 3 3 5 4 3" xfId="21182"/>
    <cellStyle name="Normal 58 3 3 5 5" xfId="6754"/>
    <cellStyle name="Normal 58 3 3 5 5 2" xfId="15581"/>
    <cellStyle name="Normal 58 3 3 5 5 3" xfId="25832"/>
    <cellStyle name="Normal 58 3 3 5 6" xfId="8200"/>
    <cellStyle name="Normal 58 3 3 5 6 2" xfId="20590"/>
    <cellStyle name="Normal 58 3 3 5 7" xfId="16175"/>
    <cellStyle name="Normal 58 3 3 6" xfId="2704"/>
    <cellStyle name="Normal 58 3 3 6 2" xfId="12021"/>
    <cellStyle name="Normal 58 3 3 6 2 2" xfId="22065"/>
    <cellStyle name="Normal 58 3 3 6 3" xfId="8581"/>
    <cellStyle name="Normal 58 3 3 6 4" xfId="17058"/>
    <cellStyle name="Normal 58 3 3 7" xfId="4255"/>
    <cellStyle name="Normal 58 3 3 7 2" xfId="13093"/>
    <cellStyle name="Normal 58 3 3 7 2 2" xfId="23344"/>
    <cellStyle name="Normal 58 3 3 7 3" xfId="9514"/>
    <cellStyle name="Normal 58 3 3 7 4" xfId="18337"/>
    <cellStyle name="Normal 58 3 3 8" xfId="1527"/>
    <cellStyle name="Normal 58 3 3 8 2" xfId="10904"/>
    <cellStyle name="Normal 58 3 3 8 3" xfId="20908"/>
    <cellStyle name="Normal 58 3 3 9" xfId="5711"/>
    <cellStyle name="Normal 58 3 3 9 2" xfId="14538"/>
    <cellStyle name="Normal 58 3 3 9 3" xfId="24789"/>
    <cellStyle name="Normal 58 3 3_Degree data" xfId="4006"/>
    <cellStyle name="Normal 58 3 4" xfId="244"/>
    <cellStyle name="Normal 58 3 4 10" xfId="7082"/>
    <cellStyle name="Normal 58 3 4 10 2" xfId="19696"/>
    <cellStyle name="Normal 58 3 4 11" xfId="15828"/>
    <cellStyle name="Normal 58 3 4 2" xfId="567"/>
    <cellStyle name="Normal 58 3 4 2 2" xfId="903"/>
    <cellStyle name="Normal 58 3 4 2 2 2" xfId="3388"/>
    <cellStyle name="Normal 58 3 4 2 2 2 2" xfId="12530"/>
    <cellStyle name="Normal 58 3 4 2 2 2 2 2" xfId="22749"/>
    <cellStyle name="Normal 58 3 4 2 2 2 3" xfId="8952"/>
    <cellStyle name="Normal 58 3 4 2 2 2 4" xfId="17742"/>
    <cellStyle name="Normal 58 3 4 2 2 3" xfId="4717"/>
    <cellStyle name="Normal 58 3 4 2 2 3 2" xfId="13555"/>
    <cellStyle name="Normal 58 3 4 2 2 3 2 2" xfId="23806"/>
    <cellStyle name="Normal 58 3 4 2 2 3 3" xfId="9976"/>
    <cellStyle name="Normal 58 3 4 2 2 3 4" xfId="18799"/>
    <cellStyle name="Normal 58 3 4 2 2 4" xfId="2497"/>
    <cellStyle name="Normal 58 3 4 2 2 4 2" xfId="11862"/>
    <cellStyle name="Normal 58 3 4 2 2 4 3" xfId="21866"/>
    <cellStyle name="Normal 58 3 4 2 2 5" xfId="6173"/>
    <cellStyle name="Normal 58 3 4 2 2 5 2" xfId="15000"/>
    <cellStyle name="Normal 58 3 4 2 2 5 3" xfId="25251"/>
    <cellStyle name="Normal 58 3 4 2 2 6" xfId="7618"/>
    <cellStyle name="Normal 58 3 4 2 2 6 2" xfId="20348"/>
    <cellStyle name="Normal 58 3 4 2 2 7" xfId="16859"/>
    <cellStyle name="Normal 58 3 4 2 3" xfId="1339"/>
    <cellStyle name="Normal 58 3 4 2 3 2" xfId="3768"/>
    <cellStyle name="Normal 58 3 4 2 3 2 2" xfId="12904"/>
    <cellStyle name="Normal 58 3 4 2 3 2 2 2" xfId="23123"/>
    <cellStyle name="Normal 58 3 4 2 3 2 3" xfId="9325"/>
    <cellStyle name="Normal 58 3 4 2 3 2 4" xfId="18116"/>
    <cellStyle name="Normal 58 3 4 2 3 3" xfId="5066"/>
    <cellStyle name="Normal 58 3 4 2 3 3 2" xfId="13903"/>
    <cellStyle name="Normal 58 3 4 2 3 3 2 2" xfId="24154"/>
    <cellStyle name="Normal 58 3 4 2 3 3 3" xfId="10324"/>
    <cellStyle name="Normal 58 3 4 2 3 3 4" xfId="19147"/>
    <cellStyle name="Normal 58 3 4 2 3 4" xfId="2162"/>
    <cellStyle name="Normal 58 3 4 2 3 4 2" xfId="11527"/>
    <cellStyle name="Normal 58 3 4 2 3 4 3" xfId="21531"/>
    <cellStyle name="Normal 58 3 4 2 3 5" xfId="6521"/>
    <cellStyle name="Normal 58 3 4 2 3 5 2" xfId="15348"/>
    <cellStyle name="Normal 58 3 4 2 3 5 3" xfId="25599"/>
    <cellStyle name="Normal 58 3 4 2 3 6" xfId="7967"/>
    <cellStyle name="Normal 58 3 4 2 3 6 2" xfId="20722"/>
    <cellStyle name="Normal 58 3 4 2 3 7" xfId="16524"/>
    <cellStyle name="Normal 58 3 4 2 4" xfId="3053"/>
    <cellStyle name="Normal 58 3 4 2 4 2" xfId="5431"/>
    <cellStyle name="Normal 58 3 4 2 4 2 2" xfId="14268"/>
    <cellStyle name="Normal 58 3 4 2 4 2 2 2" xfId="24519"/>
    <cellStyle name="Normal 58 3 4 2 4 2 3" xfId="10689"/>
    <cellStyle name="Normal 58 3 4 2 4 2 4" xfId="19512"/>
    <cellStyle name="Normal 58 3 4 2 4 3" xfId="6886"/>
    <cellStyle name="Normal 58 3 4 2 4 3 2" xfId="15713"/>
    <cellStyle name="Normal 58 3 4 2 4 3 3" xfId="25964"/>
    <cellStyle name="Normal 58 3 4 2 4 4" xfId="8332"/>
    <cellStyle name="Normal 58 3 4 2 4 4 2" xfId="22414"/>
    <cellStyle name="Normal 58 3 4 2 4 5" xfId="17407"/>
    <cellStyle name="Normal 58 3 4 2 5" xfId="4387"/>
    <cellStyle name="Normal 58 3 4 2 5 2" xfId="13225"/>
    <cellStyle name="Normal 58 3 4 2 5 2 2" xfId="23476"/>
    <cellStyle name="Normal 58 3 4 2 5 3" xfId="9646"/>
    <cellStyle name="Normal 58 3 4 2 5 4" xfId="18469"/>
    <cellStyle name="Normal 58 3 4 2 6" xfId="1659"/>
    <cellStyle name="Normal 58 3 4 2 6 2" xfId="11036"/>
    <cellStyle name="Normal 58 3 4 2 6 3" xfId="21040"/>
    <cellStyle name="Normal 58 3 4 2 7" xfId="5843"/>
    <cellStyle name="Normal 58 3 4 2 7 2" xfId="14670"/>
    <cellStyle name="Normal 58 3 4 2 7 3" xfId="24921"/>
    <cellStyle name="Normal 58 3 4 2 8" xfId="7287"/>
    <cellStyle name="Normal 58 3 4 2 8 2" xfId="20013"/>
    <cellStyle name="Normal 58 3 4 2 9" xfId="16033"/>
    <cellStyle name="Normal 58 3 4 2_Degree data" xfId="4009"/>
    <cellStyle name="Normal 58 3 4 3" xfId="362"/>
    <cellStyle name="Normal 58 3 4 3 2" xfId="2848"/>
    <cellStyle name="Normal 58 3 4 3 2 2" xfId="12136"/>
    <cellStyle name="Normal 58 3 4 3 2 2 2" xfId="22209"/>
    <cellStyle name="Normal 58 3 4 3 2 3" xfId="8535"/>
    <cellStyle name="Normal 58 3 4 3 2 4" xfId="17202"/>
    <cellStyle name="Normal 58 3 4 3 3" xfId="4716"/>
    <cellStyle name="Normal 58 3 4 3 3 2" xfId="13554"/>
    <cellStyle name="Normal 58 3 4 3 3 2 2" xfId="23805"/>
    <cellStyle name="Normal 58 3 4 3 3 3" xfId="9975"/>
    <cellStyle name="Normal 58 3 4 3 3 4" xfId="18798"/>
    <cellStyle name="Normal 58 3 4 3 4" xfId="1957"/>
    <cellStyle name="Normal 58 3 4 3 4 2" xfId="11322"/>
    <cellStyle name="Normal 58 3 4 3 4 3" xfId="21326"/>
    <cellStyle name="Normal 58 3 4 3 5" xfId="6172"/>
    <cellStyle name="Normal 58 3 4 3 5 2" xfId="14999"/>
    <cellStyle name="Normal 58 3 4 3 5 3" xfId="25250"/>
    <cellStyle name="Normal 58 3 4 3 6" xfId="7617"/>
    <cellStyle name="Normal 58 3 4 3 6 2" xfId="19808"/>
    <cellStyle name="Normal 58 3 4 3 7" xfId="16319"/>
    <cellStyle name="Normal 58 3 4 4" xfId="902"/>
    <cellStyle name="Normal 58 3 4 4 2" xfId="3387"/>
    <cellStyle name="Normal 58 3 4 4 2 2" xfId="12529"/>
    <cellStyle name="Normal 58 3 4 4 2 2 2" xfId="22748"/>
    <cellStyle name="Normal 58 3 4 4 2 3" xfId="8951"/>
    <cellStyle name="Normal 58 3 4 4 2 4" xfId="17741"/>
    <cellStyle name="Normal 58 3 4 4 3" xfId="5065"/>
    <cellStyle name="Normal 58 3 4 4 3 2" xfId="13902"/>
    <cellStyle name="Normal 58 3 4 4 3 2 2" xfId="24153"/>
    <cellStyle name="Normal 58 3 4 4 3 3" xfId="10323"/>
    <cellStyle name="Normal 58 3 4 4 3 4" xfId="19146"/>
    <cellStyle name="Normal 58 3 4 4 4" xfId="2496"/>
    <cellStyle name="Normal 58 3 4 4 4 2" xfId="11861"/>
    <cellStyle name="Normal 58 3 4 4 4 3" xfId="21865"/>
    <cellStyle name="Normal 58 3 4 4 5" xfId="6520"/>
    <cellStyle name="Normal 58 3 4 4 5 2" xfId="15347"/>
    <cellStyle name="Normal 58 3 4 4 5 3" xfId="25598"/>
    <cellStyle name="Normal 58 3 4 4 6" xfId="7966"/>
    <cellStyle name="Normal 58 3 4 4 6 2" xfId="20347"/>
    <cellStyle name="Normal 58 3 4 4 7" xfId="16858"/>
    <cellStyle name="Normal 58 3 4 5" xfId="1134"/>
    <cellStyle name="Normal 58 3 4 5 2" xfId="3563"/>
    <cellStyle name="Normal 58 3 4 5 2 2" xfId="12699"/>
    <cellStyle name="Normal 58 3 4 5 2 2 2" xfId="22918"/>
    <cellStyle name="Normal 58 3 4 5 2 3" xfId="9120"/>
    <cellStyle name="Normal 58 3 4 5 2 4" xfId="17911"/>
    <cellStyle name="Normal 58 3 4 5 3" xfId="5226"/>
    <cellStyle name="Normal 58 3 4 5 3 2" xfId="14063"/>
    <cellStyle name="Normal 58 3 4 5 3 2 2" xfId="24314"/>
    <cellStyle name="Normal 58 3 4 5 3 3" xfId="10484"/>
    <cellStyle name="Normal 58 3 4 5 3 4" xfId="19307"/>
    <cellStyle name="Normal 58 3 4 5 4" xfId="1842"/>
    <cellStyle name="Normal 58 3 4 5 4 2" xfId="11210"/>
    <cellStyle name="Normal 58 3 4 5 4 3" xfId="21214"/>
    <cellStyle name="Normal 58 3 4 5 5" xfId="6681"/>
    <cellStyle name="Normal 58 3 4 5 5 2" xfId="15508"/>
    <cellStyle name="Normal 58 3 4 5 5 3" xfId="25759"/>
    <cellStyle name="Normal 58 3 4 5 6" xfId="8127"/>
    <cellStyle name="Normal 58 3 4 5 6 2" xfId="20517"/>
    <cellStyle name="Normal 58 3 4 5 7" xfId="16207"/>
    <cellStyle name="Normal 58 3 4 6" xfId="2736"/>
    <cellStyle name="Normal 58 3 4 6 2" xfId="12053"/>
    <cellStyle name="Normal 58 3 4 6 2 2" xfId="22097"/>
    <cellStyle name="Normal 58 3 4 6 3" xfId="8493"/>
    <cellStyle name="Normal 58 3 4 6 4" xfId="17090"/>
    <cellStyle name="Normal 58 3 4 7" xfId="4182"/>
    <cellStyle name="Normal 58 3 4 7 2" xfId="13020"/>
    <cellStyle name="Normal 58 3 4 7 2 2" xfId="23271"/>
    <cellStyle name="Normal 58 3 4 7 3" xfId="9441"/>
    <cellStyle name="Normal 58 3 4 7 4" xfId="18264"/>
    <cellStyle name="Normal 58 3 4 8" xfId="1454"/>
    <cellStyle name="Normal 58 3 4 8 2" xfId="10831"/>
    <cellStyle name="Normal 58 3 4 8 3" xfId="20835"/>
    <cellStyle name="Normal 58 3 4 9" xfId="5638"/>
    <cellStyle name="Normal 58 3 4 9 2" xfId="14465"/>
    <cellStyle name="Normal 58 3 4 9 3" xfId="24716"/>
    <cellStyle name="Normal 58 3 4_Degree data" xfId="4008"/>
    <cellStyle name="Normal 58 3 5" xfId="462"/>
    <cellStyle name="Normal 58 3 5 2" xfId="904"/>
    <cellStyle name="Normal 58 3 5 2 2" xfId="3389"/>
    <cellStyle name="Normal 58 3 5 2 2 2" xfId="12531"/>
    <cellStyle name="Normal 58 3 5 2 2 2 2" xfId="22750"/>
    <cellStyle name="Normal 58 3 5 2 2 3" xfId="8953"/>
    <cellStyle name="Normal 58 3 5 2 2 4" xfId="17743"/>
    <cellStyle name="Normal 58 3 5 2 3" xfId="4718"/>
    <cellStyle name="Normal 58 3 5 2 3 2" xfId="13556"/>
    <cellStyle name="Normal 58 3 5 2 3 2 2" xfId="23807"/>
    <cellStyle name="Normal 58 3 5 2 3 3" xfId="9977"/>
    <cellStyle name="Normal 58 3 5 2 3 4" xfId="18800"/>
    <cellStyle name="Normal 58 3 5 2 4" xfId="2498"/>
    <cellStyle name="Normal 58 3 5 2 4 2" xfId="11863"/>
    <cellStyle name="Normal 58 3 5 2 4 3" xfId="21867"/>
    <cellStyle name="Normal 58 3 5 2 5" xfId="6174"/>
    <cellStyle name="Normal 58 3 5 2 5 2" xfId="15001"/>
    <cellStyle name="Normal 58 3 5 2 5 3" xfId="25252"/>
    <cellStyle name="Normal 58 3 5 2 6" xfId="7619"/>
    <cellStyle name="Normal 58 3 5 2 6 2" xfId="20349"/>
    <cellStyle name="Normal 58 3 5 2 7" xfId="16860"/>
    <cellStyle name="Normal 58 3 5 3" xfId="1234"/>
    <cellStyle name="Normal 58 3 5 3 2" xfId="3663"/>
    <cellStyle name="Normal 58 3 5 3 2 2" xfId="12799"/>
    <cellStyle name="Normal 58 3 5 3 2 2 2" xfId="23018"/>
    <cellStyle name="Normal 58 3 5 3 2 3" xfId="9220"/>
    <cellStyle name="Normal 58 3 5 3 2 4" xfId="18011"/>
    <cellStyle name="Normal 58 3 5 3 3" xfId="5067"/>
    <cellStyle name="Normal 58 3 5 3 3 2" xfId="13904"/>
    <cellStyle name="Normal 58 3 5 3 3 2 2" xfId="24155"/>
    <cellStyle name="Normal 58 3 5 3 3 3" xfId="10325"/>
    <cellStyle name="Normal 58 3 5 3 3 4" xfId="19148"/>
    <cellStyle name="Normal 58 3 5 3 4" xfId="2057"/>
    <cellStyle name="Normal 58 3 5 3 4 2" xfId="11422"/>
    <cellStyle name="Normal 58 3 5 3 4 3" xfId="21426"/>
    <cellStyle name="Normal 58 3 5 3 5" xfId="6522"/>
    <cellStyle name="Normal 58 3 5 3 5 2" xfId="15349"/>
    <cellStyle name="Normal 58 3 5 3 5 3" xfId="25600"/>
    <cellStyle name="Normal 58 3 5 3 6" xfId="7968"/>
    <cellStyle name="Normal 58 3 5 3 6 2" xfId="20617"/>
    <cellStyle name="Normal 58 3 5 3 7" xfId="16419"/>
    <cellStyle name="Normal 58 3 5 4" xfId="2948"/>
    <cellStyle name="Normal 58 3 5 4 2" xfId="5326"/>
    <cellStyle name="Normal 58 3 5 4 2 2" xfId="14163"/>
    <cellStyle name="Normal 58 3 5 4 2 2 2" xfId="24414"/>
    <cellStyle name="Normal 58 3 5 4 2 3" xfId="10584"/>
    <cellStyle name="Normal 58 3 5 4 2 4" xfId="19407"/>
    <cellStyle name="Normal 58 3 5 4 3" xfId="6781"/>
    <cellStyle name="Normal 58 3 5 4 3 2" xfId="15608"/>
    <cellStyle name="Normal 58 3 5 4 3 3" xfId="25859"/>
    <cellStyle name="Normal 58 3 5 4 4" xfId="8227"/>
    <cellStyle name="Normal 58 3 5 4 4 2" xfId="22309"/>
    <cellStyle name="Normal 58 3 5 4 5" xfId="17302"/>
    <cellStyle name="Normal 58 3 5 5" xfId="4282"/>
    <cellStyle name="Normal 58 3 5 5 2" xfId="13120"/>
    <cellStyle name="Normal 58 3 5 5 2 2" xfId="23371"/>
    <cellStyle name="Normal 58 3 5 5 3" xfId="9541"/>
    <cellStyle name="Normal 58 3 5 5 4" xfId="18364"/>
    <cellStyle name="Normal 58 3 5 6" xfId="1554"/>
    <cellStyle name="Normal 58 3 5 6 2" xfId="10931"/>
    <cellStyle name="Normal 58 3 5 6 3" xfId="20935"/>
    <cellStyle name="Normal 58 3 5 7" xfId="5738"/>
    <cellStyle name="Normal 58 3 5 7 2" xfId="14565"/>
    <cellStyle name="Normal 58 3 5 7 3" xfId="24816"/>
    <cellStyle name="Normal 58 3 5 8" xfId="7182"/>
    <cellStyle name="Normal 58 3 5 8 2" xfId="19908"/>
    <cellStyle name="Normal 58 3 5 9" xfId="15928"/>
    <cellStyle name="Normal 58 3 5_Degree data" xfId="4010"/>
    <cellStyle name="Normal 58 3 6" xfId="310"/>
    <cellStyle name="Normal 58 3 6 2" xfId="905"/>
    <cellStyle name="Normal 58 3 6 2 2" xfId="3390"/>
    <cellStyle name="Normal 58 3 6 2 2 2" xfId="12532"/>
    <cellStyle name="Normal 58 3 6 2 2 2 2" xfId="22751"/>
    <cellStyle name="Normal 58 3 6 2 2 3" xfId="8954"/>
    <cellStyle name="Normal 58 3 6 2 2 4" xfId="17744"/>
    <cellStyle name="Normal 58 3 6 2 3" xfId="4719"/>
    <cellStyle name="Normal 58 3 6 2 3 2" xfId="13557"/>
    <cellStyle name="Normal 58 3 6 2 3 2 2" xfId="23808"/>
    <cellStyle name="Normal 58 3 6 2 3 3" xfId="9978"/>
    <cellStyle name="Normal 58 3 6 2 3 4" xfId="18801"/>
    <cellStyle name="Normal 58 3 6 2 4" xfId="2499"/>
    <cellStyle name="Normal 58 3 6 2 4 2" xfId="11864"/>
    <cellStyle name="Normal 58 3 6 2 4 3" xfId="21868"/>
    <cellStyle name="Normal 58 3 6 2 5" xfId="6175"/>
    <cellStyle name="Normal 58 3 6 2 5 2" xfId="15002"/>
    <cellStyle name="Normal 58 3 6 2 5 3" xfId="25253"/>
    <cellStyle name="Normal 58 3 6 2 6" xfId="7620"/>
    <cellStyle name="Normal 58 3 6 2 6 2" xfId="20350"/>
    <cellStyle name="Normal 58 3 6 2 7" xfId="16861"/>
    <cellStyle name="Normal 58 3 6 3" xfId="1082"/>
    <cellStyle name="Normal 58 3 6 3 2" xfId="3511"/>
    <cellStyle name="Normal 58 3 6 3 2 2" xfId="12647"/>
    <cellStyle name="Normal 58 3 6 3 2 2 2" xfId="22866"/>
    <cellStyle name="Normal 58 3 6 3 2 3" xfId="9069"/>
    <cellStyle name="Normal 58 3 6 3 2 4" xfId="17859"/>
    <cellStyle name="Normal 58 3 6 3 3" xfId="5068"/>
    <cellStyle name="Normal 58 3 6 3 3 2" xfId="13905"/>
    <cellStyle name="Normal 58 3 6 3 3 2 2" xfId="24156"/>
    <cellStyle name="Normal 58 3 6 3 3 3" xfId="10326"/>
    <cellStyle name="Normal 58 3 6 3 3 4" xfId="19149"/>
    <cellStyle name="Normal 58 3 6 3 4" xfId="2603"/>
    <cellStyle name="Normal 58 3 6 3 4 2" xfId="11967"/>
    <cellStyle name="Normal 58 3 6 3 4 3" xfId="21971"/>
    <cellStyle name="Normal 58 3 6 3 5" xfId="6523"/>
    <cellStyle name="Normal 58 3 6 3 5 2" xfId="15350"/>
    <cellStyle name="Normal 58 3 6 3 5 3" xfId="25601"/>
    <cellStyle name="Normal 58 3 6 3 6" xfId="7969"/>
    <cellStyle name="Normal 58 3 6 3 6 2" xfId="20465"/>
    <cellStyle name="Normal 58 3 6 3 7" xfId="16964"/>
    <cellStyle name="Normal 58 3 6 4" xfId="2796"/>
    <cellStyle name="Normal 58 3 6 4 2" xfId="5174"/>
    <cellStyle name="Normal 58 3 6 4 2 2" xfId="14011"/>
    <cellStyle name="Normal 58 3 6 4 2 2 2" xfId="24262"/>
    <cellStyle name="Normal 58 3 6 4 2 3" xfId="10432"/>
    <cellStyle name="Normal 58 3 6 4 2 4" xfId="19255"/>
    <cellStyle name="Normal 58 3 6 4 3" xfId="6629"/>
    <cellStyle name="Normal 58 3 6 4 3 2" xfId="15456"/>
    <cellStyle name="Normal 58 3 6 4 3 3" xfId="25707"/>
    <cellStyle name="Normal 58 3 6 4 4" xfId="8075"/>
    <cellStyle name="Normal 58 3 6 4 4 2" xfId="22157"/>
    <cellStyle name="Normal 58 3 6 4 5" xfId="17150"/>
    <cellStyle name="Normal 58 3 6 5" xfId="4128"/>
    <cellStyle name="Normal 58 3 6 5 2" xfId="12966"/>
    <cellStyle name="Normal 58 3 6 5 2 2" xfId="23217"/>
    <cellStyle name="Normal 58 3 6 5 3" xfId="9387"/>
    <cellStyle name="Normal 58 3 6 5 4" xfId="18210"/>
    <cellStyle name="Normal 58 3 6 6" xfId="1905"/>
    <cellStyle name="Normal 58 3 6 6 2" xfId="11270"/>
    <cellStyle name="Normal 58 3 6 6 3" xfId="21274"/>
    <cellStyle name="Normal 58 3 6 7" xfId="5586"/>
    <cellStyle name="Normal 58 3 6 7 2" xfId="14413"/>
    <cellStyle name="Normal 58 3 6 7 3" xfId="24664"/>
    <cellStyle name="Normal 58 3 6 8" xfId="7030"/>
    <cellStyle name="Normal 58 3 6 8 2" xfId="19756"/>
    <cellStyle name="Normal 58 3 6 9" xfId="16267"/>
    <cellStyle name="Normal 58 3 6_Degree data" xfId="4011"/>
    <cellStyle name="Normal 58 3 7" xfId="894"/>
    <cellStyle name="Normal 58 3 7 2" xfId="3379"/>
    <cellStyle name="Normal 58 3 7 2 2" xfId="12521"/>
    <cellStyle name="Normal 58 3 7 2 2 2" xfId="22740"/>
    <cellStyle name="Normal 58 3 7 2 3" xfId="8943"/>
    <cellStyle name="Normal 58 3 7 2 4" xfId="17733"/>
    <cellStyle name="Normal 58 3 7 3" xfId="4708"/>
    <cellStyle name="Normal 58 3 7 3 2" xfId="13546"/>
    <cellStyle name="Normal 58 3 7 3 2 2" xfId="23797"/>
    <cellStyle name="Normal 58 3 7 3 3" xfId="9967"/>
    <cellStyle name="Normal 58 3 7 3 4" xfId="18790"/>
    <cellStyle name="Normal 58 3 7 4" xfId="2488"/>
    <cellStyle name="Normal 58 3 7 4 2" xfId="11853"/>
    <cellStyle name="Normal 58 3 7 4 3" xfId="21857"/>
    <cellStyle name="Normal 58 3 7 5" xfId="6164"/>
    <cellStyle name="Normal 58 3 7 5 2" xfId="14991"/>
    <cellStyle name="Normal 58 3 7 5 3" xfId="25242"/>
    <cellStyle name="Normal 58 3 7 6" xfId="7609"/>
    <cellStyle name="Normal 58 3 7 6 2" xfId="20339"/>
    <cellStyle name="Normal 58 3 7 7" xfId="16850"/>
    <cellStyle name="Normal 58 3 8" xfId="1062"/>
    <cellStyle name="Normal 58 3 8 2" xfId="3491"/>
    <cellStyle name="Normal 58 3 8 2 2" xfId="12627"/>
    <cellStyle name="Normal 58 3 8 2 2 2" xfId="22846"/>
    <cellStyle name="Normal 58 3 8 2 3" xfId="9049"/>
    <cellStyle name="Normal 58 3 8 2 4" xfId="17839"/>
    <cellStyle name="Normal 58 3 8 3" xfId="5057"/>
    <cellStyle name="Normal 58 3 8 3 2" xfId="13894"/>
    <cellStyle name="Normal 58 3 8 3 2 2" xfId="24145"/>
    <cellStyle name="Normal 58 3 8 3 3" xfId="10315"/>
    <cellStyle name="Normal 58 3 8 3 4" xfId="19138"/>
    <cellStyle name="Normal 58 3 8 4" xfId="1730"/>
    <cellStyle name="Normal 58 3 8 4 2" xfId="11104"/>
    <cellStyle name="Normal 58 3 8 4 3" xfId="21108"/>
    <cellStyle name="Normal 58 3 8 5" xfId="6512"/>
    <cellStyle name="Normal 58 3 8 5 2" xfId="15339"/>
    <cellStyle name="Normal 58 3 8 5 3" xfId="25590"/>
    <cellStyle name="Normal 58 3 8 6" xfId="7958"/>
    <cellStyle name="Normal 58 3 8 6 2" xfId="20445"/>
    <cellStyle name="Normal 58 3 8 7" xfId="16101"/>
    <cellStyle name="Normal 58 3 9" xfId="2628"/>
    <cellStyle name="Normal 58 3 9 2" xfId="5154"/>
    <cellStyle name="Normal 58 3 9 2 2" xfId="13991"/>
    <cellStyle name="Normal 58 3 9 2 2 2" xfId="24242"/>
    <cellStyle name="Normal 58 3 9 2 3" xfId="10412"/>
    <cellStyle name="Normal 58 3 9 2 4" xfId="19235"/>
    <cellStyle name="Normal 58 3 9 3" xfId="6609"/>
    <cellStyle name="Normal 58 3 9 3 2" xfId="15436"/>
    <cellStyle name="Normal 58 3 9 3 3" xfId="25687"/>
    <cellStyle name="Normal 58 3 9 4" xfId="8055"/>
    <cellStyle name="Normal 58 3 9 4 2" xfId="21991"/>
    <cellStyle name="Normal 58 3 9 5" xfId="16984"/>
    <cellStyle name="Normal 58 3_Degree data" xfId="4000"/>
    <cellStyle name="Normal 58 4" xfId="135"/>
    <cellStyle name="Normal 58 4 10" xfId="4103"/>
    <cellStyle name="Normal 58 4 10 2" xfId="5561"/>
    <cellStyle name="Normal 58 4 10 2 2" xfId="14388"/>
    <cellStyle name="Normal 58 4 10 2 3" xfId="24639"/>
    <cellStyle name="Normal 58 4 10 3" xfId="7005"/>
    <cellStyle name="Normal 58 4 10 3 2" xfId="23192"/>
    <cellStyle name="Normal 58 4 10 4" xfId="18185"/>
    <cellStyle name="Normal 58 4 11" xfId="1420"/>
    <cellStyle name="Normal 58 4 11 2" xfId="10797"/>
    <cellStyle name="Normal 58 4 11 3" xfId="20801"/>
    <cellStyle name="Normal 58 4 12" xfId="5531"/>
    <cellStyle name="Normal 58 4 12 2" xfId="14358"/>
    <cellStyle name="Normal 58 4 12 3" xfId="24609"/>
    <cellStyle name="Normal 58 4 13" xfId="6972"/>
    <cellStyle name="Normal 58 4 13 2" xfId="19602"/>
    <cellStyle name="Normal 58 4 14" xfId="15794"/>
    <cellStyle name="Normal 58 4 2" xfId="152"/>
    <cellStyle name="Normal 58 4 2 10" xfId="5663"/>
    <cellStyle name="Normal 58 4 2 10 2" xfId="14490"/>
    <cellStyle name="Normal 58 4 2 10 3" xfId="24741"/>
    <cellStyle name="Normal 58 4 2 11" xfId="7107"/>
    <cellStyle name="Normal 58 4 2 11 2" xfId="19616"/>
    <cellStyle name="Normal 58 4 2 12" xfId="15853"/>
    <cellStyle name="Normal 58 4 2 2" xfId="268"/>
    <cellStyle name="Normal 58 4 2 2 10" xfId="16057"/>
    <cellStyle name="Normal 58 4 2 2 2" xfId="591"/>
    <cellStyle name="Normal 58 4 2 2 2 2" xfId="3077"/>
    <cellStyle name="Normal 58 4 2 2 2 2 2" xfId="12228"/>
    <cellStyle name="Normal 58 4 2 2 2 2 2 2" xfId="22438"/>
    <cellStyle name="Normal 58 4 2 2 2 2 3" xfId="8650"/>
    <cellStyle name="Normal 58 4 2 2 2 2 4" xfId="17431"/>
    <cellStyle name="Normal 58 4 2 2 2 3" xfId="4722"/>
    <cellStyle name="Normal 58 4 2 2 2 3 2" xfId="13560"/>
    <cellStyle name="Normal 58 4 2 2 2 3 2 2" xfId="23811"/>
    <cellStyle name="Normal 58 4 2 2 2 3 3" xfId="9981"/>
    <cellStyle name="Normal 58 4 2 2 2 3 4" xfId="18804"/>
    <cellStyle name="Normal 58 4 2 2 2 4" xfId="2186"/>
    <cellStyle name="Normal 58 4 2 2 2 4 2" xfId="11551"/>
    <cellStyle name="Normal 58 4 2 2 2 4 3" xfId="21555"/>
    <cellStyle name="Normal 58 4 2 2 2 5" xfId="6178"/>
    <cellStyle name="Normal 58 4 2 2 2 5 2" xfId="15005"/>
    <cellStyle name="Normal 58 4 2 2 2 5 3" xfId="25256"/>
    <cellStyle name="Normal 58 4 2 2 2 6" xfId="7623"/>
    <cellStyle name="Normal 58 4 2 2 2 6 2" xfId="20037"/>
    <cellStyle name="Normal 58 4 2 2 2 7" xfId="16548"/>
    <cellStyle name="Normal 58 4 2 2 3" xfId="908"/>
    <cellStyle name="Normal 58 4 2 2 3 2" xfId="3393"/>
    <cellStyle name="Normal 58 4 2 2 3 2 2" xfId="12535"/>
    <cellStyle name="Normal 58 4 2 2 3 2 2 2" xfId="22754"/>
    <cellStyle name="Normal 58 4 2 2 3 2 3" xfId="8957"/>
    <cellStyle name="Normal 58 4 2 2 3 2 4" xfId="17747"/>
    <cellStyle name="Normal 58 4 2 2 3 3" xfId="5071"/>
    <cellStyle name="Normal 58 4 2 2 3 3 2" xfId="13908"/>
    <cellStyle name="Normal 58 4 2 2 3 3 2 2" xfId="24159"/>
    <cellStyle name="Normal 58 4 2 2 3 3 3" xfId="10329"/>
    <cellStyle name="Normal 58 4 2 2 3 3 4" xfId="19152"/>
    <cellStyle name="Normal 58 4 2 2 3 4" xfId="2502"/>
    <cellStyle name="Normal 58 4 2 2 3 4 2" xfId="11867"/>
    <cellStyle name="Normal 58 4 2 2 3 4 3" xfId="21871"/>
    <cellStyle name="Normal 58 4 2 2 3 5" xfId="6526"/>
    <cellStyle name="Normal 58 4 2 2 3 5 2" xfId="15353"/>
    <cellStyle name="Normal 58 4 2 2 3 5 3" xfId="25604"/>
    <cellStyle name="Normal 58 4 2 2 3 6" xfId="7972"/>
    <cellStyle name="Normal 58 4 2 2 3 6 2" xfId="20353"/>
    <cellStyle name="Normal 58 4 2 2 3 7" xfId="16864"/>
    <cellStyle name="Normal 58 4 2 2 4" xfId="1363"/>
    <cellStyle name="Normal 58 4 2 2 4 2" xfId="3792"/>
    <cellStyle name="Normal 58 4 2 2 4 2 2" xfId="12928"/>
    <cellStyle name="Normal 58 4 2 2 4 2 2 2" xfId="23147"/>
    <cellStyle name="Normal 58 4 2 2 4 2 3" xfId="9349"/>
    <cellStyle name="Normal 58 4 2 2 4 2 4" xfId="18140"/>
    <cellStyle name="Normal 58 4 2 2 4 3" xfId="5455"/>
    <cellStyle name="Normal 58 4 2 2 4 3 2" xfId="14292"/>
    <cellStyle name="Normal 58 4 2 2 4 3 2 2" xfId="24543"/>
    <cellStyle name="Normal 58 4 2 2 4 3 3" xfId="10713"/>
    <cellStyle name="Normal 58 4 2 2 4 3 4" xfId="19536"/>
    <cellStyle name="Normal 58 4 2 2 4 4" xfId="1866"/>
    <cellStyle name="Normal 58 4 2 2 4 4 2" xfId="11234"/>
    <cellStyle name="Normal 58 4 2 2 4 4 3" xfId="21238"/>
    <cellStyle name="Normal 58 4 2 2 4 5" xfId="6910"/>
    <cellStyle name="Normal 58 4 2 2 4 5 2" xfId="15737"/>
    <cellStyle name="Normal 58 4 2 2 4 5 3" xfId="25988"/>
    <cellStyle name="Normal 58 4 2 2 4 6" xfId="8356"/>
    <cellStyle name="Normal 58 4 2 2 4 6 2" xfId="20746"/>
    <cellStyle name="Normal 58 4 2 2 4 7" xfId="16231"/>
    <cellStyle name="Normal 58 4 2 2 5" xfId="2760"/>
    <cellStyle name="Normal 58 4 2 2 5 2" xfId="12077"/>
    <cellStyle name="Normal 58 4 2 2 5 2 2" xfId="22121"/>
    <cellStyle name="Normal 58 4 2 2 5 3" xfId="8405"/>
    <cellStyle name="Normal 58 4 2 2 5 4" xfId="17114"/>
    <cellStyle name="Normal 58 4 2 2 6" xfId="4411"/>
    <cellStyle name="Normal 58 4 2 2 6 2" xfId="13249"/>
    <cellStyle name="Normal 58 4 2 2 6 2 2" xfId="23500"/>
    <cellStyle name="Normal 58 4 2 2 6 3" xfId="9670"/>
    <cellStyle name="Normal 58 4 2 2 6 4" xfId="18493"/>
    <cellStyle name="Normal 58 4 2 2 7" xfId="1683"/>
    <cellStyle name="Normal 58 4 2 2 7 2" xfId="11060"/>
    <cellStyle name="Normal 58 4 2 2 7 3" xfId="21064"/>
    <cellStyle name="Normal 58 4 2 2 8" xfId="5867"/>
    <cellStyle name="Normal 58 4 2 2 8 2" xfId="14694"/>
    <cellStyle name="Normal 58 4 2 2 8 3" xfId="24945"/>
    <cellStyle name="Normal 58 4 2 2 9" xfId="7311"/>
    <cellStyle name="Normal 58 4 2 2 9 2" xfId="19720"/>
    <cellStyle name="Normal 58 4 2 2_Degree data" xfId="4014"/>
    <cellStyle name="Normal 58 4 2 3" xfId="487"/>
    <cellStyle name="Normal 58 4 2 3 2" xfId="909"/>
    <cellStyle name="Normal 58 4 2 3 2 2" xfId="3394"/>
    <cellStyle name="Normal 58 4 2 3 2 2 2" xfId="12536"/>
    <cellStyle name="Normal 58 4 2 3 2 2 2 2" xfId="22755"/>
    <cellStyle name="Normal 58 4 2 3 2 2 3" xfId="8958"/>
    <cellStyle name="Normal 58 4 2 3 2 2 4" xfId="17748"/>
    <cellStyle name="Normal 58 4 2 3 2 3" xfId="4723"/>
    <cellStyle name="Normal 58 4 2 3 2 3 2" xfId="13561"/>
    <cellStyle name="Normal 58 4 2 3 2 3 2 2" xfId="23812"/>
    <cellStyle name="Normal 58 4 2 3 2 3 3" xfId="9982"/>
    <cellStyle name="Normal 58 4 2 3 2 3 4" xfId="18805"/>
    <cellStyle name="Normal 58 4 2 3 2 4" xfId="2503"/>
    <cellStyle name="Normal 58 4 2 3 2 4 2" xfId="11868"/>
    <cellStyle name="Normal 58 4 2 3 2 4 3" xfId="21872"/>
    <cellStyle name="Normal 58 4 2 3 2 5" xfId="6179"/>
    <cellStyle name="Normal 58 4 2 3 2 5 2" xfId="15006"/>
    <cellStyle name="Normal 58 4 2 3 2 5 3" xfId="25257"/>
    <cellStyle name="Normal 58 4 2 3 2 6" xfId="7624"/>
    <cellStyle name="Normal 58 4 2 3 2 6 2" xfId="20354"/>
    <cellStyle name="Normal 58 4 2 3 2 7" xfId="16865"/>
    <cellStyle name="Normal 58 4 2 3 3" xfId="1259"/>
    <cellStyle name="Normal 58 4 2 3 3 2" xfId="3688"/>
    <cellStyle name="Normal 58 4 2 3 3 2 2" xfId="12824"/>
    <cellStyle name="Normal 58 4 2 3 3 2 2 2" xfId="23043"/>
    <cellStyle name="Normal 58 4 2 3 3 2 3" xfId="9245"/>
    <cellStyle name="Normal 58 4 2 3 3 2 4" xfId="18036"/>
    <cellStyle name="Normal 58 4 2 3 3 3" xfId="5072"/>
    <cellStyle name="Normal 58 4 2 3 3 3 2" xfId="13909"/>
    <cellStyle name="Normal 58 4 2 3 3 3 2 2" xfId="24160"/>
    <cellStyle name="Normal 58 4 2 3 3 3 3" xfId="10330"/>
    <cellStyle name="Normal 58 4 2 3 3 3 4" xfId="19153"/>
    <cellStyle name="Normal 58 4 2 3 3 4" xfId="2082"/>
    <cellStyle name="Normal 58 4 2 3 3 4 2" xfId="11447"/>
    <cellStyle name="Normal 58 4 2 3 3 4 3" xfId="21451"/>
    <cellStyle name="Normal 58 4 2 3 3 5" xfId="6527"/>
    <cellStyle name="Normal 58 4 2 3 3 5 2" xfId="15354"/>
    <cellStyle name="Normal 58 4 2 3 3 5 3" xfId="25605"/>
    <cellStyle name="Normal 58 4 2 3 3 6" xfId="7973"/>
    <cellStyle name="Normal 58 4 2 3 3 6 2" xfId="20642"/>
    <cellStyle name="Normal 58 4 2 3 3 7" xfId="16444"/>
    <cellStyle name="Normal 58 4 2 3 4" xfId="2973"/>
    <cellStyle name="Normal 58 4 2 3 4 2" xfId="5351"/>
    <cellStyle name="Normal 58 4 2 3 4 2 2" xfId="14188"/>
    <cellStyle name="Normal 58 4 2 3 4 2 2 2" xfId="24439"/>
    <cellStyle name="Normal 58 4 2 3 4 2 3" xfId="10609"/>
    <cellStyle name="Normal 58 4 2 3 4 2 4" xfId="19432"/>
    <cellStyle name="Normal 58 4 2 3 4 3" xfId="6806"/>
    <cellStyle name="Normal 58 4 2 3 4 3 2" xfId="15633"/>
    <cellStyle name="Normal 58 4 2 3 4 3 3" xfId="25884"/>
    <cellStyle name="Normal 58 4 2 3 4 4" xfId="8252"/>
    <cellStyle name="Normal 58 4 2 3 4 4 2" xfId="22334"/>
    <cellStyle name="Normal 58 4 2 3 4 5" xfId="17327"/>
    <cellStyle name="Normal 58 4 2 3 5" xfId="4307"/>
    <cellStyle name="Normal 58 4 2 3 5 2" xfId="13145"/>
    <cellStyle name="Normal 58 4 2 3 5 2 2" xfId="23396"/>
    <cellStyle name="Normal 58 4 2 3 5 3" xfId="9566"/>
    <cellStyle name="Normal 58 4 2 3 5 4" xfId="18389"/>
    <cellStyle name="Normal 58 4 2 3 6" xfId="1579"/>
    <cellStyle name="Normal 58 4 2 3 6 2" xfId="10956"/>
    <cellStyle name="Normal 58 4 2 3 6 3" xfId="20960"/>
    <cellStyle name="Normal 58 4 2 3 7" xfId="5763"/>
    <cellStyle name="Normal 58 4 2 3 7 2" xfId="14590"/>
    <cellStyle name="Normal 58 4 2 3 7 3" xfId="24841"/>
    <cellStyle name="Normal 58 4 2 3 8" xfId="7207"/>
    <cellStyle name="Normal 58 4 2 3 8 2" xfId="19933"/>
    <cellStyle name="Normal 58 4 2 3 9" xfId="15953"/>
    <cellStyle name="Normal 58 4 2 3_Degree data" xfId="4015"/>
    <cellStyle name="Normal 58 4 2 4" xfId="387"/>
    <cellStyle name="Normal 58 4 2 4 2" xfId="2873"/>
    <cellStyle name="Normal 58 4 2 4 2 2" xfId="12161"/>
    <cellStyle name="Normal 58 4 2 4 2 2 2" xfId="22234"/>
    <cellStyle name="Normal 58 4 2 4 2 3" xfId="8614"/>
    <cellStyle name="Normal 58 4 2 4 2 4" xfId="17227"/>
    <cellStyle name="Normal 58 4 2 4 3" xfId="4721"/>
    <cellStyle name="Normal 58 4 2 4 3 2" xfId="13559"/>
    <cellStyle name="Normal 58 4 2 4 3 2 2" xfId="23810"/>
    <cellStyle name="Normal 58 4 2 4 3 3" xfId="9980"/>
    <cellStyle name="Normal 58 4 2 4 3 4" xfId="18803"/>
    <cellStyle name="Normal 58 4 2 4 4" xfId="1982"/>
    <cellStyle name="Normal 58 4 2 4 4 2" xfId="11347"/>
    <cellStyle name="Normal 58 4 2 4 4 3" xfId="21351"/>
    <cellStyle name="Normal 58 4 2 4 5" xfId="6177"/>
    <cellStyle name="Normal 58 4 2 4 5 2" xfId="15004"/>
    <cellStyle name="Normal 58 4 2 4 5 3" xfId="25255"/>
    <cellStyle name="Normal 58 4 2 4 6" xfId="7622"/>
    <cellStyle name="Normal 58 4 2 4 6 2" xfId="19833"/>
    <cellStyle name="Normal 58 4 2 4 7" xfId="16344"/>
    <cellStyle name="Normal 58 4 2 5" xfId="907"/>
    <cellStyle name="Normal 58 4 2 5 2" xfId="3392"/>
    <cellStyle name="Normal 58 4 2 5 2 2" xfId="12534"/>
    <cellStyle name="Normal 58 4 2 5 2 2 2" xfId="22753"/>
    <cellStyle name="Normal 58 4 2 5 2 3" xfId="8956"/>
    <cellStyle name="Normal 58 4 2 5 2 4" xfId="17746"/>
    <cellStyle name="Normal 58 4 2 5 3" xfId="5070"/>
    <cellStyle name="Normal 58 4 2 5 3 2" xfId="13907"/>
    <cellStyle name="Normal 58 4 2 5 3 2 2" xfId="24158"/>
    <cellStyle name="Normal 58 4 2 5 3 3" xfId="10328"/>
    <cellStyle name="Normal 58 4 2 5 3 4" xfId="19151"/>
    <cellStyle name="Normal 58 4 2 5 4" xfId="2501"/>
    <cellStyle name="Normal 58 4 2 5 4 2" xfId="11866"/>
    <cellStyle name="Normal 58 4 2 5 4 3" xfId="21870"/>
    <cellStyle name="Normal 58 4 2 5 5" xfId="6525"/>
    <cellStyle name="Normal 58 4 2 5 5 2" xfId="15352"/>
    <cellStyle name="Normal 58 4 2 5 5 3" xfId="25603"/>
    <cellStyle name="Normal 58 4 2 5 6" xfId="7971"/>
    <cellStyle name="Normal 58 4 2 5 6 2" xfId="20352"/>
    <cellStyle name="Normal 58 4 2 5 7" xfId="16863"/>
    <cellStyle name="Normal 58 4 2 6" xfId="1159"/>
    <cellStyle name="Normal 58 4 2 6 2" xfId="3588"/>
    <cellStyle name="Normal 58 4 2 6 2 2" xfId="12724"/>
    <cellStyle name="Normal 58 4 2 6 2 2 2" xfId="22943"/>
    <cellStyle name="Normal 58 4 2 6 2 3" xfId="9145"/>
    <cellStyle name="Normal 58 4 2 6 2 4" xfId="17936"/>
    <cellStyle name="Normal 58 4 2 6 3" xfId="5251"/>
    <cellStyle name="Normal 58 4 2 6 3 2" xfId="14088"/>
    <cellStyle name="Normal 58 4 2 6 3 2 2" xfId="24339"/>
    <cellStyle name="Normal 58 4 2 6 3 3" xfId="10509"/>
    <cellStyle name="Normal 58 4 2 6 3 4" xfId="19332"/>
    <cellStyle name="Normal 58 4 2 6 4" xfId="1758"/>
    <cellStyle name="Normal 58 4 2 6 4 2" xfId="11129"/>
    <cellStyle name="Normal 58 4 2 6 4 3" xfId="21133"/>
    <cellStyle name="Normal 58 4 2 6 5" xfId="6706"/>
    <cellStyle name="Normal 58 4 2 6 5 2" xfId="15533"/>
    <cellStyle name="Normal 58 4 2 6 5 3" xfId="25784"/>
    <cellStyle name="Normal 58 4 2 6 6" xfId="8152"/>
    <cellStyle name="Normal 58 4 2 6 6 2" xfId="20542"/>
    <cellStyle name="Normal 58 4 2 6 7" xfId="16126"/>
    <cellStyle name="Normal 58 4 2 7" xfId="2656"/>
    <cellStyle name="Normal 58 4 2 7 2" xfId="11978"/>
    <cellStyle name="Normal 58 4 2 7 2 2" xfId="22017"/>
    <cellStyle name="Normal 58 4 2 7 3" xfId="8619"/>
    <cellStyle name="Normal 58 4 2 7 4" xfId="17010"/>
    <cellStyle name="Normal 58 4 2 8" xfId="4207"/>
    <cellStyle name="Normal 58 4 2 8 2" xfId="13045"/>
    <cellStyle name="Normal 58 4 2 8 2 2" xfId="23296"/>
    <cellStyle name="Normal 58 4 2 8 3" xfId="9466"/>
    <cellStyle name="Normal 58 4 2 8 4" xfId="18289"/>
    <cellStyle name="Normal 58 4 2 9" xfId="1479"/>
    <cellStyle name="Normal 58 4 2 9 2" xfId="10856"/>
    <cellStyle name="Normal 58 4 2 9 3" xfId="20860"/>
    <cellStyle name="Normal 58 4 2_Degree data" xfId="4013"/>
    <cellStyle name="Normal 58 4 3" xfId="202"/>
    <cellStyle name="Normal 58 4 3 10" xfId="7150"/>
    <cellStyle name="Normal 58 4 3 10 2" xfId="19659"/>
    <cellStyle name="Normal 58 4 3 11" xfId="15896"/>
    <cellStyle name="Normal 58 4 3 2" xfId="530"/>
    <cellStyle name="Normal 58 4 3 2 2" xfId="911"/>
    <cellStyle name="Normal 58 4 3 2 2 2" xfId="3396"/>
    <cellStyle name="Normal 58 4 3 2 2 2 2" xfId="12538"/>
    <cellStyle name="Normal 58 4 3 2 2 2 2 2" xfId="22757"/>
    <cellStyle name="Normal 58 4 3 2 2 2 3" xfId="8960"/>
    <cellStyle name="Normal 58 4 3 2 2 2 4" xfId="17750"/>
    <cellStyle name="Normal 58 4 3 2 2 3" xfId="4725"/>
    <cellStyle name="Normal 58 4 3 2 2 3 2" xfId="13563"/>
    <cellStyle name="Normal 58 4 3 2 2 3 2 2" xfId="23814"/>
    <cellStyle name="Normal 58 4 3 2 2 3 3" xfId="9984"/>
    <cellStyle name="Normal 58 4 3 2 2 3 4" xfId="18807"/>
    <cellStyle name="Normal 58 4 3 2 2 4" xfId="2505"/>
    <cellStyle name="Normal 58 4 3 2 2 4 2" xfId="11870"/>
    <cellStyle name="Normal 58 4 3 2 2 4 3" xfId="21874"/>
    <cellStyle name="Normal 58 4 3 2 2 5" xfId="6181"/>
    <cellStyle name="Normal 58 4 3 2 2 5 2" xfId="15008"/>
    <cellStyle name="Normal 58 4 3 2 2 5 3" xfId="25259"/>
    <cellStyle name="Normal 58 4 3 2 2 6" xfId="7626"/>
    <cellStyle name="Normal 58 4 3 2 2 6 2" xfId="20356"/>
    <cellStyle name="Normal 58 4 3 2 2 7" xfId="16867"/>
    <cellStyle name="Normal 58 4 3 2 3" xfId="1302"/>
    <cellStyle name="Normal 58 4 3 2 3 2" xfId="3731"/>
    <cellStyle name="Normal 58 4 3 2 3 2 2" xfId="12867"/>
    <cellStyle name="Normal 58 4 3 2 3 2 2 2" xfId="23086"/>
    <cellStyle name="Normal 58 4 3 2 3 2 3" xfId="9288"/>
    <cellStyle name="Normal 58 4 3 2 3 2 4" xfId="18079"/>
    <cellStyle name="Normal 58 4 3 2 3 3" xfId="5074"/>
    <cellStyle name="Normal 58 4 3 2 3 3 2" xfId="13911"/>
    <cellStyle name="Normal 58 4 3 2 3 3 2 2" xfId="24162"/>
    <cellStyle name="Normal 58 4 3 2 3 3 3" xfId="10332"/>
    <cellStyle name="Normal 58 4 3 2 3 3 4" xfId="19155"/>
    <cellStyle name="Normal 58 4 3 2 3 4" xfId="2125"/>
    <cellStyle name="Normal 58 4 3 2 3 4 2" xfId="11490"/>
    <cellStyle name="Normal 58 4 3 2 3 4 3" xfId="21494"/>
    <cellStyle name="Normal 58 4 3 2 3 5" xfId="6529"/>
    <cellStyle name="Normal 58 4 3 2 3 5 2" xfId="15356"/>
    <cellStyle name="Normal 58 4 3 2 3 5 3" xfId="25607"/>
    <cellStyle name="Normal 58 4 3 2 3 6" xfId="7975"/>
    <cellStyle name="Normal 58 4 3 2 3 6 2" xfId="20685"/>
    <cellStyle name="Normal 58 4 3 2 3 7" xfId="16487"/>
    <cellStyle name="Normal 58 4 3 2 4" xfId="3016"/>
    <cellStyle name="Normal 58 4 3 2 4 2" xfId="5394"/>
    <cellStyle name="Normal 58 4 3 2 4 2 2" xfId="14231"/>
    <cellStyle name="Normal 58 4 3 2 4 2 2 2" xfId="24482"/>
    <cellStyle name="Normal 58 4 3 2 4 2 3" xfId="10652"/>
    <cellStyle name="Normal 58 4 3 2 4 2 4" xfId="19475"/>
    <cellStyle name="Normal 58 4 3 2 4 3" xfId="6849"/>
    <cellStyle name="Normal 58 4 3 2 4 3 2" xfId="15676"/>
    <cellStyle name="Normal 58 4 3 2 4 3 3" xfId="25927"/>
    <cellStyle name="Normal 58 4 3 2 4 4" xfId="8295"/>
    <cellStyle name="Normal 58 4 3 2 4 4 2" xfId="22377"/>
    <cellStyle name="Normal 58 4 3 2 4 5" xfId="17370"/>
    <cellStyle name="Normal 58 4 3 2 5" xfId="4350"/>
    <cellStyle name="Normal 58 4 3 2 5 2" xfId="13188"/>
    <cellStyle name="Normal 58 4 3 2 5 2 2" xfId="23439"/>
    <cellStyle name="Normal 58 4 3 2 5 3" xfId="9609"/>
    <cellStyle name="Normal 58 4 3 2 5 4" xfId="18432"/>
    <cellStyle name="Normal 58 4 3 2 6" xfId="1622"/>
    <cellStyle name="Normal 58 4 3 2 6 2" xfId="10999"/>
    <cellStyle name="Normal 58 4 3 2 6 3" xfId="21003"/>
    <cellStyle name="Normal 58 4 3 2 7" xfId="5806"/>
    <cellStyle name="Normal 58 4 3 2 7 2" xfId="14633"/>
    <cellStyle name="Normal 58 4 3 2 7 3" xfId="24884"/>
    <cellStyle name="Normal 58 4 3 2 8" xfId="7250"/>
    <cellStyle name="Normal 58 4 3 2 8 2" xfId="19976"/>
    <cellStyle name="Normal 58 4 3 2 9" xfId="15996"/>
    <cellStyle name="Normal 58 4 3 2_Degree data" xfId="4017"/>
    <cellStyle name="Normal 58 4 3 3" xfId="430"/>
    <cellStyle name="Normal 58 4 3 3 2" xfId="2916"/>
    <cellStyle name="Normal 58 4 3 3 2 2" xfId="12204"/>
    <cellStyle name="Normal 58 4 3 3 2 2 2" xfId="22277"/>
    <cellStyle name="Normal 58 4 3 3 2 3" xfId="8517"/>
    <cellStyle name="Normal 58 4 3 3 2 4" xfId="17270"/>
    <cellStyle name="Normal 58 4 3 3 3" xfId="4724"/>
    <cellStyle name="Normal 58 4 3 3 3 2" xfId="13562"/>
    <cellStyle name="Normal 58 4 3 3 3 2 2" xfId="23813"/>
    <cellStyle name="Normal 58 4 3 3 3 3" xfId="9983"/>
    <cellStyle name="Normal 58 4 3 3 3 4" xfId="18806"/>
    <cellStyle name="Normal 58 4 3 3 4" xfId="2025"/>
    <cellStyle name="Normal 58 4 3 3 4 2" xfId="11390"/>
    <cellStyle name="Normal 58 4 3 3 4 3" xfId="21394"/>
    <cellStyle name="Normal 58 4 3 3 5" xfId="6180"/>
    <cellStyle name="Normal 58 4 3 3 5 2" xfId="15007"/>
    <cellStyle name="Normal 58 4 3 3 5 3" xfId="25258"/>
    <cellStyle name="Normal 58 4 3 3 6" xfId="7625"/>
    <cellStyle name="Normal 58 4 3 3 6 2" xfId="19876"/>
    <cellStyle name="Normal 58 4 3 3 7" xfId="16387"/>
    <cellStyle name="Normal 58 4 3 4" xfId="910"/>
    <cellStyle name="Normal 58 4 3 4 2" xfId="3395"/>
    <cellStyle name="Normal 58 4 3 4 2 2" xfId="12537"/>
    <cellStyle name="Normal 58 4 3 4 2 2 2" xfId="22756"/>
    <cellStyle name="Normal 58 4 3 4 2 3" xfId="8959"/>
    <cellStyle name="Normal 58 4 3 4 2 4" xfId="17749"/>
    <cellStyle name="Normal 58 4 3 4 3" xfId="5073"/>
    <cellStyle name="Normal 58 4 3 4 3 2" xfId="13910"/>
    <cellStyle name="Normal 58 4 3 4 3 2 2" xfId="24161"/>
    <cellStyle name="Normal 58 4 3 4 3 3" xfId="10331"/>
    <cellStyle name="Normal 58 4 3 4 3 4" xfId="19154"/>
    <cellStyle name="Normal 58 4 3 4 4" xfId="2504"/>
    <cellStyle name="Normal 58 4 3 4 4 2" xfId="11869"/>
    <cellStyle name="Normal 58 4 3 4 4 3" xfId="21873"/>
    <cellStyle name="Normal 58 4 3 4 5" xfId="6528"/>
    <cellStyle name="Normal 58 4 3 4 5 2" xfId="15355"/>
    <cellStyle name="Normal 58 4 3 4 5 3" xfId="25606"/>
    <cellStyle name="Normal 58 4 3 4 6" xfId="7974"/>
    <cellStyle name="Normal 58 4 3 4 6 2" xfId="20355"/>
    <cellStyle name="Normal 58 4 3 4 7" xfId="16866"/>
    <cellStyle name="Normal 58 4 3 5" xfId="1202"/>
    <cellStyle name="Normal 58 4 3 5 2" xfId="3631"/>
    <cellStyle name="Normal 58 4 3 5 2 2" xfId="12767"/>
    <cellStyle name="Normal 58 4 3 5 2 2 2" xfId="22986"/>
    <cellStyle name="Normal 58 4 3 5 2 3" xfId="9188"/>
    <cellStyle name="Normal 58 4 3 5 2 4" xfId="17979"/>
    <cellStyle name="Normal 58 4 3 5 3" xfId="5294"/>
    <cellStyle name="Normal 58 4 3 5 3 2" xfId="14131"/>
    <cellStyle name="Normal 58 4 3 5 3 2 2" xfId="24382"/>
    <cellStyle name="Normal 58 4 3 5 3 3" xfId="10552"/>
    <cellStyle name="Normal 58 4 3 5 3 4" xfId="19375"/>
    <cellStyle name="Normal 58 4 3 5 4" xfId="1804"/>
    <cellStyle name="Normal 58 4 3 5 4 2" xfId="11173"/>
    <cellStyle name="Normal 58 4 3 5 4 3" xfId="21177"/>
    <cellStyle name="Normal 58 4 3 5 5" xfId="6749"/>
    <cellStyle name="Normal 58 4 3 5 5 2" xfId="15576"/>
    <cellStyle name="Normal 58 4 3 5 5 3" xfId="25827"/>
    <cellStyle name="Normal 58 4 3 5 6" xfId="8195"/>
    <cellStyle name="Normal 58 4 3 5 6 2" xfId="20585"/>
    <cellStyle name="Normal 58 4 3 5 7" xfId="16170"/>
    <cellStyle name="Normal 58 4 3 6" xfId="2699"/>
    <cellStyle name="Normal 58 4 3 6 2" xfId="12016"/>
    <cellStyle name="Normal 58 4 3 6 2 2" xfId="22060"/>
    <cellStyle name="Normal 58 4 3 6 3" xfId="8408"/>
    <cellStyle name="Normal 58 4 3 6 4" xfId="17053"/>
    <cellStyle name="Normal 58 4 3 7" xfId="4250"/>
    <cellStyle name="Normal 58 4 3 7 2" xfId="13088"/>
    <cellStyle name="Normal 58 4 3 7 2 2" xfId="23339"/>
    <cellStyle name="Normal 58 4 3 7 3" xfId="9509"/>
    <cellStyle name="Normal 58 4 3 7 4" xfId="18332"/>
    <cellStyle name="Normal 58 4 3 8" xfId="1522"/>
    <cellStyle name="Normal 58 4 3 8 2" xfId="10899"/>
    <cellStyle name="Normal 58 4 3 8 3" xfId="20903"/>
    <cellStyle name="Normal 58 4 3 9" xfId="5706"/>
    <cellStyle name="Normal 58 4 3 9 2" xfId="14533"/>
    <cellStyle name="Normal 58 4 3 9 3" xfId="24784"/>
    <cellStyle name="Normal 58 4 3_Degree data" xfId="4016"/>
    <cellStyle name="Normal 58 4 4" xfId="255"/>
    <cellStyle name="Normal 58 4 4 10" xfId="7093"/>
    <cellStyle name="Normal 58 4 4 10 2" xfId="19707"/>
    <cellStyle name="Normal 58 4 4 11" xfId="15839"/>
    <cellStyle name="Normal 58 4 4 2" xfId="578"/>
    <cellStyle name="Normal 58 4 4 2 2" xfId="913"/>
    <cellStyle name="Normal 58 4 4 2 2 2" xfId="3398"/>
    <cellStyle name="Normal 58 4 4 2 2 2 2" xfId="12540"/>
    <cellStyle name="Normal 58 4 4 2 2 2 2 2" xfId="22759"/>
    <cellStyle name="Normal 58 4 4 2 2 2 3" xfId="8962"/>
    <cellStyle name="Normal 58 4 4 2 2 2 4" xfId="17752"/>
    <cellStyle name="Normal 58 4 4 2 2 3" xfId="4727"/>
    <cellStyle name="Normal 58 4 4 2 2 3 2" xfId="13565"/>
    <cellStyle name="Normal 58 4 4 2 2 3 2 2" xfId="23816"/>
    <cellStyle name="Normal 58 4 4 2 2 3 3" xfId="9986"/>
    <cellStyle name="Normal 58 4 4 2 2 3 4" xfId="18809"/>
    <cellStyle name="Normal 58 4 4 2 2 4" xfId="2507"/>
    <cellStyle name="Normal 58 4 4 2 2 4 2" xfId="11872"/>
    <cellStyle name="Normal 58 4 4 2 2 4 3" xfId="21876"/>
    <cellStyle name="Normal 58 4 4 2 2 5" xfId="6183"/>
    <cellStyle name="Normal 58 4 4 2 2 5 2" xfId="15010"/>
    <cellStyle name="Normal 58 4 4 2 2 5 3" xfId="25261"/>
    <cellStyle name="Normal 58 4 4 2 2 6" xfId="7628"/>
    <cellStyle name="Normal 58 4 4 2 2 6 2" xfId="20358"/>
    <cellStyle name="Normal 58 4 4 2 2 7" xfId="16869"/>
    <cellStyle name="Normal 58 4 4 2 3" xfId="1350"/>
    <cellStyle name="Normal 58 4 4 2 3 2" xfId="3779"/>
    <cellStyle name="Normal 58 4 4 2 3 2 2" xfId="12915"/>
    <cellStyle name="Normal 58 4 4 2 3 2 2 2" xfId="23134"/>
    <cellStyle name="Normal 58 4 4 2 3 2 3" xfId="9336"/>
    <cellStyle name="Normal 58 4 4 2 3 2 4" xfId="18127"/>
    <cellStyle name="Normal 58 4 4 2 3 3" xfId="5076"/>
    <cellStyle name="Normal 58 4 4 2 3 3 2" xfId="13913"/>
    <cellStyle name="Normal 58 4 4 2 3 3 2 2" xfId="24164"/>
    <cellStyle name="Normal 58 4 4 2 3 3 3" xfId="10334"/>
    <cellStyle name="Normal 58 4 4 2 3 3 4" xfId="19157"/>
    <cellStyle name="Normal 58 4 4 2 3 4" xfId="2173"/>
    <cellStyle name="Normal 58 4 4 2 3 4 2" xfId="11538"/>
    <cellStyle name="Normal 58 4 4 2 3 4 3" xfId="21542"/>
    <cellStyle name="Normal 58 4 4 2 3 5" xfId="6531"/>
    <cellStyle name="Normal 58 4 4 2 3 5 2" xfId="15358"/>
    <cellStyle name="Normal 58 4 4 2 3 5 3" xfId="25609"/>
    <cellStyle name="Normal 58 4 4 2 3 6" xfId="7977"/>
    <cellStyle name="Normal 58 4 4 2 3 6 2" xfId="20733"/>
    <cellStyle name="Normal 58 4 4 2 3 7" xfId="16535"/>
    <cellStyle name="Normal 58 4 4 2 4" xfId="3064"/>
    <cellStyle name="Normal 58 4 4 2 4 2" xfId="5442"/>
    <cellStyle name="Normal 58 4 4 2 4 2 2" xfId="14279"/>
    <cellStyle name="Normal 58 4 4 2 4 2 2 2" xfId="24530"/>
    <cellStyle name="Normal 58 4 4 2 4 2 3" xfId="10700"/>
    <cellStyle name="Normal 58 4 4 2 4 2 4" xfId="19523"/>
    <cellStyle name="Normal 58 4 4 2 4 3" xfId="6897"/>
    <cellStyle name="Normal 58 4 4 2 4 3 2" xfId="15724"/>
    <cellStyle name="Normal 58 4 4 2 4 3 3" xfId="25975"/>
    <cellStyle name="Normal 58 4 4 2 4 4" xfId="8343"/>
    <cellStyle name="Normal 58 4 4 2 4 4 2" xfId="22425"/>
    <cellStyle name="Normal 58 4 4 2 4 5" xfId="17418"/>
    <cellStyle name="Normal 58 4 4 2 5" xfId="4398"/>
    <cellStyle name="Normal 58 4 4 2 5 2" xfId="13236"/>
    <cellStyle name="Normal 58 4 4 2 5 2 2" xfId="23487"/>
    <cellStyle name="Normal 58 4 4 2 5 3" xfId="9657"/>
    <cellStyle name="Normal 58 4 4 2 5 4" xfId="18480"/>
    <cellStyle name="Normal 58 4 4 2 6" xfId="1670"/>
    <cellStyle name="Normal 58 4 4 2 6 2" xfId="11047"/>
    <cellStyle name="Normal 58 4 4 2 6 3" xfId="21051"/>
    <cellStyle name="Normal 58 4 4 2 7" xfId="5854"/>
    <cellStyle name="Normal 58 4 4 2 7 2" xfId="14681"/>
    <cellStyle name="Normal 58 4 4 2 7 3" xfId="24932"/>
    <cellStyle name="Normal 58 4 4 2 8" xfId="7298"/>
    <cellStyle name="Normal 58 4 4 2 8 2" xfId="20024"/>
    <cellStyle name="Normal 58 4 4 2 9" xfId="16044"/>
    <cellStyle name="Normal 58 4 4 2_Degree data" xfId="4019"/>
    <cellStyle name="Normal 58 4 4 3" xfId="373"/>
    <cellStyle name="Normal 58 4 4 3 2" xfId="2859"/>
    <cellStyle name="Normal 58 4 4 3 2 2" xfId="12147"/>
    <cellStyle name="Normal 58 4 4 3 2 2 2" xfId="22220"/>
    <cellStyle name="Normal 58 4 4 3 2 3" xfId="8471"/>
    <cellStyle name="Normal 58 4 4 3 2 4" xfId="17213"/>
    <cellStyle name="Normal 58 4 4 3 3" xfId="4726"/>
    <cellStyle name="Normal 58 4 4 3 3 2" xfId="13564"/>
    <cellStyle name="Normal 58 4 4 3 3 2 2" xfId="23815"/>
    <cellStyle name="Normal 58 4 4 3 3 3" xfId="9985"/>
    <cellStyle name="Normal 58 4 4 3 3 4" xfId="18808"/>
    <cellStyle name="Normal 58 4 4 3 4" xfId="1968"/>
    <cellStyle name="Normal 58 4 4 3 4 2" xfId="11333"/>
    <cellStyle name="Normal 58 4 4 3 4 3" xfId="21337"/>
    <cellStyle name="Normal 58 4 4 3 5" xfId="6182"/>
    <cellStyle name="Normal 58 4 4 3 5 2" xfId="15009"/>
    <cellStyle name="Normal 58 4 4 3 5 3" xfId="25260"/>
    <cellStyle name="Normal 58 4 4 3 6" xfId="7627"/>
    <cellStyle name="Normal 58 4 4 3 6 2" xfId="19819"/>
    <cellStyle name="Normal 58 4 4 3 7" xfId="16330"/>
    <cellStyle name="Normal 58 4 4 4" xfId="912"/>
    <cellStyle name="Normal 58 4 4 4 2" xfId="3397"/>
    <cellStyle name="Normal 58 4 4 4 2 2" xfId="12539"/>
    <cellStyle name="Normal 58 4 4 4 2 2 2" xfId="22758"/>
    <cellStyle name="Normal 58 4 4 4 2 3" xfId="8961"/>
    <cellStyle name="Normal 58 4 4 4 2 4" xfId="17751"/>
    <cellStyle name="Normal 58 4 4 4 3" xfId="5075"/>
    <cellStyle name="Normal 58 4 4 4 3 2" xfId="13912"/>
    <cellStyle name="Normal 58 4 4 4 3 2 2" xfId="24163"/>
    <cellStyle name="Normal 58 4 4 4 3 3" xfId="10333"/>
    <cellStyle name="Normal 58 4 4 4 3 4" xfId="19156"/>
    <cellStyle name="Normal 58 4 4 4 4" xfId="2506"/>
    <cellStyle name="Normal 58 4 4 4 4 2" xfId="11871"/>
    <cellStyle name="Normal 58 4 4 4 4 3" xfId="21875"/>
    <cellStyle name="Normal 58 4 4 4 5" xfId="6530"/>
    <cellStyle name="Normal 58 4 4 4 5 2" xfId="15357"/>
    <cellStyle name="Normal 58 4 4 4 5 3" xfId="25608"/>
    <cellStyle name="Normal 58 4 4 4 6" xfId="7976"/>
    <cellStyle name="Normal 58 4 4 4 6 2" xfId="20357"/>
    <cellStyle name="Normal 58 4 4 4 7" xfId="16868"/>
    <cellStyle name="Normal 58 4 4 5" xfId="1145"/>
    <cellStyle name="Normal 58 4 4 5 2" xfId="3574"/>
    <cellStyle name="Normal 58 4 4 5 2 2" xfId="12710"/>
    <cellStyle name="Normal 58 4 4 5 2 2 2" xfId="22929"/>
    <cellStyle name="Normal 58 4 4 5 2 3" xfId="9131"/>
    <cellStyle name="Normal 58 4 4 5 2 4" xfId="17922"/>
    <cellStyle name="Normal 58 4 4 5 3" xfId="5237"/>
    <cellStyle name="Normal 58 4 4 5 3 2" xfId="14074"/>
    <cellStyle name="Normal 58 4 4 5 3 2 2" xfId="24325"/>
    <cellStyle name="Normal 58 4 4 5 3 3" xfId="10495"/>
    <cellStyle name="Normal 58 4 4 5 3 4" xfId="19318"/>
    <cellStyle name="Normal 58 4 4 5 4" xfId="1853"/>
    <cellStyle name="Normal 58 4 4 5 4 2" xfId="11221"/>
    <cellStyle name="Normal 58 4 4 5 4 3" xfId="21225"/>
    <cellStyle name="Normal 58 4 4 5 5" xfId="6692"/>
    <cellStyle name="Normal 58 4 4 5 5 2" xfId="15519"/>
    <cellStyle name="Normal 58 4 4 5 5 3" xfId="25770"/>
    <cellStyle name="Normal 58 4 4 5 6" xfId="8138"/>
    <cellStyle name="Normal 58 4 4 5 6 2" xfId="20528"/>
    <cellStyle name="Normal 58 4 4 5 7" xfId="16218"/>
    <cellStyle name="Normal 58 4 4 6" xfId="2747"/>
    <cellStyle name="Normal 58 4 4 6 2" xfId="12064"/>
    <cellStyle name="Normal 58 4 4 6 2 2" xfId="22108"/>
    <cellStyle name="Normal 58 4 4 6 3" xfId="8492"/>
    <cellStyle name="Normal 58 4 4 6 4" xfId="17101"/>
    <cellStyle name="Normal 58 4 4 7" xfId="4193"/>
    <cellStyle name="Normal 58 4 4 7 2" xfId="13031"/>
    <cellStyle name="Normal 58 4 4 7 2 2" xfId="23282"/>
    <cellStyle name="Normal 58 4 4 7 3" xfId="9452"/>
    <cellStyle name="Normal 58 4 4 7 4" xfId="18275"/>
    <cellStyle name="Normal 58 4 4 8" xfId="1465"/>
    <cellStyle name="Normal 58 4 4 8 2" xfId="10842"/>
    <cellStyle name="Normal 58 4 4 8 3" xfId="20846"/>
    <cellStyle name="Normal 58 4 4 9" xfId="5649"/>
    <cellStyle name="Normal 58 4 4 9 2" xfId="14476"/>
    <cellStyle name="Normal 58 4 4 9 3" xfId="24727"/>
    <cellStyle name="Normal 58 4 4_Degree data" xfId="4018"/>
    <cellStyle name="Normal 58 4 5" xfId="473"/>
    <cellStyle name="Normal 58 4 5 2" xfId="914"/>
    <cellStyle name="Normal 58 4 5 2 2" xfId="3399"/>
    <cellStyle name="Normal 58 4 5 2 2 2" xfId="12541"/>
    <cellStyle name="Normal 58 4 5 2 2 2 2" xfId="22760"/>
    <cellStyle name="Normal 58 4 5 2 2 3" xfId="8963"/>
    <cellStyle name="Normal 58 4 5 2 2 4" xfId="17753"/>
    <cellStyle name="Normal 58 4 5 2 3" xfId="4728"/>
    <cellStyle name="Normal 58 4 5 2 3 2" xfId="13566"/>
    <cellStyle name="Normal 58 4 5 2 3 2 2" xfId="23817"/>
    <cellStyle name="Normal 58 4 5 2 3 3" xfId="9987"/>
    <cellStyle name="Normal 58 4 5 2 3 4" xfId="18810"/>
    <cellStyle name="Normal 58 4 5 2 4" xfId="2508"/>
    <cellStyle name="Normal 58 4 5 2 4 2" xfId="11873"/>
    <cellStyle name="Normal 58 4 5 2 4 3" xfId="21877"/>
    <cellStyle name="Normal 58 4 5 2 5" xfId="6184"/>
    <cellStyle name="Normal 58 4 5 2 5 2" xfId="15011"/>
    <cellStyle name="Normal 58 4 5 2 5 3" xfId="25262"/>
    <cellStyle name="Normal 58 4 5 2 6" xfId="7629"/>
    <cellStyle name="Normal 58 4 5 2 6 2" xfId="20359"/>
    <cellStyle name="Normal 58 4 5 2 7" xfId="16870"/>
    <cellStyle name="Normal 58 4 5 3" xfId="1245"/>
    <cellStyle name="Normal 58 4 5 3 2" xfId="3674"/>
    <cellStyle name="Normal 58 4 5 3 2 2" xfId="12810"/>
    <cellStyle name="Normal 58 4 5 3 2 2 2" xfId="23029"/>
    <cellStyle name="Normal 58 4 5 3 2 3" xfId="9231"/>
    <cellStyle name="Normal 58 4 5 3 2 4" xfId="18022"/>
    <cellStyle name="Normal 58 4 5 3 3" xfId="5077"/>
    <cellStyle name="Normal 58 4 5 3 3 2" xfId="13914"/>
    <cellStyle name="Normal 58 4 5 3 3 2 2" xfId="24165"/>
    <cellStyle name="Normal 58 4 5 3 3 3" xfId="10335"/>
    <cellStyle name="Normal 58 4 5 3 3 4" xfId="19158"/>
    <cellStyle name="Normal 58 4 5 3 4" xfId="2068"/>
    <cellStyle name="Normal 58 4 5 3 4 2" xfId="11433"/>
    <cellStyle name="Normal 58 4 5 3 4 3" xfId="21437"/>
    <cellStyle name="Normal 58 4 5 3 5" xfId="6532"/>
    <cellStyle name="Normal 58 4 5 3 5 2" xfId="15359"/>
    <cellStyle name="Normal 58 4 5 3 5 3" xfId="25610"/>
    <cellStyle name="Normal 58 4 5 3 6" xfId="7978"/>
    <cellStyle name="Normal 58 4 5 3 6 2" xfId="20628"/>
    <cellStyle name="Normal 58 4 5 3 7" xfId="16430"/>
    <cellStyle name="Normal 58 4 5 4" xfId="2959"/>
    <cellStyle name="Normal 58 4 5 4 2" xfId="5337"/>
    <cellStyle name="Normal 58 4 5 4 2 2" xfId="14174"/>
    <cellStyle name="Normal 58 4 5 4 2 2 2" xfId="24425"/>
    <cellStyle name="Normal 58 4 5 4 2 3" xfId="10595"/>
    <cellStyle name="Normal 58 4 5 4 2 4" xfId="19418"/>
    <cellStyle name="Normal 58 4 5 4 3" xfId="6792"/>
    <cellStyle name="Normal 58 4 5 4 3 2" xfId="15619"/>
    <cellStyle name="Normal 58 4 5 4 3 3" xfId="25870"/>
    <cellStyle name="Normal 58 4 5 4 4" xfId="8238"/>
    <cellStyle name="Normal 58 4 5 4 4 2" xfId="22320"/>
    <cellStyle name="Normal 58 4 5 4 5" xfId="17313"/>
    <cellStyle name="Normal 58 4 5 5" xfId="4293"/>
    <cellStyle name="Normal 58 4 5 5 2" xfId="13131"/>
    <cellStyle name="Normal 58 4 5 5 2 2" xfId="23382"/>
    <cellStyle name="Normal 58 4 5 5 3" xfId="9552"/>
    <cellStyle name="Normal 58 4 5 5 4" xfId="18375"/>
    <cellStyle name="Normal 58 4 5 6" xfId="1565"/>
    <cellStyle name="Normal 58 4 5 6 2" xfId="10942"/>
    <cellStyle name="Normal 58 4 5 6 3" xfId="20946"/>
    <cellStyle name="Normal 58 4 5 7" xfId="5749"/>
    <cellStyle name="Normal 58 4 5 7 2" xfId="14576"/>
    <cellStyle name="Normal 58 4 5 7 3" xfId="24827"/>
    <cellStyle name="Normal 58 4 5 8" xfId="7193"/>
    <cellStyle name="Normal 58 4 5 8 2" xfId="19919"/>
    <cellStyle name="Normal 58 4 5 9" xfId="15939"/>
    <cellStyle name="Normal 58 4 5_Degree data" xfId="4020"/>
    <cellStyle name="Normal 58 4 6" xfId="328"/>
    <cellStyle name="Normal 58 4 6 2" xfId="915"/>
    <cellStyle name="Normal 58 4 6 2 2" xfId="3400"/>
    <cellStyle name="Normal 58 4 6 2 2 2" xfId="12542"/>
    <cellStyle name="Normal 58 4 6 2 2 2 2" xfId="22761"/>
    <cellStyle name="Normal 58 4 6 2 2 3" xfId="8964"/>
    <cellStyle name="Normal 58 4 6 2 2 4" xfId="17754"/>
    <cellStyle name="Normal 58 4 6 2 3" xfId="4729"/>
    <cellStyle name="Normal 58 4 6 2 3 2" xfId="13567"/>
    <cellStyle name="Normal 58 4 6 2 3 2 2" xfId="23818"/>
    <cellStyle name="Normal 58 4 6 2 3 3" xfId="9988"/>
    <cellStyle name="Normal 58 4 6 2 3 4" xfId="18811"/>
    <cellStyle name="Normal 58 4 6 2 4" xfId="2509"/>
    <cellStyle name="Normal 58 4 6 2 4 2" xfId="11874"/>
    <cellStyle name="Normal 58 4 6 2 4 3" xfId="21878"/>
    <cellStyle name="Normal 58 4 6 2 5" xfId="6185"/>
    <cellStyle name="Normal 58 4 6 2 5 2" xfId="15012"/>
    <cellStyle name="Normal 58 4 6 2 5 3" xfId="25263"/>
    <cellStyle name="Normal 58 4 6 2 6" xfId="7630"/>
    <cellStyle name="Normal 58 4 6 2 6 2" xfId="20360"/>
    <cellStyle name="Normal 58 4 6 2 7" xfId="16871"/>
    <cellStyle name="Normal 58 4 6 3" xfId="1100"/>
    <cellStyle name="Normal 58 4 6 3 2" xfId="3529"/>
    <cellStyle name="Normal 58 4 6 3 2 2" xfId="12665"/>
    <cellStyle name="Normal 58 4 6 3 2 2 2" xfId="22884"/>
    <cellStyle name="Normal 58 4 6 3 2 3" xfId="9087"/>
    <cellStyle name="Normal 58 4 6 3 2 4" xfId="17877"/>
    <cellStyle name="Normal 58 4 6 3 3" xfId="5078"/>
    <cellStyle name="Normal 58 4 6 3 3 2" xfId="13915"/>
    <cellStyle name="Normal 58 4 6 3 3 2 2" xfId="24166"/>
    <cellStyle name="Normal 58 4 6 3 3 3" xfId="10336"/>
    <cellStyle name="Normal 58 4 6 3 3 4" xfId="19159"/>
    <cellStyle name="Normal 58 4 6 3 4" xfId="2604"/>
    <cellStyle name="Normal 58 4 6 3 4 2" xfId="11968"/>
    <cellStyle name="Normal 58 4 6 3 4 3" xfId="21972"/>
    <cellStyle name="Normal 58 4 6 3 5" xfId="6533"/>
    <cellStyle name="Normal 58 4 6 3 5 2" xfId="15360"/>
    <cellStyle name="Normal 58 4 6 3 5 3" xfId="25611"/>
    <cellStyle name="Normal 58 4 6 3 6" xfId="7979"/>
    <cellStyle name="Normal 58 4 6 3 6 2" xfId="20483"/>
    <cellStyle name="Normal 58 4 6 3 7" xfId="16965"/>
    <cellStyle name="Normal 58 4 6 4" xfId="2814"/>
    <cellStyle name="Normal 58 4 6 4 2" xfId="5192"/>
    <cellStyle name="Normal 58 4 6 4 2 2" xfId="14029"/>
    <cellStyle name="Normal 58 4 6 4 2 2 2" xfId="24280"/>
    <cellStyle name="Normal 58 4 6 4 2 3" xfId="10450"/>
    <cellStyle name="Normal 58 4 6 4 2 4" xfId="19273"/>
    <cellStyle name="Normal 58 4 6 4 3" xfId="6647"/>
    <cellStyle name="Normal 58 4 6 4 3 2" xfId="15474"/>
    <cellStyle name="Normal 58 4 6 4 3 3" xfId="25725"/>
    <cellStyle name="Normal 58 4 6 4 4" xfId="8093"/>
    <cellStyle name="Normal 58 4 6 4 4 2" xfId="22175"/>
    <cellStyle name="Normal 58 4 6 4 5" xfId="17168"/>
    <cellStyle name="Normal 58 4 6 5" xfId="4146"/>
    <cellStyle name="Normal 58 4 6 5 2" xfId="12984"/>
    <cellStyle name="Normal 58 4 6 5 2 2" xfId="23235"/>
    <cellStyle name="Normal 58 4 6 5 3" xfId="9405"/>
    <cellStyle name="Normal 58 4 6 5 4" xfId="18228"/>
    <cellStyle name="Normal 58 4 6 6" xfId="1923"/>
    <cellStyle name="Normal 58 4 6 6 2" xfId="11288"/>
    <cellStyle name="Normal 58 4 6 6 3" xfId="21292"/>
    <cellStyle name="Normal 58 4 6 7" xfId="5604"/>
    <cellStyle name="Normal 58 4 6 7 2" xfId="14431"/>
    <cellStyle name="Normal 58 4 6 7 3" xfId="24682"/>
    <cellStyle name="Normal 58 4 6 8" xfId="7048"/>
    <cellStyle name="Normal 58 4 6 8 2" xfId="19774"/>
    <cellStyle name="Normal 58 4 6 9" xfId="16285"/>
    <cellStyle name="Normal 58 4 6_Degree data" xfId="4021"/>
    <cellStyle name="Normal 58 4 7" xfId="906"/>
    <cellStyle name="Normal 58 4 7 2" xfId="3391"/>
    <cellStyle name="Normal 58 4 7 2 2" xfId="12533"/>
    <cellStyle name="Normal 58 4 7 2 2 2" xfId="22752"/>
    <cellStyle name="Normal 58 4 7 2 3" xfId="8955"/>
    <cellStyle name="Normal 58 4 7 2 4" xfId="17745"/>
    <cellStyle name="Normal 58 4 7 3" xfId="4720"/>
    <cellStyle name="Normal 58 4 7 3 2" xfId="13558"/>
    <cellStyle name="Normal 58 4 7 3 2 2" xfId="23809"/>
    <cellStyle name="Normal 58 4 7 3 3" xfId="9979"/>
    <cellStyle name="Normal 58 4 7 3 4" xfId="18802"/>
    <cellStyle name="Normal 58 4 7 4" xfId="2500"/>
    <cellStyle name="Normal 58 4 7 4 2" xfId="11865"/>
    <cellStyle name="Normal 58 4 7 4 3" xfId="21869"/>
    <cellStyle name="Normal 58 4 7 5" xfId="6176"/>
    <cellStyle name="Normal 58 4 7 5 2" xfId="15003"/>
    <cellStyle name="Normal 58 4 7 5 3" xfId="25254"/>
    <cellStyle name="Normal 58 4 7 6" xfId="7621"/>
    <cellStyle name="Normal 58 4 7 6 2" xfId="20351"/>
    <cellStyle name="Normal 58 4 7 7" xfId="16862"/>
    <cellStyle name="Normal 58 4 8" xfId="1057"/>
    <cellStyle name="Normal 58 4 8 2" xfId="3486"/>
    <cellStyle name="Normal 58 4 8 2 2" xfId="12622"/>
    <cellStyle name="Normal 58 4 8 2 2 2" xfId="22841"/>
    <cellStyle name="Normal 58 4 8 2 3" xfId="9044"/>
    <cellStyle name="Normal 58 4 8 2 4" xfId="17834"/>
    <cellStyle name="Normal 58 4 8 3" xfId="5069"/>
    <cellStyle name="Normal 58 4 8 3 2" xfId="13906"/>
    <cellStyle name="Normal 58 4 8 3 2 2" xfId="24157"/>
    <cellStyle name="Normal 58 4 8 3 3" xfId="10327"/>
    <cellStyle name="Normal 58 4 8 3 4" xfId="19150"/>
    <cellStyle name="Normal 58 4 8 4" xfId="1741"/>
    <cellStyle name="Normal 58 4 8 4 2" xfId="11115"/>
    <cellStyle name="Normal 58 4 8 4 3" xfId="21119"/>
    <cellStyle name="Normal 58 4 8 5" xfId="6524"/>
    <cellStyle name="Normal 58 4 8 5 2" xfId="15351"/>
    <cellStyle name="Normal 58 4 8 5 3" xfId="25602"/>
    <cellStyle name="Normal 58 4 8 6" xfId="7970"/>
    <cellStyle name="Normal 58 4 8 6 2" xfId="20440"/>
    <cellStyle name="Normal 58 4 8 7" xfId="16112"/>
    <cellStyle name="Normal 58 4 9" xfId="2641"/>
    <cellStyle name="Normal 58 4 9 2" xfId="5149"/>
    <cellStyle name="Normal 58 4 9 2 2" xfId="13986"/>
    <cellStyle name="Normal 58 4 9 2 2 2" xfId="24237"/>
    <cellStyle name="Normal 58 4 9 2 3" xfId="10407"/>
    <cellStyle name="Normal 58 4 9 2 4" xfId="19230"/>
    <cellStyle name="Normal 58 4 9 3" xfId="6604"/>
    <cellStyle name="Normal 58 4 9 3 2" xfId="15431"/>
    <cellStyle name="Normal 58 4 9 3 3" xfId="25682"/>
    <cellStyle name="Normal 58 4 9 4" xfId="8050"/>
    <cellStyle name="Normal 58 4 9 4 2" xfId="22003"/>
    <cellStyle name="Normal 58 4 9 5" xfId="16996"/>
    <cellStyle name="Normal 58 4_Degree data" xfId="4012"/>
    <cellStyle name="Normal 58 5" xfId="170"/>
    <cellStyle name="Normal 58 5 10" xfId="1435"/>
    <cellStyle name="Normal 58 5 10 2" xfId="10812"/>
    <cellStyle name="Normal 58 5 10 3" xfId="20816"/>
    <cellStyle name="Normal 58 5 11" xfId="5544"/>
    <cellStyle name="Normal 58 5 11 2" xfId="14371"/>
    <cellStyle name="Normal 58 5 11 3" xfId="24622"/>
    <cellStyle name="Normal 58 5 12" xfId="6988"/>
    <cellStyle name="Normal 58 5 12 2" xfId="19629"/>
    <cellStyle name="Normal 58 5 13" xfId="15809"/>
    <cellStyle name="Normal 58 5 2" xfId="217"/>
    <cellStyle name="Normal 58 5 2 10" xfId="7163"/>
    <cellStyle name="Normal 58 5 2 10 2" xfId="19672"/>
    <cellStyle name="Normal 58 5 2 11" xfId="15909"/>
    <cellStyle name="Normal 58 5 2 2" xfId="543"/>
    <cellStyle name="Normal 58 5 2 2 2" xfId="918"/>
    <cellStyle name="Normal 58 5 2 2 2 2" xfId="3403"/>
    <cellStyle name="Normal 58 5 2 2 2 2 2" xfId="12545"/>
    <cellStyle name="Normal 58 5 2 2 2 2 2 2" xfId="22764"/>
    <cellStyle name="Normal 58 5 2 2 2 2 3" xfId="8967"/>
    <cellStyle name="Normal 58 5 2 2 2 2 4" xfId="17757"/>
    <cellStyle name="Normal 58 5 2 2 2 3" xfId="4732"/>
    <cellStyle name="Normal 58 5 2 2 2 3 2" xfId="13570"/>
    <cellStyle name="Normal 58 5 2 2 2 3 2 2" xfId="23821"/>
    <cellStyle name="Normal 58 5 2 2 2 3 3" xfId="9991"/>
    <cellStyle name="Normal 58 5 2 2 2 3 4" xfId="18814"/>
    <cellStyle name="Normal 58 5 2 2 2 4" xfId="2512"/>
    <cellStyle name="Normal 58 5 2 2 2 4 2" xfId="11877"/>
    <cellStyle name="Normal 58 5 2 2 2 4 3" xfId="21881"/>
    <cellStyle name="Normal 58 5 2 2 2 5" xfId="6188"/>
    <cellStyle name="Normal 58 5 2 2 2 5 2" xfId="15015"/>
    <cellStyle name="Normal 58 5 2 2 2 5 3" xfId="25266"/>
    <cellStyle name="Normal 58 5 2 2 2 6" xfId="7633"/>
    <cellStyle name="Normal 58 5 2 2 2 6 2" xfId="20363"/>
    <cellStyle name="Normal 58 5 2 2 2 7" xfId="16874"/>
    <cellStyle name="Normal 58 5 2 2 3" xfId="1315"/>
    <cellStyle name="Normal 58 5 2 2 3 2" xfId="3744"/>
    <cellStyle name="Normal 58 5 2 2 3 2 2" xfId="12880"/>
    <cellStyle name="Normal 58 5 2 2 3 2 2 2" xfId="23099"/>
    <cellStyle name="Normal 58 5 2 2 3 2 3" xfId="9301"/>
    <cellStyle name="Normal 58 5 2 2 3 2 4" xfId="18092"/>
    <cellStyle name="Normal 58 5 2 2 3 3" xfId="5081"/>
    <cellStyle name="Normal 58 5 2 2 3 3 2" xfId="13918"/>
    <cellStyle name="Normal 58 5 2 2 3 3 2 2" xfId="24169"/>
    <cellStyle name="Normal 58 5 2 2 3 3 3" xfId="10339"/>
    <cellStyle name="Normal 58 5 2 2 3 3 4" xfId="19162"/>
    <cellStyle name="Normal 58 5 2 2 3 4" xfId="2138"/>
    <cellStyle name="Normal 58 5 2 2 3 4 2" xfId="11503"/>
    <cellStyle name="Normal 58 5 2 2 3 4 3" xfId="21507"/>
    <cellStyle name="Normal 58 5 2 2 3 5" xfId="6536"/>
    <cellStyle name="Normal 58 5 2 2 3 5 2" xfId="15363"/>
    <cellStyle name="Normal 58 5 2 2 3 5 3" xfId="25614"/>
    <cellStyle name="Normal 58 5 2 2 3 6" xfId="7982"/>
    <cellStyle name="Normal 58 5 2 2 3 6 2" xfId="20698"/>
    <cellStyle name="Normal 58 5 2 2 3 7" xfId="16500"/>
    <cellStyle name="Normal 58 5 2 2 4" xfId="3029"/>
    <cellStyle name="Normal 58 5 2 2 4 2" xfId="5407"/>
    <cellStyle name="Normal 58 5 2 2 4 2 2" xfId="14244"/>
    <cellStyle name="Normal 58 5 2 2 4 2 2 2" xfId="24495"/>
    <cellStyle name="Normal 58 5 2 2 4 2 3" xfId="10665"/>
    <cellStyle name="Normal 58 5 2 2 4 2 4" xfId="19488"/>
    <cellStyle name="Normal 58 5 2 2 4 3" xfId="6862"/>
    <cellStyle name="Normal 58 5 2 2 4 3 2" xfId="15689"/>
    <cellStyle name="Normal 58 5 2 2 4 3 3" xfId="25940"/>
    <cellStyle name="Normal 58 5 2 2 4 4" xfId="8308"/>
    <cellStyle name="Normal 58 5 2 2 4 4 2" xfId="22390"/>
    <cellStyle name="Normal 58 5 2 2 4 5" xfId="17383"/>
    <cellStyle name="Normal 58 5 2 2 5" xfId="4363"/>
    <cellStyle name="Normal 58 5 2 2 5 2" xfId="13201"/>
    <cellStyle name="Normal 58 5 2 2 5 2 2" xfId="23452"/>
    <cellStyle name="Normal 58 5 2 2 5 3" xfId="9622"/>
    <cellStyle name="Normal 58 5 2 2 5 4" xfId="18445"/>
    <cellStyle name="Normal 58 5 2 2 6" xfId="1635"/>
    <cellStyle name="Normal 58 5 2 2 6 2" xfId="11012"/>
    <cellStyle name="Normal 58 5 2 2 6 3" xfId="21016"/>
    <cellStyle name="Normal 58 5 2 2 7" xfId="5819"/>
    <cellStyle name="Normal 58 5 2 2 7 2" xfId="14646"/>
    <cellStyle name="Normal 58 5 2 2 7 3" xfId="24897"/>
    <cellStyle name="Normal 58 5 2 2 8" xfId="7263"/>
    <cellStyle name="Normal 58 5 2 2 8 2" xfId="19989"/>
    <cellStyle name="Normal 58 5 2 2 9" xfId="16009"/>
    <cellStyle name="Normal 58 5 2 2_Degree data" xfId="4024"/>
    <cellStyle name="Normal 58 5 2 3" xfId="443"/>
    <cellStyle name="Normal 58 5 2 3 2" xfId="2929"/>
    <cellStyle name="Normal 58 5 2 3 2 2" xfId="12217"/>
    <cellStyle name="Normal 58 5 2 3 2 2 2" xfId="22290"/>
    <cellStyle name="Normal 58 5 2 3 2 3" xfId="8454"/>
    <cellStyle name="Normal 58 5 2 3 2 4" xfId="17283"/>
    <cellStyle name="Normal 58 5 2 3 3" xfId="4731"/>
    <cellStyle name="Normal 58 5 2 3 3 2" xfId="13569"/>
    <cellStyle name="Normal 58 5 2 3 3 2 2" xfId="23820"/>
    <cellStyle name="Normal 58 5 2 3 3 3" xfId="9990"/>
    <cellStyle name="Normal 58 5 2 3 3 4" xfId="18813"/>
    <cellStyle name="Normal 58 5 2 3 4" xfId="2038"/>
    <cellStyle name="Normal 58 5 2 3 4 2" xfId="11403"/>
    <cellStyle name="Normal 58 5 2 3 4 3" xfId="21407"/>
    <cellStyle name="Normal 58 5 2 3 5" xfId="6187"/>
    <cellStyle name="Normal 58 5 2 3 5 2" xfId="15014"/>
    <cellStyle name="Normal 58 5 2 3 5 3" xfId="25265"/>
    <cellStyle name="Normal 58 5 2 3 6" xfId="7632"/>
    <cellStyle name="Normal 58 5 2 3 6 2" xfId="19889"/>
    <cellStyle name="Normal 58 5 2 3 7" xfId="16400"/>
    <cellStyle name="Normal 58 5 2 4" xfId="917"/>
    <cellStyle name="Normal 58 5 2 4 2" xfId="3402"/>
    <cellStyle name="Normal 58 5 2 4 2 2" xfId="12544"/>
    <cellStyle name="Normal 58 5 2 4 2 2 2" xfId="22763"/>
    <cellStyle name="Normal 58 5 2 4 2 3" xfId="8966"/>
    <cellStyle name="Normal 58 5 2 4 2 4" xfId="17756"/>
    <cellStyle name="Normal 58 5 2 4 3" xfId="5080"/>
    <cellStyle name="Normal 58 5 2 4 3 2" xfId="13917"/>
    <cellStyle name="Normal 58 5 2 4 3 2 2" xfId="24168"/>
    <cellStyle name="Normal 58 5 2 4 3 3" xfId="10338"/>
    <cellStyle name="Normal 58 5 2 4 3 4" xfId="19161"/>
    <cellStyle name="Normal 58 5 2 4 4" xfId="2511"/>
    <cellStyle name="Normal 58 5 2 4 4 2" xfId="11876"/>
    <cellStyle name="Normal 58 5 2 4 4 3" xfId="21880"/>
    <cellStyle name="Normal 58 5 2 4 5" xfId="6535"/>
    <cellStyle name="Normal 58 5 2 4 5 2" xfId="15362"/>
    <cellStyle name="Normal 58 5 2 4 5 3" xfId="25613"/>
    <cellStyle name="Normal 58 5 2 4 6" xfId="7981"/>
    <cellStyle name="Normal 58 5 2 4 6 2" xfId="20362"/>
    <cellStyle name="Normal 58 5 2 4 7" xfId="16873"/>
    <cellStyle name="Normal 58 5 2 5" xfId="1215"/>
    <cellStyle name="Normal 58 5 2 5 2" xfId="3644"/>
    <cellStyle name="Normal 58 5 2 5 2 2" xfId="12780"/>
    <cellStyle name="Normal 58 5 2 5 2 2 2" xfId="22999"/>
    <cellStyle name="Normal 58 5 2 5 2 3" xfId="9201"/>
    <cellStyle name="Normal 58 5 2 5 2 4" xfId="17992"/>
    <cellStyle name="Normal 58 5 2 5 3" xfId="5307"/>
    <cellStyle name="Normal 58 5 2 5 3 2" xfId="14144"/>
    <cellStyle name="Normal 58 5 2 5 3 2 2" xfId="24395"/>
    <cellStyle name="Normal 58 5 2 5 3 3" xfId="10565"/>
    <cellStyle name="Normal 58 5 2 5 3 4" xfId="19388"/>
    <cellStyle name="Normal 58 5 2 5 4" xfId="1818"/>
    <cellStyle name="Normal 58 5 2 5 4 2" xfId="11186"/>
    <cellStyle name="Normal 58 5 2 5 4 3" xfId="21190"/>
    <cellStyle name="Normal 58 5 2 5 5" xfId="6762"/>
    <cellStyle name="Normal 58 5 2 5 5 2" xfId="15589"/>
    <cellStyle name="Normal 58 5 2 5 5 3" xfId="25840"/>
    <cellStyle name="Normal 58 5 2 5 6" xfId="8208"/>
    <cellStyle name="Normal 58 5 2 5 6 2" xfId="20598"/>
    <cellStyle name="Normal 58 5 2 5 7" xfId="16183"/>
    <cellStyle name="Normal 58 5 2 6" xfId="2712"/>
    <cellStyle name="Normal 58 5 2 6 2" xfId="12029"/>
    <cellStyle name="Normal 58 5 2 6 2 2" xfId="22073"/>
    <cellStyle name="Normal 58 5 2 6 3" xfId="6957"/>
    <cellStyle name="Normal 58 5 2 6 4" xfId="17066"/>
    <cellStyle name="Normal 58 5 2 7" xfId="4263"/>
    <cellStyle name="Normal 58 5 2 7 2" xfId="13101"/>
    <cellStyle name="Normal 58 5 2 7 2 2" xfId="23352"/>
    <cellStyle name="Normal 58 5 2 7 3" xfId="9522"/>
    <cellStyle name="Normal 58 5 2 7 4" xfId="18345"/>
    <cellStyle name="Normal 58 5 2 8" xfId="1535"/>
    <cellStyle name="Normal 58 5 2 8 2" xfId="10912"/>
    <cellStyle name="Normal 58 5 2 8 3" xfId="20916"/>
    <cellStyle name="Normal 58 5 2 9" xfId="5719"/>
    <cellStyle name="Normal 58 5 2 9 2" xfId="14546"/>
    <cellStyle name="Normal 58 5 2 9 3" xfId="24797"/>
    <cellStyle name="Normal 58 5 2_Degree data" xfId="4023"/>
    <cellStyle name="Normal 58 5 3" xfId="282"/>
    <cellStyle name="Normal 58 5 3 10" xfId="7120"/>
    <cellStyle name="Normal 58 5 3 10 2" xfId="19733"/>
    <cellStyle name="Normal 58 5 3 11" xfId="15866"/>
    <cellStyle name="Normal 58 5 3 2" xfId="604"/>
    <cellStyle name="Normal 58 5 3 2 2" xfId="920"/>
    <cellStyle name="Normal 58 5 3 2 2 2" xfId="3405"/>
    <cellStyle name="Normal 58 5 3 2 2 2 2" xfId="12547"/>
    <cellStyle name="Normal 58 5 3 2 2 2 2 2" xfId="22766"/>
    <cellStyle name="Normal 58 5 3 2 2 2 3" xfId="8969"/>
    <cellStyle name="Normal 58 5 3 2 2 2 4" xfId="17759"/>
    <cellStyle name="Normal 58 5 3 2 2 3" xfId="4734"/>
    <cellStyle name="Normal 58 5 3 2 2 3 2" xfId="13572"/>
    <cellStyle name="Normal 58 5 3 2 2 3 2 2" xfId="23823"/>
    <cellStyle name="Normal 58 5 3 2 2 3 3" xfId="9993"/>
    <cellStyle name="Normal 58 5 3 2 2 3 4" xfId="18816"/>
    <cellStyle name="Normal 58 5 3 2 2 4" xfId="2514"/>
    <cellStyle name="Normal 58 5 3 2 2 4 2" xfId="11879"/>
    <cellStyle name="Normal 58 5 3 2 2 4 3" xfId="21883"/>
    <cellStyle name="Normal 58 5 3 2 2 5" xfId="6190"/>
    <cellStyle name="Normal 58 5 3 2 2 5 2" xfId="15017"/>
    <cellStyle name="Normal 58 5 3 2 2 5 3" xfId="25268"/>
    <cellStyle name="Normal 58 5 3 2 2 6" xfId="7635"/>
    <cellStyle name="Normal 58 5 3 2 2 6 2" xfId="20365"/>
    <cellStyle name="Normal 58 5 3 2 2 7" xfId="16876"/>
    <cellStyle name="Normal 58 5 3 2 3" xfId="1376"/>
    <cellStyle name="Normal 58 5 3 2 3 2" xfId="3805"/>
    <cellStyle name="Normal 58 5 3 2 3 2 2" xfId="12941"/>
    <cellStyle name="Normal 58 5 3 2 3 2 2 2" xfId="23160"/>
    <cellStyle name="Normal 58 5 3 2 3 2 3" xfId="9362"/>
    <cellStyle name="Normal 58 5 3 2 3 2 4" xfId="18153"/>
    <cellStyle name="Normal 58 5 3 2 3 3" xfId="5083"/>
    <cellStyle name="Normal 58 5 3 2 3 3 2" xfId="13920"/>
    <cellStyle name="Normal 58 5 3 2 3 3 2 2" xfId="24171"/>
    <cellStyle name="Normal 58 5 3 2 3 3 3" xfId="10341"/>
    <cellStyle name="Normal 58 5 3 2 3 3 4" xfId="19164"/>
    <cellStyle name="Normal 58 5 3 2 3 4" xfId="2199"/>
    <cellStyle name="Normal 58 5 3 2 3 4 2" xfId="11564"/>
    <cellStyle name="Normal 58 5 3 2 3 4 3" xfId="21568"/>
    <cellStyle name="Normal 58 5 3 2 3 5" xfId="6538"/>
    <cellStyle name="Normal 58 5 3 2 3 5 2" xfId="15365"/>
    <cellStyle name="Normal 58 5 3 2 3 5 3" xfId="25616"/>
    <cellStyle name="Normal 58 5 3 2 3 6" xfId="7984"/>
    <cellStyle name="Normal 58 5 3 2 3 6 2" xfId="20759"/>
    <cellStyle name="Normal 58 5 3 2 3 7" xfId="16561"/>
    <cellStyle name="Normal 58 5 3 2 4" xfId="3090"/>
    <cellStyle name="Normal 58 5 3 2 4 2" xfId="5468"/>
    <cellStyle name="Normal 58 5 3 2 4 2 2" xfId="14305"/>
    <cellStyle name="Normal 58 5 3 2 4 2 2 2" xfId="24556"/>
    <cellStyle name="Normal 58 5 3 2 4 2 3" xfId="10726"/>
    <cellStyle name="Normal 58 5 3 2 4 2 4" xfId="19549"/>
    <cellStyle name="Normal 58 5 3 2 4 3" xfId="6923"/>
    <cellStyle name="Normal 58 5 3 2 4 3 2" xfId="15750"/>
    <cellStyle name="Normal 58 5 3 2 4 3 3" xfId="26001"/>
    <cellStyle name="Normal 58 5 3 2 4 4" xfId="8369"/>
    <cellStyle name="Normal 58 5 3 2 4 4 2" xfId="22451"/>
    <cellStyle name="Normal 58 5 3 2 4 5" xfId="17444"/>
    <cellStyle name="Normal 58 5 3 2 5" xfId="4424"/>
    <cellStyle name="Normal 58 5 3 2 5 2" xfId="13262"/>
    <cellStyle name="Normal 58 5 3 2 5 2 2" xfId="23513"/>
    <cellStyle name="Normal 58 5 3 2 5 3" xfId="9683"/>
    <cellStyle name="Normal 58 5 3 2 5 4" xfId="18506"/>
    <cellStyle name="Normal 58 5 3 2 6" xfId="1696"/>
    <cellStyle name="Normal 58 5 3 2 6 2" xfId="11073"/>
    <cellStyle name="Normal 58 5 3 2 6 3" xfId="21077"/>
    <cellStyle name="Normal 58 5 3 2 7" xfId="5880"/>
    <cellStyle name="Normal 58 5 3 2 7 2" xfId="14707"/>
    <cellStyle name="Normal 58 5 3 2 7 3" xfId="24958"/>
    <cellStyle name="Normal 58 5 3 2 8" xfId="7324"/>
    <cellStyle name="Normal 58 5 3 2 8 2" xfId="20050"/>
    <cellStyle name="Normal 58 5 3 2 9" xfId="16070"/>
    <cellStyle name="Normal 58 5 3 2_Degree data" xfId="4026"/>
    <cellStyle name="Normal 58 5 3 3" xfId="400"/>
    <cellStyle name="Normal 58 5 3 3 2" xfId="2886"/>
    <cellStyle name="Normal 58 5 3 3 2 2" xfId="12174"/>
    <cellStyle name="Normal 58 5 3 3 2 2 2" xfId="22247"/>
    <cellStyle name="Normal 58 5 3 3 2 3" xfId="8465"/>
    <cellStyle name="Normal 58 5 3 3 2 4" xfId="17240"/>
    <cellStyle name="Normal 58 5 3 3 3" xfId="4733"/>
    <cellStyle name="Normal 58 5 3 3 3 2" xfId="13571"/>
    <cellStyle name="Normal 58 5 3 3 3 2 2" xfId="23822"/>
    <cellStyle name="Normal 58 5 3 3 3 3" xfId="9992"/>
    <cellStyle name="Normal 58 5 3 3 3 4" xfId="18815"/>
    <cellStyle name="Normal 58 5 3 3 4" xfId="1995"/>
    <cellStyle name="Normal 58 5 3 3 4 2" xfId="11360"/>
    <cellStyle name="Normal 58 5 3 3 4 3" xfId="21364"/>
    <cellStyle name="Normal 58 5 3 3 5" xfId="6189"/>
    <cellStyle name="Normal 58 5 3 3 5 2" xfId="15016"/>
    <cellStyle name="Normal 58 5 3 3 5 3" xfId="25267"/>
    <cellStyle name="Normal 58 5 3 3 6" xfId="7634"/>
    <cellStyle name="Normal 58 5 3 3 6 2" xfId="19846"/>
    <cellStyle name="Normal 58 5 3 3 7" xfId="16357"/>
    <cellStyle name="Normal 58 5 3 4" xfId="919"/>
    <cellStyle name="Normal 58 5 3 4 2" xfId="3404"/>
    <cellStyle name="Normal 58 5 3 4 2 2" xfId="12546"/>
    <cellStyle name="Normal 58 5 3 4 2 2 2" xfId="22765"/>
    <cellStyle name="Normal 58 5 3 4 2 3" xfId="8968"/>
    <cellStyle name="Normal 58 5 3 4 2 4" xfId="17758"/>
    <cellStyle name="Normal 58 5 3 4 3" xfId="5082"/>
    <cellStyle name="Normal 58 5 3 4 3 2" xfId="13919"/>
    <cellStyle name="Normal 58 5 3 4 3 2 2" xfId="24170"/>
    <cellStyle name="Normal 58 5 3 4 3 3" xfId="10340"/>
    <cellStyle name="Normal 58 5 3 4 3 4" xfId="19163"/>
    <cellStyle name="Normal 58 5 3 4 4" xfId="2513"/>
    <cellStyle name="Normal 58 5 3 4 4 2" xfId="11878"/>
    <cellStyle name="Normal 58 5 3 4 4 3" xfId="21882"/>
    <cellStyle name="Normal 58 5 3 4 5" xfId="6537"/>
    <cellStyle name="Normal 58 5 3 4 5 2" xfId="15364"/>
    <cellStyle name="Normal 58 5 3 4 5 3" xfId="25615"/>
    <cellStyle name="Normal 58 5 3 4 6" xfId="7983"/>
    <cellStyle name="Normal 58 5 3 4 6 2" xfId="20364"/>
    <cellStyle name="Normal 58 5 3 4 7" xfId="16875"/>
    <cellStyle name="Normal 58 5 3 5" xfId="1172"/>
    <cellStyle name="Normal 58 5 3 5 2" xfId="3601"/>
    <cellStyle name="Normal 58 5 3 5 2 2" xfId="12737"/>
    <cellStyle name="Normal 58 5 3 5 2 2 2" xfId="22956"/>
    <cellStyle name="Normal 58 5 3 5 2 3" xfId="9158"/>
    <cellStyle name="Normal 58 5 3 5 2 4" xfId="17949"/>
    <cellStyle name="Normal 58 5 3 5 3" xfId="5264"/>
    <cellStyle name="Normal 58 5 3 5 3 2" xfId="14101"/>
    <cellStyle name="Normal 58 5 3 5 3 2 2" xfId="24352"/>
    <cellStyle name="Normal 58 5 3 5 3 3" xfId="10522"/>
    <cellStyle name="Normal 58 5 3 5 3 4" xfId="19345"/>
    <cellStyle name="Normal 58 5 3 5 4" xfId="1879"/>
    <cellStyle name="Normal 58 5 3 5 4 2" xfId="11247"/>
    <cellStyle name="Normal 58 5 3 5 4 3" xfId="21251"/>
    <cellStyle name="Normal 58 5 3 5 5" xfId="6719"/>
    <cellStyle name="Normal 58 5 3 5 5 2" xfId="15546"/>
    <cellStyle name="Normal 58 5 3 5 5 3" xfId="25797"/>
    <cellStyle name="Normal 58 5 3 5 6" xfId="8165"/>
    <cellStyle name="Normal 58 5 3 5 6 2" xfId="20555"/>
    <cellStyle name="Normal 58 5 3 5 7" xfId="16244"/>
    <cellStyle name="Normal 58 5 3 6" xfId="2773"/>
    <cellStyle name="Normal 58 5 3 6 2" xfId="12090"/>
    <cellStyle name="Normal 58 5 3 6 2 2" xfId="22134"/>
    <cellStyle name="Normal 58 5 3 6 3" xfId="8544"/>
    <cellStyle name="Normal 58 5 3 6 4" xfId="17127"/>
    <cellStyle name="Normal 58 5 3 7" xfId="4220"/>
    <cellStyle name="Normal 58 5 3 7 2" xfId="13058"/>
    <cellStyle name="Normal 58 5 3 7 2 2" xfId="23309"/>
    <cellStyle name="Normal 58 5 3 7 3" xfId="9479"/>
    <cellStyle name="Normal 58 5 3 7 4" xfId="18302"/>
    <cellStyle name="Normal 58 5 3 8" xfId="1492"/>
    <cellStyle name="Normal 58 5 3 8 2" xfId="10869"/>
    <cellStyle name="Normal 58 5 3 8 3" xfId="20873"/>
    <cellStyle name="Normal 58 5 3 9" xfId="5676"/>
    <cellStyle name="Normal 58 5 3 9 2" xfId="14503"/>
    <cellStyle name="Normal 58 5 3 9 3" xfId="24754"/>
    <cellStyle name="Normal 58 5 3_Degree data" xfId="4025"/>
    <cellStyle name="Normal 58 5 4" xfId="500"/>
    <cellStyle name="Normal 58 5 4 2" xfId="921"/>
    <cellStyle name="Normal 58 5 4 2 2" xfId="3406"/>
    <cellStyle name="Normal 58 5 4 2 2 2" xfId="12548"/>
    <cellStyle name="Normal 58 5 4 2 2 2 2" xfId="22767"/>
    <cellStyle name="Normal 58 5 4 2 2 3" xfId="8970"/>
    <cellStyle name="Normal 58 5 4 2 2 4" xfId="17760"/>
    <cellStyle name="Normal 58 5 4 2 3" xfId="4735"/>
    <cellStyle name="Normal 58 5 4 2 3 2" xfId="13573"/>
    <cellStyle name="Normal 58 5 4 2 3 2 2" xfId="23824"/>
    <cellStyle name="Normal 58 5 4 2 3 3" xfId="9994"/>
    <cellStyle name="Normal 58 5 4 2 3 4" xfId="18817"/>
    <cellStyle name="Normal 58 5 4 2 4" xfId="2515"/>
    <cellStyle name="Normal 58 5 4 2 4 2" xfId="11880"/>
    <cellStyle name="Normal 58 5 4 2 4 3" xfId="21884"/>
    <cellStyle name="Normal 58 5 4 2 5" xfId="6191"/>
    <cellStyle name="Normal 58 5 4 2 5 2" xfId="15018"/>
    <cellStyle name="Normal 58 5 4 2 5 3" xfId="25269"/>
    <cellStyle name="Normal 58 5 4 2 6" xfId="7636"/>
    <cellStyle name="Normal 58 5 4 2 6 2" xfId="20366"/>
    <cellStyle name="Normal 58 5 4 2 7" xfId="16877"/>
    <cellStyle name="Normal 58 5 4 3" xfId="1272"/>
    <cellStyle name="Normal 58 5 4 3 2" xfId="3701"/>
    <cellStyle name="Normal 58 5 4 3 2 2" xfId="12837"/>
    <cellStyle name="Normal 58 5 4 3 2 2 2" xfId="23056"/>
    <cellStyle name="Normal 58 5 4 3 2 3" xfId="9258"/>
    <cellStyle name="Normal 58 5 4 3 2 4" xfId="18049"/>
    <cellStyle name="Normal 58 5 4 3 3" xfId="5084"/>
    <cellStyle name="Normal 58 5 4 3 3 2" xfId="13921"/>
    <cellStyle name="Normal 58 5 4 3 3 2 2" xfId="24172"/>
    <cellStyle name="Normal 58 5 4 3 3 3" xfId="10342"/>
    <cellStyle name="Normal 58 5 4 3 3 4" xfId="19165"/>
    <cellStyle name="Normal 58 5 4 3 4" xfId="2095"/>
    <cellStyle name="Normal 58 5 4 3 4 2" xfId="11460"/>
    <cellStyle name="Normal 58 5 4 3 4 3" xfId="21464"/>
    <cellStyle name="Normal 58 5 4 3 5" xfId="6539"/>
    <cellStyle name="Normal 58 5 4 3 5 2" xfId="15366"/>
    <cellStyle name="Normal 58 5 4 3 5 3" xfId="25617"/>
    <cellStyle name="Normal 58 5 4 3 6" xfId="7985"/>
    <cellStyle name="Normal 58 5 4 3 6 2" xfId="20655"/>
    <cellStyle name="Normal 58 5 4 3 7" xfId="16457"/>
    <cellStyle name="Normal 58 5 4 4" xfId="2986"/>
    <cellStyle name="Normal 58 5 4 4 2" xfId="5364"/>
    <cellStyle name="Normal 58 5 4 4 2 2" xfId="14201"/>
    <cellStyle name="Normal 58 5 4 4 2 2 2" xfId="24452"/>
    <cellStyle name="Normal 58 5 4 4 2 3" xfId="10622"/>
    <cellStyle name="Normal 58 5 4 4 2 4" xfId="19445"/>
    <cellStyle name="Normal 58 5 4 4 3" xfId="6819"/>
    <cellStyle name="Normal 58 5 4 4 3 2" xfId="15646"/>
    <cellStyle name="Normal 58 5 4 4 3 3" xfId="25897"/>
    <cellStyle name="Normal 58 5 4 4 4" xfId="8265"/>
    <cellStyle name="Normal 58 5 4 4 4 2" xfId="22347"/>
    <cellStyle name="Normal 58 5 4 4 5" xfId="17340"/>
    <cellStyle name="Normal 58 5 4 5" xfId="4320"/>
    <cellStyle name="Normal 58 5 4 5 2" xfId="13158"/>
    <cellStyle name="Normal 58 5 4 5 2 2" xfId="23409"/>
    <cellStyle name="Normal 58 5 4 5 3" xfId="9579"/>
    <cellStyle name="Normal 58 5 4 5 4" xfId="18402"/>
    <cellStyle name="Normal 58 5 4 6" xfId="1592"/>
    <cellStyle name="Normal 58 5 4 6 2" xfId="10969"/>
    <cellStyle name="Normal 58 5 4 6 3" xfId="20973"/>
    <cellStyle name="Normal 58 5 4 7" xfId="5776"/>
    <cellStyle name="Normal 58 5 4 7 2" xfId="14603"/>
    <cellStyle name="Normal 58 5 4 7 3" xfId="24854"/>
    <cellStyle name="Normal 58 5 4 8" xfId="7220"/>
    <cellStyle name="Normal 58 5 4 8 2" xfId="19946"/>
    <cellStyle name="Normal 58 5 4 9" xfId="15966"/>
    <cellStyle name="Normal 58 5 4_Degree data" xfId="4027"/>
    <cellStyle name="Normal 58 5 5" xfId="343"/>
    <cellStyle name="Normal 58 5 5 2" xfId="922"/>
    <cellStyle name="Normal 58 5 5 2 2" xfId="3407"/>
    <cellStyle name="Normal 58 5 5 2 2 2" xfId="12549"/>
    <cellStyle name="Normal 58 5 5 2 2 2 2" xfId="22768"/>
    <cellStyle name="Normal 58 5 5 2 2 3" xfId="8971"/>
    <cellStyle name="Normal 58 5 5 2 2 4" xfId="17761"/>
    <cellStyle name="Normal 58 5 5 2 3" xfId="4736"/>
    <cellStyle name="Normal 58 5 5 2 3 2" xfId="13574"/>
    <cellStyle name="Normal 58 5 5 2 3 2 2" xfId="23825"/>
    <cellStyle name="Normal 58 5 5 2 3 3" xfId="9995"/>
    <cellStyle name="Normal 58 5 5 2 3 4" xfId="18818"/>
    <cellStyle name="Normal 58 5 5 2 4" xfId="2516"/>
    <cellStyle name="Normal 58 5 5 2 4 2" xfId="11881"/>
    <cellStyle name="Normal 58 5 5 2 4 3" xfId="21885"/>
    <cellStyle name="Normal 58 5 5 2 5" xfId="6192"/>
    <cellStyle name="Normal 58 5 5 2 5 2" xfId="15019"/>
    <cellStyle name="Normal 58 5 5 2 5 3" xfId="25270"/>
    <cellStyle name="Normal 58 5 5 2 6" xfId="7637"/>
    <cellStyle name="Normal 58 5 5 2 6 2" xfId="20367"/>
    <cellStyle name="Normal 58 5 5 2 7" xfId="16878"/>
    <cellStyle name="Normal 58 5 5 3" xfId="1115"/>
    <cellStyle name="Normal 58 5 5 3 2" xfId="3544"/>
    <cellStyle name="Normal 58 5 5 3 2 2" xfId="12680"/>
    <cellStyle name="Normal 58 5 5 3 2 2 2" xfId="22899"/>
    <cellStyle name="Normal 58 5 5 3 2 3" xfId="9101"/>
    <cellStyle name="Normal 58 5 5 3 2 4" xfId="17892"/>
    <cellStyle name="Normal 58 5 5 3 3" xfId="5085"/>
    <cellStyle name="Normal 58 5 5 3 3 2" xfId="13922"/>
    <cellStyle name="Normal 58 5 5 3 3 2 2" xfId="24173"/>
    <cellStyle name="Normal 58 5 5 3 3 3" xfId="10343"/>
    <cellStyle name="Normal 58 5 5 3 3 4" xfId="19166"/>
    <cellStyle name="Normal 58 5 5 3 4" xfId="2605"/>
    <cellStyle name="Normal 58 5 5 3 4 2" xfId="11969"/>
    <cellStyle name="Normal 58 5 5 3 4 3" xfId="21973"/>
    <cellStyle name="Normal 58 5 5 3 5" xfId="6540"/>
    <cellStyle name="Normal 58 5 5 3 5 2" xfId="15367"/>
    <cellStyle name="Normal 58 5 5 3 5 3" xfId="25618"/>
    <cellStyle name="Normal 58 5 5 3 6" xfId="7986"/>
    <cellStyle name="Normal 58 5 5 3 6 2" xfId="20498"/>
    <cellStyle name="Normal 58 5 5 3 7" xfId="16966"/>
    <cellStyle name="Normal 58 5 5 4" xfId="2829"/>
    <cellStyle name="Normal 58 5 5 4 2" xfId="5207"/>
    <cellStyle name="Normal 58 5 5 4 2 2" xfId="14044"/>
    <cellStyle name="Normal 58 5 5 4 2 2 2" xfId="24295"/>
    <cellStyle name="Normal 58 5 5 4 2 3" xfId="10465"/>
    <cellStyle name="Normal 58 5 5 4 2 4" xfId="19288"/>
    <cellStyle name="Normal 58 5 5 4 3" xfId="6662"/>
    <cellStyle name="Normal 58 5 5 4 3 2" xfId="15489"/>
    <cellStyle name="Normal 58 5 5 4 3 3" xfId="25740"/>
    <cellStyle name="Normal 58 5 5 4 4" xfId="8108"/>
    <cellStyle name="Normal 58 5 5 4 4 2" xfId="22190"/>
    <cellStyle name="Normal 58 5 5 4 5" xfId="17183"/>
    <cellStyle name="Normal 58 5 5 5" xfId="4161"/>
    <cellStyle name="Normal 58 5 5 5 2" xfId="12999"/>
    <cellStyle name="Normal 58 5 5 5 2 2" xfId="23250"/>
    <cellStyle name="Normal 58 5 5 5 3" xfId="9420"/>
    <cellStyle name="Normal 58 5 5 5 4" xfId="18243"/>
    <cellStyle name="Normal 58 5 5 6" xfId="1938"/>
    <cellStyle name="Normal 58 5 5 6 2" xfId="11303"/>
    <cellStyle name="Normal 58 5 5 6 3" xfId="21307"/>
    <cellStyle name="Normal 58 5 5 7" xfId="5619"/>
    <cellStyle name="Normal 58 5 5 7 2" xfId="14446"/>
    <cellStyle name="Normal 58 5 5 7 3" xfId="24697"/>
    <cellStyle name="Normal 58 5 5 8" xfId="7063"/>
    <cellStyle name="Normal 58 5 5 8 2" xfId="19789"/>
    <cellStyle name="Normal 58 5 5 9" xfId="16300"/>
    <cellStyle name="Normal 58 5 5_Degree data" xfId="4028"/>
    <cellStyle name="Normal 58 5 6" xfId="916"/>
    <cellStyle name="Normal 58 5 6 2" xfId="3401"/>
    <cellStyle name="Normal 58 5 6 2 2" xfId="12543"/>
    <cellStyle name="Normal 58 5 6 2 2 2" xfId="22762"/>
    <cellStyle name="Normal 58 5 6 2 3" xfId="8965"/>
    <cellStyle name="Normal 58 5 6 2 4" xfId="17755"/>
    <cellStyle name="Normal 58 5 6 3" xfId="4730"/>
    <cellStyle name="Normal 58 5 6 3 2" xfId="13568"/>
    <cellStyle name="Normal 58 5 6 3 2 2" xfId="23819"/>
    <cellStyle name="Normal 58 5 6 3 3" xfId="9989"/>
    <cellStyle name="Normal 58 5 6 3 4" xfId="18812"/>
    <cellStyle name="Normal 58 5 6 4" xfId="2510"/>
    <cellStyle name="Normal 58 5 6 4 2" xfId="11875"/>
    <cellStyle name="Normal 58 5 6 4 3" xfId="21879"/>
    <cellStyle name="Normal 58 5 6 5" xfId="6186"/>
    <cellStyle name="Normal 58 5 6 5 2" xfId="15013"/>
    <cellStyle name="Normal 58 5 6 5 3" xfId="25264"/>
    <cellStyle name="Normal 58 5 6 6" xfId="7631"/>
    <cellStyle name="Normal 58 5 6 6 2" xfId="20361"/>
    <cellStyle name="Normal 58 5 6 7" xfId="16872"/>
    <cellStyle name="Normal 58 5 7" xfId="1070"/>
    <cellStyle name="Normal 58 5 7 2" xfId="3499"/>
    <cellStyle name="Normal 58 5 7 2 2" xfId="12635"/>
    <cellStyle name="Normal 58 5 7 2 2 2" xfId="22854"/>
    <cellStyle name="Normal 58 5 7 2 3" xfId="9057"/>
    <cellStyle name="Normal 58 5 7 2 4" xfId="17847"/>
    <cellStyle name="Normal 58 5 7 3" xfId="5079"/>
    <cellStyle name="Normal 58 5 7 3 2" xfId="13916"/>
    <cellStyle name="Normal 58 5 7 3 2 2" xfId="24167"/>
    <cellStyle name="Normal 58 5 7 3 3" xfId="10337"/>
    <cellStyle name="Normal 58 5 7 3 4" xfId="19160"/>
    <cellStyle name="Normal 58 5 7 4" xfId="1772"/>
    <cellStyle name="Normal 58 5 7 4 2" xfId="11143"/>
    <cellStyle name="Normal 58 5 7 4 3" xfId="21147"/>
    <cellStyle name="Normal 58 5 7 5" xfId="6534"/>
    <cellStyle name="Normal 58 5 7 5 2" xfId="15361"/>
    <cellStyle name="Normal 58 5 7 5 3" xfId="25612"/>
    <cellStyle name="Normal 58 5 7 6" xfId="7980"/>
    <cellStyle name="Normal 58 5 7 6 2" xfId="20453"/>
    <cellStyle name="Normal 58 5 7 7" xfId="16140"/>
    <cellStyle name="Normal 58 5 8" xfId="2669"/>
    <cellStyle name="Normal 58 5 8 2" xfId="5162"/>
    <cellStyle name="Normal 58 5 8 2 2" xfId="13999"/>
    <cellStyle name="Normal 58 5 8 2 2 2" xfId="24250"/>
    <cellStyle name="Normal 58 5 8 2 3" xfId="10420"/>
    <cellStyle name="Normal 58 5 8 2 4" xfId="19243"/>
    <cellStyle name="Normal 58 5 8 3" xfId="6617"/>
    <cellStyle name="Normal 58 5 8 3 2" xfId="15444"/>
    <cellStyle name="Normal 58 5 8 3 3" xfId="25695"/>
    <cellStyle name="Normal 58 5 8 4" xfId="8063"/>
    <cellStyle name="Normal 58 5 8 4 2" xfId="22030"/>
    <cellStyle name="Normal 58 5 8 5" xfId="17023"/>
    <cellStyle name="Normal 58 5 9" xfId="4116"/>
    <cellStyle name="Normal 58 5 9 2" xfId="5574"/>
    <cellStyle name="Normal 58 5 9 2 2" xfId="14401"/>
    <cellStyle name="Normal 58 5 9 2 3" xfId="24652"/>
    <cellStyle name="Normal 58 5 9 3" xfId="7018"/>
    <cellStyle name="Normal 58 5 9 3 2" xfId="23205"/>
    <cellStyle name="Normal 58 5 9 4" xfId="18198"/>
    <cellStyle name="Normal 58 5_Degree data" xfId="4022"/>
    <cellStyle name="Normal 58 6" xfId="145"/>
    <cellStyle name="Normal 58 6 10" xfId="1413"/>
    <cellStyle name="Normal 58 6 10 2" xfId="10790"/>
    <cellStyle name="Normal 58 6 10 3" xfId="20794"/>
    <cellStyle name="Normal 58 6 11" xfId="5524"/>
    <cellStyle name="Normal 58 6 11 2" xfId="14351"/>
    <cellStyle name="Normal 58 6 11 3" xfId="24602"/>
    <cellStyle name="Normal 58 6 12" xfId="6964"/>
    <cellStyle name="Normal 58 6 12 2" xfId="19609"/>
    <cellStyle name="Normal 58 6 13" xfId="15787"/>
    <cellStyle name="Normal 58 6 2" xfId="195"/>
    <cellStyle name="Normal 58 6 2 10" xfId="7143"/>
    <cellStyle name="Normal 58 6 2 10 2" xfId="19652"/>
    <cellStyle name="Normal 58 6 2 11" xfId="15889"/>
    <cellStyle name="Normal 58 6 2 2" xfId="523"/>
    <cellStyle name="Normal 58 6 2 2 2" xfId="925"/>
    <cellStyle name="Normal 58 6 2 2 2 2" xfId="3410"/>
    <cellStyle name="Normal 58 6 2 2 2 2 2" xfId="12552"/>
    <cellStyle name="Normal 58 6 2 2 2 2 2 2" xfId="22771"/>
    <cellStyle name="Normal 58 6 2 2 2 2 3" xfId="8974"/>
    <cellStyle name="Normal 58 6 2 2 2 2 4" xfId="17764"/>
    <cellStyle name="Normal 58 6 2 2 2 3" xfId="4739"/>
    <cellStyle name="Normal 58 6 2 2 2 3 2" xfId="13577"/>
    <cellStyle name="Normal 58 6 2 2 2 3 2 2" xfId="23828"/>
    <cellStyle name="Normal 58 6 2 2 2 3 3" xfId="9998"/>
    <cellStyle name="Normal 58 6 2 2 2 3 4" xfId="18821"/>
    <cellStyle name="Normal 58 6 2 2 2 4" xfId="2519"/>
    <cellStyle name="Normal 58 6 2 2 2 4 2" xfId="11884"/>
    <cellStyle name="Normal 58 6 2 2 2 4 3" xfId="21888"/>
    <cellStyle name="Normal 58 6 2 2 2 5" xfId="6195"/>
    <cellStyle name="Normal 58 6 2 2 2 5 2" xfId="15022"/>
    <cellStyle name="Normal 58 6 2 2 2 5 3" xfId="25273"/>
    <cellStyle name="Normal 58 6 2 2 2 6" xfId="7640"/>
    <cellStyle name="Normal 58 6 2 2 2 6 2" xfId="20370"/>
    <cellStyle name="Normal 58 6 2 2 2 7" xfId="16881"/>
    <cellStyle name="Normal 58 6 2 2 3" xfId="1295"/>
    <cellStyle name="Normal 58 6 2 2 3 2" xfId="3724"/>
    <cellStyle name="Normal 58 6 2 2 3 2 2" xfId="12860"/>
    <cellStyle name="Normal 58 6 2 2 3 2 2 2" xfId="23079"/>
    <cellStyle name="Normal 58 6 2 2 3 2 3" xfId="9281"/>
    <cellStyle name="Normal 58 6 2 2 3 2 4" xfId="18072"/>
    <cellStyle name="Normal 58 6 2 2 3 3" xfId="5088"/>
    <cellStyle name="Normal 58 6 2 2 3 3 2" xfId="13925"/>
    <cellStyle name="Normal 58 6 2 2 3 3 2 2" xfId="24176"/>
    <cellStyle name="Normal 58 6 2 2 3 3 3" xfId="10346"/>
    <cellStyle name="Normal 58 6 2 2 3 3 4" xfId="19169"/>
    <cellStyle name="Normal 58 6 2 2 3 4" xfId="2118"/>
    <cellStyle name="Normal 58 6 2 2 3 4 2" xfId="11483"/>
    <cellStyle name="Normal 58 6 2 2 3 4 3" xfId="21487"/>
    <cellStyle name="Normal 58 6 2 2 3 5" xfId="6543"/>
    <cellStyle name="Normal 58 6 2 2 3 5 2" xfId="15370"/>
    <cellStyle name="Normal 58 6 2 2 3 5 3" xfId="25621"/>
    <cellStyle name="Normal 58 6 2 2 3 6" xfId="7989"/>
    <cellStyle name="Normal 58 6 2 2 3 6 2" xfId="20678"/>
    <cellStyle name="Normal 58 6 2 2 3 7" xfId="16480"/>
    <cellStyle name="Normal 58 6 2 2 4" xfId="3009"/>
    <cellStyle name="Normal 58 6 2 2 4 2" xfId="5387"/>
    <cellStyle name="Normal 58 6 2 2 4 2 2" xfId="14224"/>
    <cellStyle name="Normal 58 6 2 2 4 2 2 2" xfId="24475"/>
    <cellStyle name="Normal 58 6 2 2 4 2 3" xfId="10645"/>
    <cellStyle name="Normal 58 6 2 2 4 2 4" xfId="19468"/>
    <cellStyle name="Normal 58 6 2 2 4 3" xfId="6842"/>
    <cellStyle name="Normal 58 6 2 2 4 3 2" xfId="15669"/>
    <cellStyle name="Normal 58 6 2 2 4 3 3" xfId="25920"/>
    <cellStyle name="Normal 58 6 2 2 4 4" xfId="8288"/>
    <cellStyle name="Normal 58 6 2 2 4 4 2" xfId="22370"/>
    <cellStyle name="Normal 58 6 2 2 4 5" xfId="17363"/>
    <cellStyle name="Normal 58 6 2 2 5" xfId="4343"/>
    <cellStyle name="Normal 58 6 2 2 5 2" xfId="13181"/>
    <cellStyle name="Normal 58 6 2 2 5 2 2" xfId="23432"/>
    <cellStyle name="Normal 58 6 2 2 5 3" xfId="9602"/>
    <cellStyle name="Normal 58 6 2 2 5 4" xfId="18425"/>
    <cellStyle name="Normal 58 6 2 2 6" xfId="1615"/>
    <cellStyle name="Normal 58 6 2 2 6 2" xfId="10992"/>
    <cellStyle name="Normal 58 6 2 2 6 3" xfId="20996"/>
    <cellStyle name="Normal 58 6 2 2 7" xfId="5799"/>
    <cellStyle name="Normal 58 6 2 2 7 2" xfId="14626"/>
    <cellStyle name="Normal 58 6 2 2 7 3" xfId="24877"/>
    <cellStyle name="Normal 58 6 2 2 8" xfId="7243"/>
    <cellStyle name="Normal 58 6 2 2 8 2" xfId="19969"/>
    <cellStyle name="Normal 58 6 2 2 9" xfId="15989"/>
    <cellStyle name="Normal 58 6 2 2_Degree data" xfId="4031"/>
    <cellStyle name="Normal 58 6 2 3" xfId="423"/>
    <cellStyle name="Normal 58 6 2 3 2" xfId="2909"/>
    <cellStyle name="Normal 58 6 2 3 2 2" xfId="12197"/>
    <cellStyle name="Normal 58 6 2 3 2 2 2" xfId="22270"/>
    <cellStyle name="Normal 58 6 2 3 2 3" xfId="8457"/>
    <cellStyle name="Normal 58 6 2 3 2 4" xfId="17263"/>
    <cellStyle name="Normal 58 6 2 3 3" xfId="4738"/>
    <cellStyle name="Normal 58 6 2 3 3 2" xfId="13576"/>
    <cellStyle name="Normal 58 6 2 3 3 2 2" xfId="23827"/>
    <cellStyle name="Normal 58 6 2 3 3 3" xfId="9997"/>
    <cellStyle name="Normal 58 6 2 3 3 4" xfId="18820"/>
    <cellStyle name="Normal 58 6 2 3 4" xfId="2018"/>
    <cellStyle name="Normal 58 6 2 3 4 2" xfId="11383"/>
    <cellStyle name="Normal 58 6 2 3 4 3" xfId="21387"/>
    <cellStyle name="Normal 58 6 2 3 5" xfId="6194"/>
    <cellStyle name="Normal 58 6 2 3 5 2" xfId="15021"/>
    <cellStyle name="Normal 58 6 2 3 5 3" xfId="25272"/>
    <cellStyle name="Normal 58 6 2 3 6" xfId="7639"/>
    <cellStyle name="Normal 58 6 2 3 6 2" xfId="19869"/>
    <cellStyle name="Normal 58 6 2 3 7" xfId="16380"/>
    <cellStyle name="Normal 58 6 2 4" xfId="924"/>
    <cellStyle name="Normal 58 6 2 4 2" xfId="3409"/>
    <cellStyle name="Normal 58 6 2 4 2 2" xfId="12551"/>
    <cellStyle name="Normal 58 6 2 4 2 2 2" xfId="22770"/>
    <cellStyle name="Normal 58 6 2 4 2 3" xfId="8973"/>
    <cellStyle name="Normal 58 6 2 4 2 4" xfId="17763"/>
    <cellStyle name="Normal 58 6 2 4 3" xfId="5087"/>
    <cellStyle name="Normal 58 6 2 4 3 2" xfId="13924"/>
    <cellStyle name="Normal 58 6 2 4 3 2 2" xfId="24175"/>
    <cellStyle name="Normal 58 6 2 4 3 3" xfId="10345"/>
    <cellStyle name="Normal 58 6 2 4 3 4" xfId="19168"/>
    <cellStyle name="Normal 58 6 2 4 4" xfId="2518"/>
    <cellStyle name="Normal 58 6 2 4 4 2" xfId="11883"/>
    <cellStyle name="Normal 58 6 2 4 4 3" xfId="21887"/>
    <cellStyle name="Normal 58 6 2 4 5" xfId="6542"/>
    <cellStyle name="Normal 58 6 2 4 5 2" xfId="15369"/>
    <cellStyle name="Normal 58 6 2 4 5 3" xfId="25620"/>
    <cellStyle name="Normal 58 6 2 4 6" xfId="7988"/>
    <cellStyle name="Normal 58 6 2 4 6 2" xfId="20369"/>
    <cellStyle name="Normal 58 6 2 4 7" xfId="16880"/>
    <cellStyle name="Normal 58 6 2 5" xfId="1195"/>
    <cellStyle name="Normal 58 6 2 5 2" xfId="3624"/>
    <cellStyle name="Normal 58 6 2 5 2 2" xfId="12760"/>
    <cellStyle name="Normal 58 6 2 5 2 2 2" xfId="22979"/>
    <cellStyle name="Normal 58 6 2 5 2 3" xfId="9181"/>
    <cellStyle name="Normal 58 6 2 5 2 4" xfId="17972"/>
    <cellStyle name="Normal 58 6 2 5 3" xfId="5287"/>
    <cellStyle name="Normal 58 6 2 5 3 2" xfId="14124"/>
    <cellStyle name="Normal 58 6 2 5 3 2 2" xfId="24375"/>
    <cellStyle name="Normal 58 6 2 5 3 3" xfId="10545"/>
    <cellStyle name="Normal 58 6 2 5 3 4" xfId="19368"/>
    <cellStyle name="Normal 58 6 2 5 4" xfId="1797"/>
    <cellStyle name="Normal 58 6 2 5 4 2" xfId="11166"/>
    <cellStyle name="Normal 58 6 2 5 4 3" xfId="21170"/>
    <cellStyle name="Normal 58 6 2 5 5" xfId="6742"/>
    <cellStyle name="Normal 58 6 2 5 5 2" xfId="15569"/>
    <cellStyle name="Normal 58 6 2 5 5 3" xfId="25820"/>
    <cellStyle name="Normal 58 6 2 5 6" xfId="8188"/>
    <cellStyle name="Normal 58 6 2 5 6 2" xfId="20578"/>
    <cellStyle name="Normal 58 6 2 5 7" xfId="16163"/>
    <cellStyle name="Normal 58 6 2 6" xfId="2692"/>
    <cellStyle name="Normal 58 6 2 6 2" xfId="12009"/>
    <cellStyle name="Normal 58 6 2 6 2 2" xfId="22053"/>
    <cellStyle name="Normal 58 6 2 6 3" xfId="8563"/>
    <cellStyle name="Normal 58 6 2 6 4" xfId="17046"/>
    <cellStyle name="Normal 58 6 2 7" xfId="4243"/>
    <cellStyle name="Normal 58 6 2 7 2" xfId="13081"/>
    <cellStyle name="Normal 58 6 2 7 2 2" xfId="23332"/>
    <cellStyle name="Normal 58 6 2 7 3" xfId="9502"/>
    <cellStyle name="Normal 58 6 2 7 4" xfId="18325"/>
    <cellStyle name="Normal 58 6 2 8" xfId="1515"/>
    <cellStyle name="Normal 58 6 2 8 2" xfId="10892"/>
    <cellStyle name="Normal 58 6 2 8 3" xfId="20896"/>
    <cellStyle name="Normal 58 6 2 9" xfId="5699"/>
    <cellStyle name="Normal 58 6 2 9 2" xfId="14526"/>
    <cellStyle name="Normal 58 6 2 9 3" xfId="24777"/>
    <cellStyle name="Normal 58 6 2_Degree data" xfId="4030"/>
    <cellStyle name="Normal 58 6 3" xfId="262"/>
    <cellStyle name="Normal 58 6 3 10" xfId="7100"/>
    <cellStyle name="Normal 58 6 3 10 2" xfId="19714"/>
    <cellStyle name="Normal 58 6 3 11" xfId="15846"/>
    <cellStyle name="Normal 58 6 3 2" xfId="585"/>
    <cellStyle name="Normal 58 6 3 2 2" xfId="927"/>
    <cellStyle name="Normal 58 6 3 2 2 2" xfId="3412"/>
    <cellStyle name="Normal 58 6 3 2 2 2 2" xfId="12554"/>
    <cellStyle name="Normal 58 6 3 2 2 2 2 2" xfId="22773"/>
    <cellStyle name="Normal 58 6 3 2 2 2 3" xfId="8976"/>
    <cellStyle name="Normal 58 6 3 2 2 2 4" xfId="17766"/>
    <cellStyle name="Normal 58 6 3 2 2 3" xfId="4741"/>
    <cellStyle name="Normal 58 6 3 2 2 3 2" xfId="13579"/>
    <cellStyle name="Normal 58 6 3 2 2 3 2 2" xfId="23830"/>
    <cellStyle name="Normal 58 6 3 2 2 3 3" xfId="10000"/>
    <cellStyle name="Normal 58 6 3 2 2 3 4" xfId="18823"/>
    <cellStyle name="Normal 58 6 3 2 2 4" xfId="2521"/>
    <cellStyle name="Normal 58 6 3 2 2 4 2" xfId="11886"/>
    <cellStyle name="Normal 58 6 3 2 2 4 3" xfId="21890"/>
    <cellStyle name="Normal 58 6 3 2 2 5" xfId="6197"/>
    <cellStyle name="Normal 58 6 3 2 2 5 2" xfId="15024"/>
    <cellStyle name="Normal 58 6 3 2 2 5 3" xfId="25275"/>
    <cellStyle name="Normal 58 6 3 2 2 6" xfId="7642"/>
    <cellStyle name="Normal 58 6 3 2 2 6 2" xfId="20372"/>
    <cellStyle name="Normal 58 6 3 2 2 7" xfId="16883"/>
    <cellStyle name="Normal 58 6 3 2 3" xfId="1357"/>
    <cellStyle name="Normal 58 6 3 2 3 2" xfId="3786"/>
    <cellStyle name="Normal 58 6 3 2 3 2 2" xfId="12922"/>
    <cellStyle name="Normal 58 6 3 2 3 2 2 2" xfId="23141"/>
    <cellStyle name="Normal 58 6 3 2 3 2 3" xfId="9343"/>
    <cellStyle name="Normal 58 6 3 2 3 2 4" xfId="18134"/>
    <cellStyle name="Normal 58 6 3 2 3 3" xfId="5090"/>
    <cellStyle name="Normal 58 6 3 2 3 3 2" xfId="13927"/>
    <cellStyle name="Normal 58 6 3 2 3 3 2 2" xfId="24178"/>
    <cellStyle name="Normal 58 6 3 2 3 3 3" xfId="10348"/>
    <cellStyle name="Normal 58 6 3 2 3 3 4" xfId="19171"/>
    <cellStyle name="Normal 58 6 3 2 3 4" xfId="2180"/>
    <cellStyle name="Normal 58 6 3 2 3 4 2" xfId="11545"/>
    <cellStyle name="Normal 58 6 3 2 3 4 3" xfId="21549"/>
    <cellStyle name="Normal 58 6 3 2 3 5" xfId="6545"/>
    <cellStyle name="Normal 58 6 3 2 3 5 2" xfId="15372"/>
    <cellStyle name="Normal 58 6 3 2 3 5 3" xfId="25623"/>
    <cellStyle name="Normal 58 6 3 2 3 6" xfId="7991"/>
    <cellStyle name="Normal 58 6 3 2 3 6 2" xfId="20740"/>
    <cellStyle name="Normal 58 6 3 2 3 7" xfId="16542"/>
    <cellStyle name="Normal 58 6 3 2 4" xfId="3071"/>
    <cellStyle name="Normal 58 6 3 2 4 2" xfId="5449"/>
    <cellStyle name="Normal 58 6 3 2 4 2 2" xfId="14286"/>
    <cellStyle name="Normal 58 6 3 2 4 2 2 2" xfId="24537"/>
    <cellStyle name="Normal 58 6 3 2 4 2 3" xfId="10707"/>
    <cellStyle name="Normal 58 6 3 2 4 2 4" xfId="19530"/>
    <cellStyle name="Normal 58 6 3 2 4 3" xfId="6904"/>
    <cellStyle name="Normal 58 6 3 2 4 3 2" xfId="15731"/>
    <cellStyle name="Normal 58 6 3 2 4 3 3" xfId="25982"/>
    <cellStyle name="Normal 58 6 3 2 4 4" xfId="8350"/>
    <cellStyle name="Normal 58 6 3 2 4 4 2" xfId="22432"/>
    <cellStyle name="Normal 58 6 3 2 4 5" xfId="17425"/>
    <cellStyle name="Normal 58 6 3 2 5" xfId="4405"/>
    <cellStyle name="Normal 58 6 3 2 5 2" xfId="13243"/>
    <cellStyle name="Normal 58 6 3 2 5 2 2" xfId="23494"/>
    <cellStyle name="Normal 58 6 3 2 5 3" xfId="9664"/>
    <cellStyle name="Normal 58 6 3 2 5 4" xfId="18487"/>
    <cellStyle name="Normal 58 6 3 2 6" xfId="1677"/>
    <cellStyle name="Normal 58 6 3 2 6 2" xfId="11054"/>
    <cellStyle name="Normal 58 6 3 2 6 3" xfId="21058"/>
    <cellStyle name="Normal 58 6 3 2 7" xfId="5861"/>
    <cellStyle name="Normal 58 6 3 2 7 2" xfId="14688"/>
    <cellStyle name="Normal 58 6 3 2 7 3" xfId="24939"/>
    <cellStyle name="Normal 58 6 3 2 8" xfId="7305"/>
    <cellStyle name="Normal 58 6 3 2 8 2" xfId="20031"/>
    <cellStyle name="Normal 58 6 3 2 9" xfId="16051"/>
    <cellStyle name="Normal 58 6 3 2_Degree data" xfId="4033"/>
    <cellStyle name="Normal 58 6 3 3" xfId="380"/>
    <cellStyle name="Normal 58 6 3 3 2" xfId="2866"/>
    <cellStyle name="Normal 58 6 3 3 2 2" xfId="12154"/>
    <cellStyle name="Normal 58 6 3 3 2 2 2" xfId="22227"/>
    <cellStyle name="Normal 58 6 3 3 2 3" xfId="8530"/>
    <cellStyle name="Normal 58 6 3 3 2 4" xfId="17220"/>
    <cellStyle name="Normal 58 6 3 3 3" xfId="4740"/>
    <cellStyle name="Normal 58 6 3 3 3 2" xfId="13578"/>
    <cellStyle name="Normal 58 6 3 3 3 2 2" xfId="23829"/>
    <cellStyle name="Normal 58 6 3 3 3 3" xfId="9999"/>
    <cellStyle name="Normal 58 6 3 3 3 4" xfId="18822"/>
    <cellStyle name="Normal 58 6 3 3 4" xfId="1975"/>
    <cellStyle name="Normal 58 6 3 3 4 2" xfId="11340"/>
    <cellStyle name="Normal 58 6 3 3 4 3" xfId="21344"/>
    <cellStyle name="Normal 58 6 3 3 5" xfId="6196"/>
    <cellStyle name="Normal 58 6 3 3 5 2" xfId="15023"/>
    <cellStyle name="Normal 58 6 3 3 5 3" xfId="25274"/>
    <cellStyle name="Normal 58 6 3 3 6" xfId="7641"/>
    <cellStyle name="Normal 58 6 3 3 6 2" xfId="19826"/>
    <cellStyle name="Normal 58 6 3 3 7" xfId="16337"/>
    <cellStyle name="Normal 58 6 3 4" xfId="926"/>
    <cellStyle name="Normal 58 6 3 4 2" xfId="3411"/>
    <cellStyle name="Normal 58 6 3 4 2 2" xfId="12553"/>
    <cellStyle name="Normal 58 6 3 4 2 2 2" xfId="22772"/>
    <cellStyle name="Normal 58 6 3 4 2 3" xfId="8975"/>
    <cellStyle name="Normal 58 6 3 4 2 4" xfId="17765"/>
    <cellStyle name="Normal 58 6 3 4 3" xfId="5089"/>
    <cellStyle name="Normal 58 6 3 4 3 2" xfId="13926"/>
    <cellStyle name="Normal 58 6 3 4 3 2 2" xfId="24177"/>
    <cellStyle name="Normal 58 6 3 4 3 3" xfId="10347"/>
    <cellStyle name="Normal 58 6 3 4 3 4" xfId="19170"/>
    <cellStyle name="Normal 58 6 3 4 4" xfId="2520"/>
    <cellStyle name="Normal 58 6 3 4 4 2" xfId="11885"/>
    <cellStyle name="Normal 58 6 3 4 4 3" xfId="21889"/>
    <cellStyle name="Normal 58 6 3 4 5" xfId="6544"/>
    <cellStyle name="Normal 58 6 3 4 5 2" xfId="15371"/>
    <cellStyle name="Normal 58 6 3 4 5 3" xfId="25622"/>
    <cellStyle name="Normal 58 6 3 4 6" xfId="7990"/>
    <cellStyle name="Normal 58 6 3 4 6 2" xfId="20371"/>
    <cellStyle name="Normal 58 6 3 4 7" xfId="16882"/>
    <cellStyle name="Normal 58 6 3 5" xfId="1152"/>
    <cellStyle name="Normal 58 6 3 5 2" xfId="3581"/>
    <cellStyle name="Normal 58 6 3 5 2 2" xfId="12717"/>
    <cellStyle name="Normal 58 6 3 5 2 2 2" xfId="22936"/>
    <cellStyle name="Normal 58 6 3 5 2 3" xfId="9138"/>
    <cellStyle name="Normal 58 6 3 5 2 4" xfId="17929"/>
    <cellStyle name="Normal 58 6 3 5 3" xfId="5244"/>
    <cellStyle name="Normal 58 6 3 5 3 2" xfId="14081"/>
    <cellStyle name="Normal 58 6 3 5 3 2 2" xfId="24332"/>
    <cellStyle name="Normal 58 6 3 5 3 3" xfId="10502"/>
    <cellStyle name="Normal 58 6 3 5 3 4" xfId="19325"/>
    <cellStyle name="Normal 58 6 3 5 4" xfId="1860"/>
    <cellStyle name="Normal 58 6 3 5 4 2" xfId="11228"/>
    <cellStyle name="Normal 58 6 3 5 4 3" xfId="21232"/>
    <cellStyle name="Normal 58 6 3 5 5" xfId="6699"/>
    <cellStyle name="Normal 58 6 3 5 5 2" xfId="15526"/>
    <cellStyle name="Normal 58 6 3 5 5 3" xfId="25777"/>
    <cellStyle name="Normal 58 6 3 5 6" xfId="8145"/>
    <cellStyle name="Normal 58 6 3 5 6 2" xfId="20535"/>
    <cellStyle name="Normal 58 6 3 5 7" xfId="16225"/>
    <cellStyle name="Normal 58 6 3 6" xfId="2754"/>
    <cellStyle name="Normal 58 6 3 6 2" xfId="12071"/>
    <cellStyle name="Normal 58 6 3 6 2 2" xfId="22115"/>
    <cellStyle name="Normal 58 6 3 6 3" xfId="8550"/>
    <cellStyle name="Normal 58 6 3 6 4" xfId="17108"/>
    <cellStyle name="Normal 58 6 3 7" xfId="4200"/>
    <cellStyle name="Normal 58 6 3 7 2" xfId="13038"/>
    <cellStyle name="Normal 58 6 3 7 2 2" xfId="23289"/>
    <cellStyle name="Normal 58 6 3 7 3" xfId="9459"/>
    <cellStyle name="Normal 58 6 3 7 4" xfId="18282"/>
    <cellStyle name="Normal 58 6 3 8" xfId="1472"/>
    <cellStyle name="Normal 58 6 3 8 2" xfId="10849"/>
    <cellStyle name="Normal 58 6 3 8 3" xfId="20853"/>
    <cellStyle name="Normal 58 6 3 9" xfId="5656"/>
    <cellStyle name="Normal 58 6 3 9 2" xfId="14483"/>
    <cellStyle name="Normal 58 6 3 9 3" xfId="24734"/>
    <cellStyle name="Normal 58 6 3_Degree data" xfId="4032"/>
    <cellStyle name="Normal 58 6 4" xfId="480"/>
    <cellStyle name="Normal 58 6 4 2" xfId="928"/>
    <cellStyle name="Normal 58 6 4 2 2" xfId="3413"/>
    <cellStyle name="Normal 58 6 4 2 2 2" xfId="12555"/>
    <cellStyle name="Normal 58 6 4 2 2 2 2" xfId="22774"/>
    <cellStyle name="Normal 58 6 4 2 2 3" xfId="8977"/>
    <cellStyle name="Normal 58 6 4 2 2 4" xfId="17767"/>
    <cellStyle name="Normal 58 6 4 2 3" xfId="4742"/>
    <cellStyle name="Normal 58 6 4 2 3 2" xfId="13580"/>
    <cellStyle name="Normal 58 6 4 2 3 2 2" xfId="23831"/>
    <cellStyle name="Normal 58 6 4 2 3 3" xfId="10001"/>
    <cellStyle name="Normal 58 6 4 2 3 4" xfId="18824"/>
    <cellStyle name="Normal 58 6 4 2 4" xfId="2522"/>
    <cellStyle name="Normal 58 6 4 2 4 2" xfId="11887"/>
    <cellStyle name="Normal 58 6 4 2 4 3" xfId="21891"/>
    <cellStyle name="Normal 58 6 4 2 5" xfId="6198"/>
    <cellStyle name="Normal 58 6 4 2 5 2" xfId="15025"/>
    <cellStyle name="Normal 58 6 4 2 5 3" xfId="25276"/>
    <cellStyle name="Normal 58 6 4 2 6" xfId="7643"/>
    <cellStyle name="Normal 58 6 4 2 6 2" xfId="20373"/>
    <cellStyle name="Normal 58 6 4 2 7" xfId="16884"/>
    <cellStyle name="Normal 58 6 4 3" xfId="1252"/>
    <cellStyle name="Normal 58 6 4 3 2" xfId="3681"/>
    <cellStyle name="Normal 58 6 4 3 2 2" xfId="12817"/>
    <cellStyle name="Normal 58 6 4 3 2 2 2" xfId="23036"/>
    <cellStyle name="Normal 58 6 4 3 2 3" xfId="9238"/>
    <cellStyle name="Normal 58 6 4 3 2 4" xfId="18029"/>
    <cellStyle name="Normal 58 6 4 3 3" xfId="5091"/>
    <cellStyle name="Normal 58 6 4 3 3 2" xfId="13928"/>
    <cellStyle name="Normal 58 6 4 3 3 2 2" xfId="24179"/>
    <cellStyle name="Normal 58 6 4 3 3 3" xfId="10349"/>
    <cellStyle name="Normal 58 6 4 3 3 4" xfId="19172"/>
    <cellStyle name="Normal 58 6 4 3 4" xfId="2075"/>
    <cellStyle name="Normal 58 6 4 3 4 2" xfId="11440"/>
    <cellStyle name="Normal 58 6 4 3 4 3" xfId="21444"/>
    <cellStyle name="Normal 58 6 4 3 5" xfId="6546"/>
    <cellStyle name="Normal 58 6 4 3 5 2" xfId="15373"/>
    <cellStyle name="Normal 58 6 4 3 5 3" xfId="25624"/>
    <cellStyle name="Normal 58 6 4 3 6" xfId="7992"/>
    <cellStyle name="Normal 58 6 4 3 6 2" xfId="20635"/>
    <cellStyle name="Normal 58 6 4 3 7" xfId="16437"/>
    <cellStyle name="Normal 58 6 4 4" xfId="2966"/>
    <cellStyle name="Normal 58 6 4 4 2" xfId="5344"/>
    <cellStyle name="Normal 58 6 4 4 2 2" xfId="14181"/>
    <cellStyle name="Normal 58 6 4 4 2 2 2" xfId="24432"/>
    <cellStyle name="Normal 58 6 4 4 2 3" xfId="10602"/>
    <cellStyle name="Normal 58 6 4 4 2 4" xfId="19425"/>
    <cellStyle name="Normal 58 6 4 4 3" xfId="6799"/>
    <cellStyle name="Normal 58 6 4 4 3 2" xfId="15626"/>
    <cellStyle name="Normal 58 6 4 4 3 3" xfId="25877"/>
    <cellStyle name="Normal 58 6 4 4 4" xfId="8245"/>
    <cellStyle name="Normal 58 6 4 4 4 2" xfId="22327"/>
    <cellStyle name="Normal 58 6 4 4 5" xfId="17320"/>
    <cellStyle name="Normal 58 6 4 5" xfId="4300"/>
    <cellStyle name="Normal 58 6 4 5 2" xfId="13138"/>
    <cellStyle name="Normal 58 6 4 5 2 2" xfId="23389"/>
    <cellStyle name="Normal 58 6 4 5 3" xfId="9559"/>
    <cellStyle name="Normal 58 6 4 5 4" xfId="18382"/>
    <cellStyle name="Normal 58 6 4 6" xfId="1572"/>
    <cellStyle name="Normal 58 6 4 6 2" xfId="10949"/>
    <cellStyle name="Normal 58 6 4 6 3" xfId="20953"/>
    <cellStyle name="Normal 58 6 4 7" xfId="5756"/>
    <cellStyle name="Normal 58 6 4 7 2" xfId="14583"/>
    <cellStyle name="Normal 58 6 4 7 3" xfId="24834"/>
    <cellStyle name="Normal 58 6 4 8" xfId="7200"/>
    <cellStyle name="Normal 58 6 4 8 2" xfId="19926"/>
    <cellStyle name="Normal 58 6 4 9" xfId="15946"/>
    <cellStyle name="Normal 58 6 4_Degree data" xfId="4034"/>
    <cellStyle name="Normal 58 6 5" xfId="321"/>
    <cellStyle name="Normal 58 6 5 2" xfId="2807"/>
    <cellStyle name="Normal 58 6 5 2 2" xfId="12111"/>
    <cellStyle name="Normal 58 6 5 2 2 2" xfId="22168"/>
    <cellStyle name="Normal 58 6 5 2 3" xfId="8630"/>
    <cellStyle name="Normal 58 6 5 2 4" xfId="17161"/>
    <cellStyle name="Normal 58 6 5 3" xfId="4737"/>
    <cellStyle name="Normal 58 6 5 3 2" xfId="13575"/>
    <cellStyle name="Normal 58 6 5 3 2 2" xfId="23826"/>
    <cellStyle name="Normal 58 6 5 3 3" xfId="9996"/>
    <cellStyle name="Normal 58 6 5 3 4" xfId="18819"/>
    <cellStyle name="Normal 58 6 5 4" xfId="1916"/>
    <cellStyle name="Normal 58 6 5 4 2" xfId="11281"/>
    <cellStyle name="Normal 58 6 5 4 3" xfId="21285"/>
    <cellStyle name="Normal 58 6 5 5" xfId="6193"/>
    <cellStyle name="Normal 58 6 5 5 2" xfId="15020"/>
    <cellStyle name="Normal 58 6 5 5 3" xfId="25271"/>
    <cellStyle name="Normal 58 6 5 6" xfId="7638"/>
    <cellStyle name="Normal 58 6 5 6 2" xfId="19767"/>
    <cellStyle name="Normal 58 6 5 7" xfId="16278"/>
    <cellStyle name="Normal 58 6 6" xfId="923"/>
    <cellStyle name="Normal 58 6 6 2" xfId="3408"/>
    <cellStyle name="Normal 58 6 6 2 2" xfId="12550"/>
    <cellStyle name="Normal 58 6 6 2 2 2" xfId="22769"/>
    <cellStyle name="Normal 58 6 6 2 3" xfId="8972"/>
    <cellStyle name="Normal 58 6 6 2 4" xfId="17762"/>
    <cellStyle name="Normal 58 6 6 3" xfId="5086"/>
    <cellStyle name="Normal 58 6 6 3 2" xfId="13923"/>
    <cellStyle name="Normal 58 6 6 3 2 2" xfId="24174"/>
    <cellStyle name="Normal 58 6 6 3 3" xfId="10344"/>
    <cellStyle name="Normal 58 6 6 3 4" xfId="19167"/>
    <cellStyle name="Normal 58 6 6 4" xfId="2517"/>
    <cellStyle name="Normal 58 6 6 4 2" xfId="11882"/>
    <cellStyle name="Normal 58 6 6 4 3" xfId="21886"/>
    <cellStyle name="Normal 58 6 6 5" xfId="6541"/>
    <cellStyle name="Normal 58 6 6 5 2" xfId="15368"/>
    <cellStyle name="Normal 58 6 6 5 3" xfId="25619"/>
    <cellStyle name="Normal 58 6 6 6" xfId="7987"/>
    <cellStyle name="Normal 58 6 6 6 2" xfId="20368"/>
    <cellStyle name="Normal 58 6 6 7" xfId="16879"/>
    <cellStyle name="Normal 58 6 7" xfId="1093"/>
    <cellStyle name="Normal 58 6 7 2" xfId="3522"/>
    <cellStyle name="Normal 58 6 7 2 2" xfId="12658"/>
    <cellStyle name="Normal 58 6 7 2 2 2" xfId="22877"/>
    <cellStyle name="Normal 58 6 7 2 3" xfId="9080"/>
    <cellStyle name="Normal 58 6 7 2 4" xfId="17870"/>
    <cellStyle name="Normal 58 6 7 3" xfId="5185"/>
    <cellStyle name="Normal 58 6 7 3 2" xfId="14022"/>
    <cellStyle name="Normal 58 6 7 3 2 2" xfId="24273"/>
    <cellStyle name="Normal 58 6 7 3 3" xfId="10443"/>
    <cellStyle name="Normal 58 6 7 3 4" xfId="19266"/>
    <cellStyle name="Normal 58 6 7 4" xfId="1751"/>
    <cellStyle name="Normal 58 6 7 4 2" xfId="11122"/>
    <cellStyle name="Normal 58 6 7 4 3" xfId="21126"/>
    <cellStyle name="Normal 58 6 7 5" xfId="6640"/>
    <cellStyle name="Normal 58 6 7 5 2" xfId="15467"/>
    <cellStyle name="Normal 58 6 7 5 3" xfId="25718"/>
    <cellStyle name="Normal 58 6 7 6" xfId="8086"/>
    <cellStyle name="Normal 58 6 7 6 2" xfId="20476"/>
    <cellStyle name="Normal 58 6 7 7" xfId="16119"/>
    <cellStyle name="Normal 58 6 8" xfId="2649"/>
    <cellStyle name="Normal 58 6 8 2" xfId="5597"/>
    <cellStyle name="Normal 58 6 8 2 2" xfId="14424"/>
    <cellStyle name="Normal 58 6 8 2 3" xfId="24675"/>
    <cellStyle name="Normal 58 6 8 3" xfId="7041"/>
    <cellStyle name="Normal 58 6 8 3 2" xfId="22010"/>
    <cellStyle name="Normal 58 6 8 4" xfId="17003"/>
    <cellStyle name="Normal 58 6 9" xfId="4139"/>
    <cellStyle name="Normal 58 6 9 2" xfId="12977"/>
    <cellStyle name="Normal 58 6 9 2 2" xfId="23228"/>
    <cellStyle name="Normal 58 6 9 3" xfId="9398"/>
    <cellStyle name="Normal 58 6 9 4" xfId="18221"/>
    <cellStyle name="Normal 58 6_Degree data" xfId="4029"/>
    <cellStyle name="Normal 58 7" xfId="178"/>
    <cellStyle name="Normal 58 7 10" xfId="7126"/>
    <cellStyle name="Normal 58 7 10 2" xfId="19635"/>
    <cellStyle name="Normal 58 7 11" xfId="15872"/>
    <cellStyle name="Normal 58 7 2" xfId="506"/>
    <cellStyle name="Normal 58 7 2 2" xfId="930"/>
    <cellStyle name="Normal 58 7 2 2 2" xfId="3415"/>
    <cellStyle name="Normal 58 7 2 2 2 2" xfId="12557"/>
    <cellStyle name="Normal 58 7 2 2 2 2 2" xfId="22776"/>
    <cellStyle name="Normal 58 7 2 2 2 3" xfId="8979"/>
    <cellStyle name="Normal 58 7 2 2 2 4" xfId="17769"/>
    <cellStyle name="Normal 58 7 2 2 3" xfId="4744"/>
    <cellStyle name="Normal 58 7 2 2 3 2" xfId="13582"/>
    <cellStyle name="Normal 58 7 2 2 3 2 2" xfId="23833"/>
    <cellStyle name="Normal 58 7 2 2 3 3" xfId="10003"/>
    <cellStyle name="Normal 58 7 2 2 3 4" xfId="18826"/>
    <cellStyle name="Normal 58 7 2 2 4" xfId="2524"/>
    <cellStyle name="Normal 58 7 2 2 4 2" xfId="11889"/>
    <cellStyle name="Normal 58 7 2 2 4 3" xfId="21893"/>
    <cellStyle name="Normal 58 7 2 2 5" xfId="6200"/>
    <cellStyle name="Normal 58 7 2 2 5 2" xfId="15027"/>
    <cellStyle name="Normal 58 7 2 2 5 3" xfId="25278"/>
    <cellStyle name="Normal 58 7 2 2 6" xfId="7645"/>
    <cellStyle name="Normal 58 7 2 2 6 2" xfId="20375"/>
    <cellStyle name="Normal 58 7 2 2 7" xfId="16886"/>
    <cellStyle name="Normal 58 7 2 3" xfId="1278"/>
    <cellStyle name="Normal 58 7 2 3 2" xfId="3707"/>
    <cellStyle name="Normal 58 7 2 3 2 2" xfId="12843"/>
    <cellStyle name="Normal 58 7 2 3 2 2 2" xfId="23062"/>
    <cellStyle name="Normal 58 7 2 3 2 3" xfId="9264"/>
    <cellStyle name="Normal 58 7 2 3 2 4" xfId="18055"/>
    <cellStyle name="Normal 58 7 2 3 3" xfId="5093"/>
    <cellStyle name="Normal 58 7 2 3 3 2" xfId="13930"/>
    <cellStyle name="Normal 58 7 2 3 3 2 2" xfId="24181"/>
    <cellStyle name="Normal 58 7 2 3 3 3" xfId="10351"/>
    <cellStyle name="Normal 58 7 2 3 3 4" xfId="19174"/>
    <cellStyle name="Normal 58 7 2 3 4" xfId="2101"/>
    <cellStyle name="Normal 58 7 2 3 4 2" xfId="11466"/>
    <cellStyle name="Normal 58 7 2 3 4 3" xfId="21470"/>
    <cellStyle name="Normal 58 7 2 3 5" xfId="6548"/>
    <cellStyle name="Normal 58 7 2 3 5 2" xfId="15375"/>
    <cellStyle name="Normal 58 7 2 3 5 3" xfId="25626"/>
    <cellStyle name="Normal 58 7 2 3 6" xfId="7994"/>
    <cellStyle name="Normal 58 7 2 3 6 2" xfId="20661"/>
    <cellStyle name="Normal 58 7 2 3 7" xfId="16463"/>
    <cellStyle name="Normal 58 7 2 4" xfId="2992"/>
    <cellStyle name="Normal 58 7 2 4 2" xfId="5370"/>
    <cellStyle name="Normal 58 7 2 4 2 2" xfId="14207"/>
    <cellStyle name="Normal 58 7 2 4 2 2 2" xfId="24458"/>
    <cellStyle name="Normal 58 7 2 4 2 3" xfId="10628"/>
    <cellStyle name="Normal 58 7 2 4 2 4" xfId="19451"/>
    <cellStyle name="Normal 58 7 2 4 3" xfId="6825"/>
    <cellStyle name="Normal 58 7 2 4 3 2" xfId="15652"/>
    <cellStyle name="Normal 58 7 2 4 3 3" xfId="25903"/>
    <cellStyle name="Normal 58 7 2 4 4" xfId="8271"/>
    <cellStyle name="Normal 58 7 2 4 4 2" xfId="22353"/>
    <cellStyle name="Normal 58 7 2 4 5" xfId="17346"/>
    <cellStyle name="Normal 58 7 2 5" xfId="4326"/>
    <cellStyle name="Normal 58 7 2 5 2" xfId="13164"/>
    <cellStyle name="Normal 58 7 2 5 2 2" xfId="23415"/>
    <cellStyle name="Normal 58 7 2 5 3" xfId="9585"/>
    <cellStyle name="Normal 58 7 2 5 4" xfId="18408"/>
    <cellStyle name="Normal 58 7 2 6" xfId="1598"/>
    <cellStyle name="Normal 58 7 2 6 2" xfId="10975"/>
    <cellStyle name="Normal 58 7 2 6 3" xfId="20979"/>
    <cellStyle name="Normal 58 7 2 7" xfId="5782"/>
    <cellStyle name="Normal 58 7 2 7 2" xfId="14609"/>
    <cellStyle name="Normal 58 7 2 7 3" xfId="24860"/>
    <cellStyle name="Normal 58 7 2 8" xfId="7226"/>
    <cellStyle name="Normal 58 7 2 8 2" xfId="19952"/>
    <cellStyle name="Normal 58 7 2 9" xfId="15972"/>
    <cellStyle name="Normal 58 7 2_Degree data" xfId="4036"/>
    <cellStyle name="Normal 58 7 3" xfId="406"/>
    <cellStyle name="Normal 58 7 3 2" xfId="2892"/>
    <cellStyle name="Normal 58 7 3 2 2" xfId="12180"/>
    <cellStyle name="Normal 58 7 3 2 2 2" xfId="22253"/>
    <cellStyle name="Normal 58 7 3 2 3" xfId="8406"/>
    <cellStyle name="Normal 58 7 3 2 4" xfId="17246"/>
    <cellStyle name="Normal 58 7 3 3" xfId="4743"/>
    <cellStyle name="Normal 58 7 3 3 2" xfId="13581"/>
    <cellStyle name="Normal 58 7 3 3 2 2" xfId="23832"/>
    <cellStyle name="Normal 58 7 3 3 3" xfId="10002"/>
    <cellStyle name="Normal 58 7 3 3 4" xfId="18825"/>
    <cellStyle name="Normal 58 7 3 4" xfId="2001"/>
    <cellStyle name="Normal 58 7 3 4 2" xfId="11366"/>
    <cellStyle name="Normal 58 7 3 4 3" xfId="21370"/>
    <cellStyle name="Normal 58 7 3 5" xfId="6199"/>
    <cellStyle name="Normal 58 7 3 5 2" xfId="15026"/>
    <cellStyle name="Normal 58 7 3 5 3" xfId="25277"/>
    <cellStyle name="Normal 58 7 3 6" xfId="7644"/>
    <cellStyle name="Normal 58 7 3 6 2" xfId="19852"/>
    <cellStyle name="Normal 58 7 3 7" xfId="16363"/>
    <cellStyle name="Normal 58 7 4" xfId="929"/>
    <cellStyle name="Normal 58 7 4 2" xfId="3414"/>
    <cellStyle name="Normal 58 7 4 2 2" xfId="12556"/>
    <cellStyle name="Normal 58 7 4 2 2 2" xfId="22775"/>
    <cellStyle name="Normal 58 7 4 2 3" xfId="8978"/>
    <cellStyle name="Normal 58 7 4 2 4" xfId="17768"/>
    <cellStyle name="Normal 58 7 4 3" xfId="5092"/>
    <cellStyle name="Normal 58 7 4 3 2" xfId="13929"/>
    <cellStyle name="Normal 58 7 4 3 2 2" xfId="24180"/>
    <cellStyle name="Normal 58 7 4 3 3" xfId="10350"/>
    <cellStyle name="Normal 58 7 4 3 4" xfId="19173"/>
    <cellStyle name="Normal 58 7 4 4" xfId="2523"/>
    <cellStyle name="Normal 58 7 4 4 2" xfId="11888"/>
    <cellStyle name="Normal 58 7 4 4 3" xfId="21892"/>
    <cellStyle name="Normal 58 7 4 5" xfId="6547"/>
    <cellStyle name="Normal 58 7 4 5 2" xfId="15374"/>
    <cellStyle name="Normal 58 7 4 5 3" xfId="25625"/>
    <cellStyle name="Normal 58 7 4 6" xfId="7993"/>
    <cellStyle name="Normal 58 7 4 6 2" xfId="20374"/>
    <cellStyle name="Normal 58 7 4 7" xfId="16885"/>
    <cellStyle name="Normal 58 7 5" xfId="1178"/>
    <cellStyle name="Normal 58 7 5 2" xfId="3607"/>
    <cellStyle name="Normal 58 7 5 2 2" xfId="12743"/>
    <cellStyle name="Normal 58 7 5 2 2 2" xfId="22962"/>
    <cellStyle name="Normal 58 7 5 2 3" xfId="9164"/>
    <cellStyle name="Normal 58 7 5 2 4" xfId="17955"/>
    <cellStyle name="Normal 58 7 5 3" xfId="5270"/>
    <cellStyle name="Normal 58 7 5 3 2" xfId="14107"/>
    <cellStyle name="Normal 58 7 5 3 2 2" xfId="24358"/>
    <cellStyle name="Normal 58 7 5 3 3" xfId="10528"/>
    <cellStyle name="Normal 58 7 5 3 4" xfId="19351"/>
    <cellStyle name="Normal 58 7 5 4" xfId="1780"/>
    <cellStyle name="Normal 58 7 5 4 2" xfId="11149"/>
    <cellStyle name="Normal 58 7 5 4 3" xfId="21153"/>
    <cellStyle name="Normal 58 7 5 5" xfId="6725"/>
    <cellStyle name="Normal 58 7 5 5 2" xfId="15552"/>
    <cellStyle name="Normal 58 7 5 5 3" xfId="25803"/>
    <cellStyle name="Normal 58 7 5 6" xfId="8171"/>
    <cellStyle name="Normal 58 7 5 6 2" xfId="20561"/>
    <cellStyle name="Normal 58 7 5 7" xfId="16146"/>
    <cellStyle name="Normal 58 7 6" xfId="2675"/>
    <cellStyle name="Normal 58 7 6 2" xfId="11992"/>
    <cellStyle name="Normal 58 7 6 2 2" xfId="22036"/>
    <cellStyle name="Normal 58 7 6 3" xfId="8629"/>
    <cellStyle name="Normal 58 7 6 4" xfId="17029"/>
    <cellStyle name="Normal 58 7 7" xfId="4226"/>
    <cellStyle name="Normal 58 7 7 2" xfId="13064"/>
    <cellStyle name="Normal 58 7 7 2 2" xfId="23315"/>
    <cellStyle name="Normal 58 7 7 3" xfId="9485"/>
    <cellStyle name="Normal 58 7 7 4" xfId="18308"/>
    <cellStyle name="Normal 58 7 8" xfId="1498"/>
    <cellStyle name="Normal 58 7 8 2" xfId="10875"/>
    <cellStyle name="Normal 58 7 8 3" xfId="20879"/>
    <cellStyle name="Normal 58 7 9" xfId="5682"/>
    <cellStyle name="Normal 58 7 9 2" xfId="14509"/>
    <cellStyle name="Normal 58 7 9 3" xfId="24760"/>
    <cellStyle name="Normal 58 7_Degree data" xfId="4035"/>
    <cellStyle name="Normal 58 8" xfId="231"/>
    <cellStyle name="Normal 58 8 10" xfId="7069"/>
    <cellStyle name="Normal 58 8 10 2" xfId="19683"/>
    <cellStyle name="Normal 58 8 11" xfId="15815"/>
    <cellStyle name="Normal 58 8 2" xfId="554"/>
    <cellStyle name="Normal 58 8 2 2" xfId="932"/>
    <cellStyle name="Normal 58 8 2 2 2" xfId="3417"/>
    <cellStyle name="Normal 58 8 2 2 2 2" xfId="12559"/>
    <cellStyle name="Normal 58 8 2 2 2 2 2" xfId="22778"/>
    <cellStyle name="Normal 58 8 2 2 2 3" xfId="8981"/>
    <cellStyle name="Normal 58 8 2 2 2 4" xfId="17771"/>
    <cellStyle name="Normal 58 8 2 2 3" xfId="4746"/>
    <cellStyle name="Normal 58 8 2 2 3 2" xfId="13584"/>
    <cellStyle name="Normal 58 8 2 2 3 2 2" xfId="23835"/>
    <cellStyle name="Normal 58 8 2 2 3 3" xfId="10005"/>
    <cellStyle name="Normal 58 8 2 2 3 4" xfId="18828"/>
    <cellStyle name="Normal 58 8 2 2 4" xfId="2526"/>
    <cellStyle name="Normal 58 8 2 2 4 2" xfId="11891"/>
    <cellStyle name="Normal 58 8 2 2 4 3" xfId="21895"/>
    <cellStyle name="Normal 58 8 2 2 5" xfId="6202"/>
    <cellStyle name="Normal 58 8 2 2 5 2" xfId="15029"/>
    <cellStyle name="Normal 58 8 2 2 5 3" xfId="25280"/>
    <cellStyle name="Normal 58 8 2 2 6" xfId="7647"/>
    <cellStyle name="Normal 58 8 2 2 6 2" xfId="20377"/>
    <cellStyle name="Normal 58 8 2 2 7" xfId="16888"/>
    <cellStyle name="Normal 58 8 2 3" xfId="1326"/>
    <cellStyle name="Normal 58 8 2 3 2" xfId="3755"/>
    <cellStyle name="Normal 58 8 2 3 2 2" xfId="12891"/>
    <cellStyle name="Normal 58 8 2 3 2 2 2" xfId="23110"/>
    <cellStyle name="Normal 58 8 2 3 2 3" xfId="9312"/>
    <cellStyle name="Normal 58 8 2 3 2 4" xfId="18103"/>
    <cellStyle name="Normal 58 8 2 3 3" xfId="5095"/>
    <cellStyle name="Normal 58 8 2 3 3 2" xfId="13932"/>
    <cellStyle name="Normal 58 8 2 3 3 2 2" xfId="24183"/>
    <cellStyle name="Normal 58 8 2 3 3 3" xfId="10353"/>
    <cellStyle name="Normal 58 8 2 3 3 4" xfId="19176"/>
    <cellStyle name="Normal 58 8 2 3 4" xfId="2149"/>
    <cellStyle name="Normal 58 8 2 3 4 2" xfId="11514"/>
    <cellStyle name="Normal 58 8 2 3 4 3" xfId="21518"/>
    <cellStyle name="Normal 58 8 2 3 5" xfId="6550"/>
    <cellStyle name="Normal 58 8 2 3 5 2" xfId="15377"/>
    <cellStyle name="Normal 58 8 2 3 5 3" xfId="25628"/>
    <cellStyle name="Normal 58 8 2 3 6" xfId="7996"/>
    <cellStyle name="Normal 58 8 2 3 6 2" xfId="20709"/>
    <cellStyle name="Normal 58 8 2 3 7" xfId="16511"/>
    <cellStyle name="Normal 58 8 2 4" xfId="3040"/>
    <cellStyle name="Normal 58 8 2 4 2" xfId="5418"/>
    <cellStyle name="Normal 58 8 2 4 2 2" xfId="14255"/>
    <cellStyle name="Normal 58 8 2 4 2 2 2" xfId="24506"/>
    <cellStyle name="Normal 58 8 2 4 2 3" xfId="10676"/>
    <cellStyle name="Normal 58 8 2 4 2 4" xfId="19499"/>
    <cellStyle name="Normal 58 8 2 4 3" xfId="6873"/>
    <cellStyle name="Normal 58 8 2 4 3 2" xfId="15700"/>
    <cellStyle name="Normal 58 8 2 4 3 3" xfId="25951"/>
    <cellStyle name="Normal 58 8 2 4 4" xfId="8319"/>
    <cellStyle name="Normal 58 8 2 4 4 2" xfId="22401"/>
    <cellStyle name="Normal 58 8 2 4 5" xfId="17394"/>
    <cellStyle name="Normal 58 8 2 5" xfId="4374"/>
    <cellStyle name="Normal 58 8 2 5 2" xfId="13212"/>
    <cellStyle name="Normal 58 8 2 5 2 2" xfId="23463"/>
    <cellStyle name="Normal 58 8 2 5 3" xfId="9633"/>
    <cellStyle name="Normal 58 8 2 5 4" xfId="18456"/>
    <cellStyle name="Normal 58 8 2 6" xfId="1646"/>
    <cellStyle name="Normal 58 8 2 6 2" xfId="11023"/>
    <cellStyle name="Normal 58 8 2 6 3" xfId="21027"/>
    <cellStyle name="Normal 58 8 2 7" xfId="5830"/>
    <cellStyle name="Normal 58 8 2 7 2" xfId="14657"/>
    <cellStyle name="Normal 58 8 2 7 3" xfId="24908"/>
    <cellStyle name="Normal 58 8 2 8" xfId="7274"/>
    <cellStyle name="Normal 58 8 2 8 2" xfId="20000"/>
    <cellStyle name="Normal 58 8 2 9" xfId="16020"/>
    <cellStyle name="Normal 58 8 2_Degree data" xfId="4038"/>
    <cellStyle name="Normal 58 8 3" xfId="349"/>
    <cellStyle name="Normal 58 8 3 2" xfId="2835"/>
    <cellStyle name="Normal 58 8 3 2 2" xfId="12123"/>
    <cellStyle name="Normal 58 8 3 2 2 2" xfId="22196"/>
    <cellStyle name="Normal 58 8 3 2 3" xfId="8635"/>
    <cellStyle name="Normal 58 8 3 2 4" xfId="17189"/>
    <cellStyle name="Normal 58 8 3 3" xfId="4745"/>
    <cellStyle name="Normal 58 8 3 3 2" xfId="13583"/>
    <cellStyle name="Normal 58 8 3 3 2 2" xfId="23834"/>
    <cellStyle name="Normal 58 8 3 3 3" xfId="10004"/>
    <cellStyle name="Normal 58 8 3 3 4" xfId="18827"/>
    <cellStyle name="Normal 58 8 3 4" xfId="1944"/>
    <cellStyle name="Normal 58 8 3 4 2" xfId="11309"/>
    <cellStyle name="Normal 58 8 3 4 3" xfId="21313"/>
    <cellStyle name="Normal 58 8 3 5" xfId="6201"/>
    <cellStyle name="Normal 58 8 3 5 2" xfId="15028"/>
    <cellStyle name="Normal 58 8 3 5 3" xfId="25279"/>
    <cellStyle name="Normal 58 8 3 6" xfId="7646"/>
    <cellStyle name="Normal 58 8 3 6 2" xfId="19795"/>
    <cellStyle name="Normal 58 8 3 7" xfId="16306"/>
    <cellStyle name="Normal 58 8 4" xfId="931"/>
    <cellStyle name="Normal 58 8 4 2" xfId="3416"/>
    <cellStyle name="Normal 58 8 4 2 2" xfId="12558"/>
    <cellStyle name="Normal 58 8 4 2 2 2" xfId="22777"/>
    <cellStyle name="Normal 58 8 4 2 3" xfId="8980"/>
    <cellStyle name="Normal 58 8 4 2 4" xfId="17770"/>
    <cellStyle name="Normal 58 8 4 3" xfId="5094"/>
    <cellStyle name="Normal 58 8 4 3 2" xfId="13931"/>
    <cellStyle name="Normal 58 8 4 3 2 2" xfId="24182"/>
    <cellStyle name="Normal 58 8 4 3 3" xfId="10352"/>
    <cellStyle name="Normal 58 8 4 3 4" xfId="19175"/>
    <cellStyle name="Normal 58 8 4 4" xfId="2525"/>
    <cellStyle name="Normal 58 8 4 4 2" xfId="11890"/>
    <cellStyle name="Normal 58 8 4 4 3" xfId="21894"/>
    <cellStyle name="Normal 58 8 4 5" xfId="6549"/>
    <cellStyle name="Normal 58 8 4 5 2" xfId="15376"/>
    <cellStyle name="Normal 58 8 4 5 3" xfId="25627"/>
    <cellStyle name="Normal 58 8 4 6" xfId="7995"/>
    <cellStyle name="Normal 58 8 4 6 2" xfId="20376"/>
    <cellStyle name="Normal 58 8 4 7" xfId="16887"/>
    <cellStyle name="Normal 58 8 5" xfId="1121"/>
    <cellStyle name="Normal 58 8 5 2" xfId="3550"/>
    <cellStyle name="Normal 58 8 5 2 2" xfId="12686"/>
    <cellStyle name="Normal 58 8 5 2 2 2" xfId="22905"/>
    <cellStyle name="Normal 58 8 5 2 3" xfId="9107"/>
    <cellStyle name="Normal 58 8 5 2 4" xfId="17898"/>
    <cellStyle name="Normal 58 8 5 3" xfId="5213"/>
    <cellStyle name="Normal 58 8 5 3 2" xfId="14050"/>
    <cellStyle name="Normal 58 8 5 3 2 2" xfId="24301"/>
    <cellStyle name="Normal 58 8 5 3 3" xfId="10471"/>
    <cellStyle name="Normal 58 8 5 3 4" xfId="19294"/>
    <cellStyle name="Normal 58 8 5 4" xfId="1829"/>
    <cellStyle name="Normal 58 8 5 4 2" xfId="11197"/>
    <cellStyle name="Normal 58 8 5 4 3" xfId="21201"/>
    <cellStyle name="Normal 58 8 5 5" xfId="6668"/>
    <cellStyle name="Normal 58 8 5 5 2" xfId="15495"/>
    <cellStyle name="Normal 58 8 5 5 3" xfId="25746"/>
    <cellStyle name="Normal 58 8 5 6" xfId="8114"/>
    <cellStyle name="Normal 58 8 5 6 2" xfId="20504"/>
    <cellStyle name="Normal 58 8 5 7" xfId="16194"/>
    <cellStyle name="Normal 58 8 6" xfId="2723"/>
    <cellStyle name="Normal 58 8 6 2" xfId="12040"/>
    <cellStyle name="Normal 58 8 6 2 2" xfId="22084"/>
    <cellStyle name="Normal 58 8 6 3" xfId="8558"/>
    <cellStyle name="Normal 58 8 6 4" xfId="17077"/>
    <cellStyle name="Normal 58 8 7" xfId="4169"/>
    <cellStyle name="Normal 58 8 7 2" xfId="13007"/>
    <cellStyle name="Normal 58 8 7 2 2" xfId="23258"/>
    <cellStyle name="Normal 58 8 7 3" xfId="9428"/>
    <cellStyle name="Normal 58 8 7 4" xfId="18251"/>
    <cellStyle name="Normal 58 8 8" xfId="1441"/>
    <cellStyle name="Normal 58 8 8 2" xfId="10818"/>
    <cellStyle name="Normal 58 8 8 3" xfId="20822"/>
    <cellStyle name="Normal 58 8 9" xfId="5625"/>
    <cellStyle name="Normal 58 8 9 2" xfId="14452"/>
    <cellStyle name="Normal 58 8 9 3" xfId="24703"/>
    <cellStyle name="Normal 58 8_Degree data" xfId="4037"/>
    <cellStyle name="Normal 58 9" xfId="288"/>
    <cellStyle name="Normal 58 9 10" xfId="16076"/>
    <cellStyle name="Normal 58 9 2" xfId="610"/>
    <cellStyle name="Normal 58 9 2 2" xfId="3096"/>
    <cellStyle name="Normal 58 9 2 2 2" xfId="12239"/>
    <cellStyle name="Normal 58 9 2 2 2 2" xfId="22457"/>
    <cellStyle name="Normal 58 9 2 2 3" xfId="8661"/>
    <cellStyle name="Normal 58 9 2 2 4" xfId="17450"/>
    <cellStyle name="Normal 58 9 2 3" xfId="4747"/>
    <cellStyle name="Normal 58 9 2 3 2" xfId="13585"/>
    <cellStyle name="Normal 58 9 2 3 2 2" xfId="23836"/>
    <cellStyle name="Normal 58 9 2 3 3" xfId="10006"/>
    <cellStyle name="Normal 58 9 2 3 4" xfId="18829"/>
    <cellStyle name="Normal 58 9 2 4" xfId="2205"/>
    <cellStyle name="Normal 58 9 2 4 2" xfId="11570"/>
    <cellStyle name="Normal 58 9 2 4 3" xfId="21574"/>
    <cellStyle name="Normal 58 9 2 5" xfId="6203"/>
    <cellStyle name="Normal 58 9 2 5 2" xfId="15030"/>
    <cellStyle name="Normal 58 9 2 5 3" xfId="25281"/>
    <cellStyle name="Normal 58 9 2 6" xfId="7648"/>
    <cellStyle name="Normal 58 9 2 6 2" xfId="20056"/>
    <cellStyle name="Normal 58 9 2 7" xfId="16567"/>
    <cellStyle name="Normal 58 9 3" xfId="933"/>
    <cellStyle name="Normal 58 9 3 2" xfId="3418"/>
    <cellStyle name="Normal 58 9 3 2 2" xfId="12560"/>
    <cellStyle name="Normal 58 9 3 2 2 2" xfId="22779"/>
    <cellStyle name="Normal 58 9 3 2 3" xfId="8982"/>
    <cellStyle name="Normal 58 9 3 2 4" xfId="17772"/>
    <cellStyle name="Normal 58 9 3 3" xfId="5096"/>
    <cellStyle name="Normal 58 9 3 3 2" xfId="13933"/>
    <cellStyle name="Normal 58 9 3 3 2 2" xfId="24184"/>
    <cellStyle name="Normal 58 9 3 3 3" xfId="10354"/>
    <cellStyle name="Normal 58 9 3 3 4" xfId="19177"/>
    <cellStyle name="Normal 58 9 3 4" xfId="2527"/>
    <cellStyle name="Normal 58 9 3 4 2" xfId="11892"/>
    <cellStyle name="Normal 58 9 3 4 3" xfId="21896"/>
    <cellStyle name="Normal 58 9 3 5" xfId="6551"/>
    <cellStyle name="Normal 58 9 3 5 2" xfId="15378"/>
    <cellStyle name="Normal 58 9 3 5 3" xfId="25629"/>
    <cellStyle name="Normal 58 9 3 6" xfId="7997"/>
    <cellStyle name="Normal 58 9 3 6 2" xfId="20378"/>
    <cellStyle name="Normal 58 9 3 7" xfId="16889"/>
    <cellStyle name="Normal 58 9 4" xfId="1382"/>
    <cellStyle name="Normal 58 9 4 2" xfId="3811"/>
    <cellStyle name="Normal 58 9 4 2 2" xfId="12947"/>
    <cellStyle name="Normal 58 9 4 2 2 2" xfId="23166"/>
    <cellStyle name="Normal 58 9 4 2 3" xfId="9368"/>
    <cellStyle name="Normal 58 9 4 2 4" xfId="18159"/>
    <cellStyle name="Normal 58 9 4 3" xfId="5474"/>
    <cellStyle name="Normal 58 9 4 3 2" xfId="14311"/>
    <cellStyle name="Normal 58 9 4 3 2 2" xfId="24562"/>
    <cellStyle name="Normal 58 9 4 3 3" xfId="10732"/>
    <cellStyle name="Normal 58 9 4 3 4" xfId="19555"/>
    <cellStyle name="Normal 58 9 4 4" xfId="1885"/>
    <cellStyle name="Normal 58 9 4 4 2" xfId="11253"/>
    <cellStyle name="Normal 58 9 4 4 3" xfId="21257"/>
    <cellStyle name="Normal 58 9 4 5" xfId="6929"/>
    <cellStyle name="Normal 58 9 4 5 2" xfId="15756"/>
    <cellStyle name="Normal 58 9 4 5 3" xfId="26007"/>
    <cellStyle name="Normal 58 9 4 6" xfId="8375"/>
    <cellStyle name="Normal 58 9 4 6 2" xfId="20765"/>
    <cellStyle name="Normal 58 9 4 7" xfId="16250"/>
    <cellStyle name="Normal 58 9 5" xfId="2779"/>
    <cellStyle name="Normal 58 9 5 2" xfId="12096"/>
    <cellStyle name="Normal 58 9 5 2 2" xfId="22140"/>
    <cellStyle name="Normal 58 9 5 3" xfId="8400"/>
    <cellStyle name="Normal 58 9 5 4" xfId="17133"/>
    <cellStyle name="Normal 58 9 6" xfId="4430"/>
    <cellStyle name="Normal 58 9 6 2" xfId="13268"/>
    <cellStyle name="Normal 58 9 6 2 2" xfId="23519"/>
    <cellStyle name="Normal 58 9 6 3" xfId="9689"/>
    <cellStyle name="Normal 58 9 6 4" xfId="18512"/>
    <cellStyle name="Normal 58 9 7" xfId="1702"/>
    <cellStyle name="Normal 58 9 7 2" xfId="11079"/>
    <cellStyle name="Normal 58 9 7 3" xfId="21083"/>
    <cellStyle name="Normal 58 9 8" xfId="5886"/>
    <cellStyle name="Normal 58 9 8 2" xfId="14713"/>
    <cellStyle name="Normal 58 9 8 3" xfId="24964"/>
    <cellStyle name="Normal 58 9 9" xfId="7330"/>
    <cellStyle name="Normal 58 9 9 2" xfId="19739"/>
    <cellStyle name="Normal 58 9_Degree data" xfId="4039"/>
    <cellStyle name="Normal 58_Degree data" xfId="3997"/>
    <cellStyle name="Normal 59" xfId="53"/>
    <cellStyle name="Normal 6" xfId="35"/>
    <cellStyle name="Normal 6 2 2" xfId="52"/>
    <cellStyle name="Normal 6_sreb progression tab 2 redo" xfId="42"/>
    <cellStyle name="Normal 60" xfId="64"/>
    <cellStyle name="Normal 60 2" xfId="934"/>
    <cellStyle name="Normal 60 3" xfId="1719"/>
    <cellStyle name="Normal 60_Degree data" xfId="4040"/>
    <cellStyle name="Normal 61" xfId="65"/>
    <cellStyle name="Normal 61 2" xfId="935"/>
    <cellStyle name="Normal 61 3" xfId="1720"/>
    <cellStyle name="Normal 61_Degree data" xfId="4041"/>
    <cellStyle name="Normal 62" xfId="100"/>
    <cellStyle name="Normal 62 2" xfId="936"/>
    <cellStyle name="Normal 62 3" xfId="1721"/>
    <cellStyle name="Normal 62_Degree data" xfId="4042"/>
    <cellStyle name="Normal 63" xfId="130"/>
    <cellStyle name="Normal 63 10" xfId="1424"/>
    <cellStyle name="Normal 63 10 2" xfId="10801"/>
    <cellStyle name="Normal 63 10 3" xfId="20805"/>
    <cellStyle name="Normal 63 11" xfId="5608"/>
    <cellStyle name="Normal 63 11 2" xfId="14435"/>
    <cellStyle name="Normal 63 11 3" xfId="24686"/>
    <cellStyle name="Normal 63 12" xfId="7052"/>
    <cellStyle name="Normal 63 12 2" xfId="19597"/>
    <cellStyle name="Normal 63 13" xfId="15798"/>
    <cellStyle name="Normal 63 2" xfId="250"/>
    <cellStyle name="Normal 63 2 10" xfId="7088"/>
    <cellStyle name="Normal 63 2 10 2" xfId="19702"/>
    <cellStyle name="Normal 63 2 11" xfId="15834"/>
    <cellStyle name="Normal 63 2 2" xfId="573"/>
    <cellStyle name="Normal 63 2 2 2" xfId="939"/>
    <cellStyle name="Normal 63 2 2 2 2" xfId="3421"/>
    <cellStyle name="Normal 63 2 2 2 2 2" xfId="12563"/>
    <cellStyle name="Normal 63 2 2 2 2 2 2" xfId="22782"/>
    <cellStyle name="Normal 63 2 2 2 2 3" xfId="8985"/>
    <cellStyle name="Normal 63 2 2 2 2 4" xfId="17775"/>
    <cellStyle name="Normal 63 2 2 2 3" xfId="4750"/>
    <cellStyle name="Normal 63 2 2 2 3 2" xfId="13588"/>
    <cellStyle name="Normal 63 2 2 2 3 2 2" xfId="23839"/>
    <cellStyle name="Normal 63 2 2 2 3 3" xfId="10009"/>
    <cellStyle name="Normal 63 2 2 2 3 4" xfId="18832"/>
    <cellStyle name="Normal 63 2 2 2 4" xfId="2530"/>
    <cellStyle name="Normal 63 2 2 2 4 2" xfId="11895"/>
    <cellStyle name="Normal 63 2 2 2 4 3" xfId="21899"/>
    <cellStyle name="Normal 63 2 2 2 5" xfId="6206"/>
    <cellStyle name="Normal 63 2 2 2 5 2" xfId="15033"/>
    <cellStyle name="Normal 63 2 2 2 5 3" xfId="25284"/>
    <cellStyle name="Normal 63 2 2 2 6" xfId="7652"/>
    <cellStyle name="Normal 63 2 2 2 6 2" xfId="20381"/>
    <cellStyle name="Normal 63 2 2 2 7" xfId="16892"/>
    <cellStyle name="Normal 63 2 2 3" xfId="1345"/>
    <cellStyle name="Normal 63 2 2 3 2" xfId="3774"/>
    <cellStyle name="Normal 63 2 2 3 2 2" xfId="12910"/>
    <cellStyle name="Normal 63 2 2 3 2 2 2" xfId="23129"/>
    <cellStyle name="Normal 63 2 2 3 2 3" xfId="9331"/>
    <cellStyle name="Normal 63 2 2 3 2 4" xfId="18122"/>
    <cellStyle name="Normal 63 2 2 3 3" xfId="5099"/>
    <cellStyle name="Normal 63 2 2 3 3 2" xfId="13936"/>
    <cellStyle name="Normal 63 2 2 3 3 2 2" xfId="24187"/>
    <cellStyle name="Normal 63 2 2 3 3 3" xfId="10357"/>
    <cellStyle name="Normal 63 2 2 3 3 4" xfId="19180"/>
    <cellStyle name="Normal 63 2 2 3 4" xfId="2168"/>
    <cellStyle name="Normal 63 2 2 3 4 2" xfId="11533"/>
    <cellStyle name="Normal 63 2 2 3 4 3" xfId="21537"/>
    <cellStyle name="Normal 63 2 2 3 5" xfId="6554"/>
    <cellStyle name="Normal 63 2 2 3 5 2" xfId="15381"/>
    <cellStyle name="Normal 63 2 2 3 5 3" xfId="25632"/>
    <cellStyle name="Normal 63 2 2 3 6" xfId="8000"/>
    <cellStyle name="Normal 63 2 2 3 6 2" xfId="20728"/>
    <cellStyle name="Normal 63 2 2 3 7" xfId="16530"/>
    <cellStyle name="Normal 63 2 2 4" xfId="3059"/>
    <cellStyle name="Normal 63 2 2 4 2" xfId="5437"/>
    <cellStyle name="Normal 63 2 2 4 2 2" xfId="14274"/>
    <cellStyle name="Normal 63 2 2 4 2 2 2" xfId="24525"/>
    <cellStyle name="Normal 63 2 2 4 2 3" xfId="10695"/>
    <cellStyle name="Normal 63 2 2 4 2 4" xfId="19518"/>
    <cellStyle name="Normal 63 2 2 4 3" xfId="6892"/>
    <cellStyle name="Normal 63 2 2 4 3 2" xfId="15719"/>
    <cellStyle name="Normal 63 2 2 4 3 3" xfId="25970"/>
    <cellStyle name="Normal 63 2 2 4 4" xfId="8338"/>
    <cellStyle name="Normal 63 2 2 4 4 2" xfId="22420"/>
    <cellStyle name="Normal 63 2 2 4 5" xfId="17413"/>
    <cellStyle name="Normal 63 2 2 5" xfId="4393"/>
    <cellStyle name="Normal 63 2 2 5 2" xfId="13231"/>
    <cellStyle name="Normal 63 2 2 5 2 2" xfId="23482"/>
    <cellStyle name="Normal 63 2 2 5 3" xfId="9652"/>
    <cellStyle name="Normal 63 2 2 5 4" xfId="18475"/>
    <cellStyle name="Normal 63 2 2 6" xfId="1665"/>
    <cellStyle name="Normal 63 2 2 6 2" xfId="11042"/>
    <cellStyle name="Normal 63 2 2 6 3" xfId="21046"/>
    <cellStyle name="Normal 63 2 2 7" xfId="5849"/>
    <cellStyle name="Normal 63 2 2 7 2" xfId="14676"/>
    <cellStyle name="Normal 63 2 2 7 3" xfId="24927"/>
    <cellStyle name="Normal 63 2 2 8" xfId="7293"/>
    <cellStyle name="Normal 63 2 2 8 2" xfId="20019"/>
    <cellStyle name="Normal 63 2 2 9" xfId="16039"/>
    <cellStyle name="Normal 63 2 2_Degree data" xfId="4045"/>
    <cellStyle name="Normal 63 2 3" xfId="368"/>
    <cellStyle name="Normal 63 2 3 2" xfId="2854"/>
    <cellStyle name="Normal 63 2 3 2 2" xfId="12142"/>
    <cellStyle name="Normal 63 2 3 2 2 2" xfId="22215"/>
    <cellStyle name="Normal 63 2 3 2 3" xfId="8585"/>
    <cellStyle name="Normal 63 2 3 2 4" xfId="17208"/>
    <cellStyle name="Normal 63 2 3 3" xfId="4749"/>
    <cellStyle name="Normal 63 2 3 3 2" xfId="13587"/>
    <cellStyle name="Normal 63 2 3 3 2 2" xfId="23838"/>
    <cellStyle name="Normal 63 2 3 3 3" xfId="10008"/>
    <cellStyle name="Normal 63 2 3 3 4" xfId="18831"/>
    <cellStyle name="Normal 63 2 3 4" xfId="1963"/>
    <cellStyle name="Normal 63 2 3 4 2" xfId="11328"/>
    <cellStyle name="Normal 63 2 3 4 3" xfId="21332"/>
    <cellStyle name="Normal 63 2 3 5" xfId="6205"/>
    <cellStyle name="Normal 63 2 3 5 2" xfId="15032"/>
    <cellStyle name="Normal 63 2 3 5 3" xfId="25283"/>
    <cellStyle name="Normal 63 2 3 6" xfId="7651"/>
    <cellStyle name="Normal 63 2 3 6 2" xfId="19814"/>
    <cellStyle name="Normal 63 2 3 7" xfId="16325"/>
    <cellStyle name="Normal 63 2 4" xfId="938"/>
    <cellStyle name="Normal 63 2 4 2" xfId="3420"/>
    <cellStyle name="Normal 63 2 4 2 2" xfId="12562"/>
    <cellStyle name="Normal 63 2 4 2 2 2" xfId="22781"/>
    <cellStyle name="Normal 63 2 4 2 3" xfId="8984"/>
    <cellStyle name="Normal 63 2 4 2 4" xfId="17774"/>
    <cellStyle name="Normal 63 2 4 3" xfId="5098"/>
    <cellStyle name="Normal 63 2 4 3 2" xfId="13935"/>
    <cellStyle name="Normal 63 2 4 3 2 2" xfId="24186"/>
    <cellStyle name="Normal 63 2 4 3 3" xfId="10356"/>
    <cellStyle name="Normal 63 2 4 3 4" xfId="19179"/>
    <cellStyle name="Normal 63 2 4 4" xfId="2529"/>
    <cellStyle name="Normal 63 2 4 4 2" xfId="11894"/>
    <cellStyle name="Normal 63 2 4 4 3" xfId="21898"/>
    <cellStyle name="Normal 63 2 4 5" xfId="6553"/>
    <cellStyle name="Normal 63 2 4 5 2" xfId="15380"/>
    <cellStyle name="Normal 63 2 4 5 3" xfId="25631"/>
    <cellStyle name="Normal 63 2 4 6" xfId="7999"/>
    <cellStyle name="Normal 63 2 4 6 2" xfId="20380"/>
    <cellStyle name="Normal 63 2 4 7" xfId="16891"/>
    <cellStyle name="Normal 63 2 5" xfId="1140"/>
    <cellStyle name="Normal 63 2 5 2" xfId="3569"/>
    <cellStyle name="Normal 63 2 5 2 2" xfId="12705"/>
    <cellStyle name="Normal 63 2 5 2 2 2" xfId="22924"/>
    <cellStyle name="Normal 63 2 5 2 3" xfId="9126"/>
    <cellStyle name="Normal 63 2 5 2 4" xfId="17917"/>
    <cellStyle name="Normal 63 2 5 3" xfId="5232"/>
    <cellStyle name="Normal 63 2 5 3 2" xfId="14069"/>
    <cellStyle name="Normal 63 2 5 3 2 2" xfId="24320"/>
    <cellStyle name="Normal 63 2 5 3 3" xfId="10490"/>
    <cellStyle name="Normal 63 2 5 3 4" xfId="19313"/>
    <cellStyle name="Normal 63 2 5 4" xfId="1848"/>
    <cellStyle name="Normal 63 2 5 4 2" xfId="11216"/>
    <cellStyle name="Normal 63 2 5 4 3" xfId="21220"/>
    <cellStyle name="Normal 63 2 5 5" xfId="6687"/>
    <cellStyle name="Normal 63 2 5 5 2" xfId="15514"/>
    <cellStyle name="Normal 63 2 5 5 3" xfId="25765"/>
    <cellStyle name="Normal 63 2 5 6" xfId="8133"/>
    <cellStyle name="Normal 63 2 5 6 2" xfId="20523"/>
    <cellStyle name="Normal 63 2 5 7" xfId="16213"/>
    <cellStyle name="Normal 63 2 6" xfId="2742"/>
    <cellStyle name="Normal 63 2 6 2" xfId="12059"/>
    <cellStyle name="Normal 63 2 6 2 2" xfId="22103"/>
    <cellStyle name="Normal 63 2 6 3" xfId="8590"/>
    <cellStyle name="Normal 63 2 6 4" xfId="17096"/>
    <cellStyle name="Normal 63 2 7" xfId="4188"/>
    <cellStyle name="Normal 63 2 7 2" xfId="13026"/>
    <cellStyle name="Normal 63 2 7 2 2" xfId="23277"/>
    <cellStyle name="Normal 63 2 7 3" xfId="9447"/>
    <cellStyle name="Normal 63 2 7 4" xfId="18270"/>
    <cellStyle name="Normal 63 2 8" xfId="1460"/>
    <cellStyle name="Normal 63 2 8 2" xfId="10837"/>
    <cellStyle name="Normal 63 2 8 3" xfId="20841"/>
    <cellStyle name="Normal 63 2 9" xfId="5644"/>
    <cellStyle name="Normal 63 2 9 2" xfId="14471"/>
    <cellStyle name="Normal 63 2 9 3" xfId="24722"/>
    <cellStyle name="Normal 63 2_Degree data" xfId="4044"/>
    <cellStyle name="Normal 63 3" xfId="225"/>
    <cellStyle name="Normal 63 3 10" xfId="16016"/>
    <cellStyle name="Normal 63 3 2" xfId="550"/>
    <cellStyle name="Normal 63 3 2 2" xfId="3036"/>
    <cellStyle name="Normal 63 3 2 2 2" xfId="12224"/>
    <cellStyle name="Normal 63 3 2 2 2 2" xfId="22397"/>
    <cellStyle name="Normal 63 3 2 2 3" xfId="8582"/>
    <cellStyle name="Normal 63 3 2 2 4" xfId="17390"/>
    <cellStyle name="Normal 63 3 2 3" xfId="4751"/>
    <cellStyle name="Normal 63 3 2 3 2" xfId="13589"/>
    <cellStyle name="Normal 63 3 2 3 2 2" xfId="23840"/>
    <cellStyle name="Normal 63 3 2 3 3" xfId="10010"/>
    <cellStyle name="Normal 63 3 2 3 4" xfId="18833"/>
    <cellStyle name="Normal 63 3 2 4" xfId="2145"/>
    <cellStyle name="Normal 63 3 2 4 2" xfId="11510"/>
    <cellStyle name="Normal 63 3 2 4 3" xfId="21514"/>
    <cellStyle name="Normal 63 3 2 5" xfId="6207"/>
    <cellStyle name="Normal 63 3 2 5 2" xfId="15034"/>
    <cellStyle name="Normal 63 3 2 5 3" xfId="25285"/>
    <cellStyle name="Normal 63 3 2 6" xfId="7653"/>
    <cellStyle name="Normal 63 3 2 6 2" xfId="19996"/>
    <cellStyle name="Normal 63 3 2 7" xfId="16507"/>
    <cellStyle name="Normal 63 3 3" xfId="940"/>
    <cellStyle name="Normal 63 3 3 2" xfId="3422"/>
    <cellStyle name="Normal 63 3 3 2 2" xfId="12564"/>
    <cellStyle name="Normal 63 3 3 2 2 2" xfId="22783"/>
    <cellStyle name="Normal 63 3 3 2 3" xfId="8986"/>
    <cellStyle name="Normal 63 3 3 2 4" xfId="17776"/>
    <cellStyle name="Normal 63 3 3 3" xfId="5100"/>
    <cellStyle name="Normal 63 3 3 3 2" xfId="13937"/>
    <cellStyle name="Normal 63 3 3 3 2 2" xfId="24188"/>
    <cellStyle name="Normal 63 3 3 3 3" xfId="10358"/>
    <cellStyle name="Normal 63 3 3 3 4" xfId="19181"/>
    <cellStyle name="Normal 63 3 3 4" xfId="2531"/>
    <cellStyle name="Normal 63 3 3 4 2" xfId="11896"/>
    <cellStyle name="Normal 63 3 3 4 3" xfId="21900"/>
    <cellStyle name="Normal 63 3 3 5" xfId="6555"/>
    <cellStyle name="Normal 63 3 3 5 2" xfId="15382"/>
    <cellStyle name="Normal 63 3 3 5 3" xfId="25633"/>
    <cellStyle name="Normal 63 3 3 6" xfId="8001"/>
    <cellStyle name="Normal 63 3 3 6 2" xfId="20382"/>
    <cellStyle name="Normal 63 3 3 7" xfId="16893"/>
    <cellStyle name="Normal 63 3 4" xfId="1322"/>
    <cellStyle name="Normal 63 3 4 2" xfId="3751"/>
    <cellStyle name="Normal 63 3 4 2 2" xfId="12887"/>
    <cellStyle name="Normal 63 3 4 2 2 2" xfId="23106"/>
    <cellStyle name="Normal 63 3 4 2 3" xfId="9308"/>
    <cellStyle name="Normal 63 3 4 2 4" xfId="18099"/>
    <cellStyle name="Normal 63 3 4 3" xfId="5414"/>
    <cellStyle name="Normal 63 3 4 3 2" xfId="14251"/>
    <cellStyle name="Normal 63 3 4 3 2 2" xfId="24502"/>
    <cellStyle name="Normal 63 3 4 3 3" xfId="10672"/>
    <cellStyle name="Normal 63 3 4 3 4" xfId="19495"/>
    <cellStyle name="Normal 63 3 4 4" xfId="1825"/>
    <cellStyle name="Normal 63 3 4 4 2" xfId="11193"/>
    <cellStyle name="Normal 63 3 4 4 3" xfId="21197"/>
    <cellStyle name="Normal 63 3 4 5" xfId="6869"/>
    <cellStyle name="Normal 63 3 4 5 2" xfId="15696"/>
    <cellStyle name="Normal 63 3 4 5 3" xfId="25947"/>
    <cellStyle name="Normal 63 3 4 6" xfId="8315"/>
    <cellStyle name="Normal 63 3 4 6 2" xfId="20705"/>
    <cellStyle name="Normal 63 3 4 7" xfId="16190"/>
    <cellStyle name="Normal 63 3 5" xfId="2719"/>
    <cellStyle name="Normal 63 3 5 2" xfId="12036"/>
    <cellStyle name="Normal 63 3 5 2 2" xfId="22080"/>
    <cellStyle name="Normal 63 3 5 3" xfId="8559"/>
    <cellStyle name="Normal 63 3 5 4" xfId="17073"/>
    <cellStyle name="Normal 63 3 6" xfId="4370"/>
    <cellStyle name="Normal 63 3 6 2" xfId="13208"/>
    <cellStyle name="Normal 63 3 6 2 2" xfId="23459"/>
    <cellStyle name="Normal 63 3 6 3" xfId="9629"/>
    <cellStyle name="Normal 63 3 6 4" xfId="18452"/>
    <cellStyle name="Normal 63 3 7" xfId="1642"/>
    <cellStyle name="Normal 63 3 7 2" xfId="11019"/>
    <cellStyle name="Normal 63 3 7 3" xfId="21023"/>
    <cellStyle name="Normal 63 3 8" xfId="5826"/>
    <cellStyle name="Normal 63 3 8 2" xfId="14653"/>
    <cellStyle name="Normal 63 3 8 3" xfId="24904"/>
    <cellStyle name="Normal 63 3 9" xfId="7270"/>
    <cellStyle name="Normal 63 3 9 2" xfId="19679"/>
    <cellStyle name="Normal 63 3_Degree data" xfId="4046"/>
    <cellStyle name="Normal 63 4" xfId="468"/>
    <cellStyle name="Normal 63 4 2" xfId="941"/>
    <cellStyle name="Normal 63 4 2 2" xfId="3423"/>
    <cellStyle name="Normal 63 4 2 2 2" xfId="12565"/>
    <cellStyle name="Normal 63 4 2 2 2 2" xfId="22784"/>
    <cellStyle name="Normal 63 4 2 2 3" xfId="8987"/>
    <cellStyle name="Normal 63 4 2 2 4" xfId="17777"/>
    <cellStyle name="Normal 63 4 2 3" xfId="4752"/>
    <cellStyle name="Normal 63 4 2 3 2" xfId="13590"/>
    <cellStyle name="Normal 63 4 2 3 2 2" xfId="23841"/>
    <cellStyle name="Normal 63 4 2 3 3" xfId="10011"/>
    <cellStyle name="Normal 63 4 2 3 4" xfId="18834"/>
    <cellStyle name="Normal 63 4 2 4" xfId="2532"/>
    <cellStyle name="Normal 63 4 2 4 2" xfId="11897"/>
    <cellStyle name="Normal 63 4 2 4 3" xfId="21901"/>
    <cellStyle name="Normal 63 4 2 5" xfId="6208"/>
    <cellStyle name="Normal 63 4 2 5 2" xfId="15035"/>
    <cellStyle name="Normal 63 4 2 5 3" xfId="25286"/>
    <cellStyle name="Normal 63 4 2 6" xfId="7654"/>
    <cellStyle name="Normal 63 4 2 6 2" xfId="20383"/>
    <cellStyle name="Normal 63 4 2 7" xfId="16894"/>
    <cellStyle name="Normal 63 4 3" xfId="1240"/>
    <cellStyle name="Normal 63 4 3 2" xfId="3669"/>
    <cellStyle name="Normal 63 4 3 2 2" xfId="12805"/>
    <cellStyle name="Normal 63 4 3 2 2 2" xfId="23024"/>
    <cellStyle name="Normal 63 4 3 2 3" xfId="9226"/>
    <cellStyle name="Normal 63 4 3 2 4" xfId="18017"/>
    <cellStyle name="Normal 63 4 3 3" xfId="5101"/>
    <cellStyle name="Normal 63 4 3 3 2" xfId="13938"/>
    <cellStyle name="Normal 63 4 3 3 2 2" xfId="24189"/>
    <cellStyle name="Normal 63 4 3 3 3" xfId="10359"/>
    <cellStyle name="Normal 63 4 3 3 4" xfId="19182"/>
    <cellStyle name="Normal 63 4 3 4" xfId="2063"/>
    <cellStyle name="Normal 63 4 3 4 2" xfId="11428"/>
    <cellStyle name="Normal 63 4 3 4 3" xfId="21432"/>
    <cellStyle name="Normal 63 4 3 5" xfId="6556"/>
    <cellStyle name="Normal 63 4 3 5 2" xfId="15383"/>
    <cellStyle name="Normal 63 4 3 5 3" xfId="25634"/>
    <cellStyle name="Normal 63 4 3 6" xfId="8002"/>
    <cellStyle name="Normal 63 4 3 6 2" xfId="20623"/>
    <cellStyle name="Normal 63 4 3 7" xfId="16425"/>
    <cellStyle name="Normal 63 4 4" xfId="2954"/>
    <cellStyle name="Normal 63 4 4 2" xfId="5332"/>
    <cellStyle name="Normal 63 4 4 2 2" xfId="14169"/>
    <cellStyle name="Normal 63 4 4 2 2 2" xfId="24420"/>
    <cellStyle name="Normal 63 4 4 2 3" xfId="10590"/>
    <cellStyle name="Normal 63 4 4 2 4" xfId="19413"/>
    <cellStyle name="Normal 63 4 4 3" xfId="6787"/>
    <cellStyle name="Normal 63 4 4 3 2" xfId="15614"/>
    <cellStyle name="Normal 63 4 4 3 3" xfId="25865"/>
    <cellStyle name="Normal 63 4 4 4" xfId="8233"/>
    <cellStyle name="Normal 63 4 4 4 2" xfId="22315"/>
    <cellStyle name="Normal 63 4 4 5" xfId="17308"/>
    <cellStyle name="Normal 63 4 5" xfId="4288"/>
    <cellStyle name="Normal 63 4 5 2" xfId="13126"/>
    <cellStyle name="Normal 63 4 5 2 2" xfId="23377"/>
    <cellStyle name="Normal 63 4 5 3" xfId="9547"/>
    <cellStyle name="Normal 63 4 5 4" xfId="18370"/>
    <cellStyle name="Normal 63 4 6" xfId="1560"/>
    <cellStyle name="Normal 63 4 6 2" xfId="10937"/>
    <cellStyle name="Normal 63 4 6 3" xfId="20941"/>
    <cellStyle name="Normal 63 4 7" xfId="5744"/>
    <cellStyle name="Normal 63 4 7 2" xfId="14571"/>
    <cellStyle name="Normal 63 4 7 3" xfId="24822"/>
    <cellStyle name="Normal 63 4 8" xfId="7188"/>
    <cellStyle name="Normal 63 4 8 2" xfId="19914"/>
    <cellStyle name="Normal 63 4 9" xfId="15934"/>
    <cellStyle name="Normal 63 4_Degree data" xfId="4047"/>
    <cellStyle name="Normal 63 5" xfId="332"/>
    <cellStyle name="Normal 63 5 2" xfId="2818"/>
    <cellStyle name="Normal 63 5 2 2" xfId="12118"/>
    <cellStyle name="Normal 63 5 2 2 2" xfId="22179"/>
    <cellStyle name="Normal 63 5 2 3" xfId="8478"/>
    <cellStyle name="Normal 63 5 2 4" xfId="17172"/>
    <cellStyle name="Normal 63 5 3" xfId="4748"/>
    <cellStyle name="Normal 63 5 3 2" xfId="13586"/>
    <cellStyle name="Normal 63 5 3 2 2" xfId="23837"/>
    <cellStyle name="Normal 63 5 3 3" xfId="10007"/>
    <cellStyle name="Normal 63 5 3 4" xfId="18830"/>
    <cellStyle name="Normal 63 5 4" xfId="1927"/>
    <cellStyle name="Normal 63 5 4 2" xfId="11292"/>
    <cellStyle name="Normal 63 5 4 3" xfId="21296"/>
    <cellStyle name="Normal 63 5 5" xfId="6204"/>
    <cellStyle name="Normal 63 5 5 2" xfId="15031"/>
    <cellStyle name="Normal 63 5 5 3" xfId="25282"/>
    <cellStyle name="Normal 63 5 6" xfId="7650"/>
    <cellStyle name="Normal 63 5 6 2" xfId="19778"/>
    <cellStyle name="Normal 63 5 7" xfId="16289"/>
    <cellStyle name="Normal 63 6" xfId="937"/>
    <cellStyle name="Normal 63 6 2" xfId="3419"/>
    <cellStyle name="Normal 63 6 2 2" xfId="12561"/>
    <cellStyle name="Normal 63 6 2 2 2" xfId="22780"/>
    <cellStyle name="Normal 63 6 2 3" xfId="8983"/>
    <cellStyle name="Normal 63 6 2 4" xfId="17773"/>
    <cellStyle name="Normal 63 6 3" xfId="5097"/>
    <cellStyle name="Normal 63 6 3 2" xfId="13934"/>
    <cellStyle name="Normal 63 6 3 2 2" xfId="24185"/>
    <cellStyle name="Normal 63 6 3 3" xfId="10355"/>
    <cellStyle name="Normal 63 6 3 4" xfId="19178"/>
    <cellStyle name="Normal 63 6 4" xfId="2528"/>
    <cellStyle name="Normal 63 6 4 2" xfId="11893"/>
    <cellStyle name="Normal 63 6 4 3" xfId="21897"/>
    <cellStyle name="Normal 63 6 5" xfId="6552"/>
    <cellStyle name="Normal 63 6 5 2" xfId="15379"/>
    <cellStyle name="Normal 63 6 5 3" xfId="25630"/>
    <cellStyle name="Normal 63 6 6" xfId="7998"/>
    <cellStyle name="Normal 63 6 6 2" xfId="20379"/>
    <cellStyle name="Normal 63 6 7" xfId="16890"/>
    <cellStyle name="Normal 63 7" xfId="1104"/>
    <cellStyle name="Normal 63 7 2" xfId="3533"/>
    <cellStyle name="Normal 63 7 2 2" xfId="12669"/>
    <cellStyle name="Normal 63 7 2 2 2" xfId="22888"/>
    <cellStyle name="Normal 63 7 2 3" xfId="9090"/>
    <cellStyle name="Normal 63 7 2 4" xfId="17881"/>
    <cellStyle name="Normal 63 7 3" xfId="5196"/>
    <cellStyle name="Normal 63 7 3 2" xfId="14033"/>
    <cellStyle name="Normal 63 7 3 2 2" xfId="24284"/>
    <cellStyle name="Normal 63 7 3 3" xfId="10454"/>
    <cellStyle name="Normal 63 7 3 4" xfId="19277"/>
    <cellStyle name="Normal 63 7 4" xfId="1736"/>
    <cellStyle name="Normal 63 7 4 2" xfId="11110"/>
    <cellStyle name="Normal 63 7 4 3" xfId="21114"/>
    <cellStyle name="Normal 63 7 5" xfId="6651"/>
    <cellStyle name="Normal 63 7 5 2" xfId="15478"/>
    <cellStyle name="Normal 63 7 5 3" xfId="25729"/>
    <cellStyle name="Normal 63 7 6" xfId="8097"/>
    <cellStyle name="Normal 63 7 6 2" xfId="20487"/>
    <cellStyle name="Normal 63 7 7" xfId="16107"/>
    <cellStyle name="Normal 63 8" xfId="2636"/>
    <cellStyle name="Normal 63 8 2" xfId="11975"/>
    <cellStyle name="Normal 63 8 2 2" xfId="21998"/>
    <cellStyle name="Normal 63 8 3" xfId="8570"/>
    <cellStyle name="Normal 63 8 4" xfId="16991"/>
    <cellStyle name="Normal 63 9" xfId="4150"/>
    <cellStyle name="Normal 63 9 2" xfId="12988"/>
    <cellStyle name="Normal 63 9 2 2" xfId="23239"/>
    <cellStyle name="Normal 63 9 3" xfId="9409"/>
    <cellStyle name="Normal 63 9 4" xfId="18232"/>
    <cellStyle name="Normal 63_Degree data" xfId="4043"/>
    <cellStyle name="Normal 64" xfId="137"/>
    <cellStyle name="Normal 64 2" xfId="942"/>
    <cellStyle name="Normal 64 3" xfId="1743"/>
    <cellStyle name="Normal 64_Degree data" xfId="4048"/>
    <cellStyle name="Normal 65" xfId="139"/>
    <cellStyle name="Normal 65 2" xfId="943"/>
    <cellStyle name="Normal 65 3" xfId="1745"/>
    <cellStyle name="Normal 65_Degree data" xfId="4049"/>
    <cellStyle name="Normal 66" xfId="138"/>
    <cellStyle name="Normal 66 2" xfId="944"/>
    <cellStyle name="Normal 66 3" xfId="1744"/>
    <cellStyle name="Normal 66_Degree data" xfId="4050"/>
    <cellStyle name="Normal 67" xfId="175"/>
    <cellStyle name="Normal 67 2" xfId="945"/>
    <cellStyle name="Normal 67 3" xfId="1777"/>
    <cellStyle name="Normal 67_Degree data" xfId="4051"/>
    <cellStyle name="Normal 68" xfId="176"/>
    <cellStyle name="Normal 68 2" xfId="946"/>
    <cellStyle name="Normal 68 3" xfId="1778"/>
    <cellStyle name="Normal 68_Degree data" xfId="4052"/>
    <cellStyle name="Normal 69" xfId="206"/>
    <cellStyle name="Normal 69 2" xfId="947"/>
    <cellStyle name="Normal 69 3" xfId="1807"/>
    <cellStyle name="Normal 69_Degree data" xfId="4053"/>
    <cellStyle name="Normal 7" xfId="50"/>
    <cellStyle name="Normal 7 10" xfId="948"/>
    <cellStyle name="Normal 7 10 2" xfId="3424"/>
    <cellStyle name="Normal 7 10 2 2" xfId="12566"/>
    <cellStyle name="Normal 7 10 2 2 2" xfId="22785"/>
    <cellStyle name="Normal 7 10 2 3" xfId="8988"/>
    <cellStyle name="Normal 7 10 2 4" xfId="17778"/>
    <cellStyle name="Normal 7 10 3" xfId="4754"/>
    <cellStyle name="Normal 7 10 3 2" xfId="13591"/>
    <cellStyle name="Normal 7 10 3 2 2" xfId="23842"/>
    <cellStyle name="Normal 7 10 3 3" xfId="10012"/>
    <cellStyle name="Normal 7 10 3 4" xfId="18835"/>
    <cellStyle name="Normal 7 10 4" xfId="2533"/>
    <cellStyle name="Normal 7 10 4 2" xfId="11898"/>
    <cellStyle name="Normal 7 10 4 3" xfId="21902"/>
    <cellStyle name="Normal 7 10 5" xfId="6209"/>
    <cellStyle name="Normal 7 10 5 2" xfId="15036"/>
    <cellStyle name="Normal 7 10 5 3" xfId="25287"/>
    <cellStyle name="Normal 7 10 6" xfId="7655"/>
    <cellStyle name="Normal 7 10 6 2" xfId="20384"/>
    <cellStyle name="Normal 7 10 7" xfId="16895"/>
    <cellStyle name="Normal 7 11" xfId="1053"/>
    <cellStyle name="Normal 7 11 2" xfId="3482"/>
    <cellStyle name="Normal 7 11 2 2" xfId="12618"/>
    <cellStyle name="Normal 7 11 2 2 2" xfId="22837"/>
    <cellStyle name="Normal 7 11 2 3" xfId="9040"/>
    <cellStyle name="Normal 7 11 2 4" xfId="17830"/>
    <cellStyle name="Normal 7 11 3" xfId="5102"/>
    <cellStyle name="Normal 7 11 3 2" xfId="13939"/>
    <cellStyle name="Normal 7 11 3 2 2" xfId="24190"/>
    <cellStyle name="Normal 7 11 3 3" xfId="10360"/>
    <cellStyle name="Normal 7 11 3 4" xfId="19183"/>
    <cellStyle name="Normal 7 11 4" xfId="1717"/>
    <cellStyle name="Normal 7 11 4 2" xfId="11094"/>
    <cellStyle name="Normal 7 11 4 3" xfId="21098"/>
    <cellStyle name="Normal 7 11 5" xfId="6557"/>
    <cellStyle name="Normal 7 11 5 2" xfId="15384"/>
    <cellStyle name="Normal 7 11 5 3" xfId="25635"/>
    <cellStyle name="Normal 7 11 6" xfId="8003"/>
    <cellStyle name="Normal 7 11 6 2" xfId="20436"/>
    <cellStyle name="Normal 7 11 7" xfId="16091"/>
    <cellStyle name="Normal 7 12" xfId="2617"/>
    <cellStyle name="Normal 7 12 2" xfId="5145"/>
    <cellStyle name="Normal 7 12 2 2" xfId="13982"/>
    <cellStyle name="Normal 7 12 2 2 2" xfId="24233"/>
    <cellStyle name="Normal 7 12 2 3" xfId="10403"/>
    <cellStyle name="Normal 7 12 2 4" xfId="19226"/>
    <cellStyle name="Normal 7 12 3" xfId="6600"/>
    <cellStyle name="Normal 7 12 3 2" xfId="15427"/>
    <cellStyle name="Normal 7 12 3 3" xfId="25678"/>
    <cellStyle name="Normal 7 12 4" xfId="8046"/>
    <cellStyle name="Normal 7 12 4 2" xfId="21981"/>
    <cellStyle name="Normal 7 12 5" xfId="16974"/>
    <cellStyle name="Normal 7 13" xfId="4099"/>
    <cellStyle name="Normal 7 13 2" xfId="5557"/>
    <cellStyle name="Normal 7 13 2 2" xfId="14384"/>
    <cellStyle name="Normal 7 13 2 3" xfId="24635"/>
    <cellStyle name="Normal 7 13 3" xfId="7001"/>
    <cellStyle name="Normal 7 13 3 2" xfId="23188"/>
    <cellStyle name="Normal 7 13 4" xfId="18181"/>
    <cellStyle name="Normal 7 14" xfId="1405"/>
    <cellStyle name="Normal 7 14 2" xfId="10782"/>
    <cellStyle name="Normal 7 14 3" xfId="20786"/>
    <cellStyle name="Normal 7 15" xfId="5517"/>
    <cellStyle name="Normal 7 15 2" xfId="14344"/>
    <cellStyle name="Normal 7 15 3" xfId="24595"/>
    <cellStyle name="Normal 7 16" xfId="6956"/>
    <cellStyle name="Normal 7 16 2" xfId="19581"/>
    <cellStyle name="Normal 7 17" xfId="15779"/>
    <cellStyle name="Normal 7 2" xfId="121"/>
    <cellStyle name="Normal 7 2 10" xfId="4111"/>
    <cellStyle name="Normal 7 2 10 2" xfId="5569"/>
    <cellStyle name="Normal 7 2 10 2 2" xfId="14396"/>
    <cellStyle name="Normal 7 2 10 2 3" xfId="24647"/>
    <cellStyle name="Normal 7 2 10 3" xfId="7013"/>
    <cellStyle name="Normal 7 2 10 3 2" xfId="23200"/>
    <cellStyle name="Normal 7 2 10 4" xfId="18193"/>
    <cellStyle name="Normal 7 2 11" xfId="1430"/>
    <cellStyle name="Normal 7 2 11 2" xfId="10807"/>
    <cellStyle name="Normal 7 2 11 3" xfId="20811"/>
    <cellStyle name="Normal 7 2 12" xfId="5539"/>
    <cellStyle name="Normal 7 2 12 2" xfId="14366"/>
    <cellStyle name="Normal 7 2 12 3" xfId="24617"/>
    <cellStyle name="Normal 7 2 13" xfId="6983"/>
    <cellStyle name="Normal 7 2 13 2" xfId="19594"/>
    <cellStyle name="Normal 7 2 14" xfId="15804"/>
    <cellStyle name="Normal 7 2 2" xfId="165"/>
    <cellStyle name="Normal 7 2 2 10" xfId="5671"/>
    <cellStyle name="Normal 7 2 2 10 2" xfId="14498"/>
    <cellStyle name="Normal 7 2 2 10 3" xfId="24749"/>
    <cellStyle name="Normal 7 2 2 11" xfId="7115"/>
    <cellStyle name="Normal 7 2 2 11 2" xfId="19624"/>
    <cellStyle name="Normal 7 2 2 12" xfId="15861"/>
    <cellStyle name="Normal 7 2 2 2" xfId="277"/>
    <cellStyle name="Normal 7 2 2 2 10" xfId="16065"/>
    <cellStyle name="Normal 7 2 2 2 2" xfId="599"/>
    <cellStyle name="Normal 7 2 2 2 2 2" xfId="3085"/>
    <cellStyle name="Normal 7 2 2 2 2 2 2" xfId="12232"/>
    <cellStyle name="Normal 7 2 2 2 2 2 2 2" xfId="22446"/>
    <cellStyle name="Normal 7 2 2 2 2 2 3" xfId="8654"/>
    <cellStyle name="Normal 7 2 2 2 2 2 4" xfId="17439"/>
    <cellStyle name="Normal 7 2 2 2 2 3" xfId="4757"/>
    <cellStyle name="Normal 7 2 2 2 2 3 2" xfId="13594"/>
    <cellStyle name="Normal 7 2 2 2 2 3 2 2" xfId="23845"/>
    <cellStyle name="Normal 7 2 2 2 2 3 3" xfId="10015"/>
    <cellStyle name="Normal 7 2 2 2 2 3 4" xfId="18838"/>
    <cellStyle name="Normal 7 2 2 2 2 4" xfId="2194"/>
    <cellStyle name="Normal 7 2 2 2 2 4 2" xfId="11559"/>
    <cellStyle name="Normal 7 2 2 2 2 4 3" xfId="21563"/>
    <cellStyle name="Normal 7 2 2 2 2 5" xfId="6212"/>
    <cellStyle name="Normal 7 2 2 2 2 5 2" xfId="15039"/>
    <cellStyle name="Normal 7 2 2 2 2 5 3" xfId="25290"/>
    <cellStyle name="Normal 7 2 2 2 2 6" xfId="7658"/>
    <cellStyle name="Normal 7 2 2 2 2 6 2" xfId="20045"/>
    <cellStyle name="Normal 7 2 2 2 2 7" xfId="16556"/>
    <cellStyle name="Normal 7 2 2 2 3" xfId="951"/>
    <cellStyle name="Normal 7 2 2 2 3 2" xfId="3427"/>
    <cellStyle name="Normal 7 2 2 2 3 2 2" xfId="12569"/>
    <cellStyle name="Normal 7 2 2 2 3 2 2 2" xfId="22788"/>
    <cellStyle name="Normal 7 2 2 2 3 2 3" xfId="8991"/>
    <cellStyle name="Normal 7 2 2 2 3 2 4" xfId="17781"/>
    <cellStyle name="Normal 7 2 2 2 3 3" xfId="5105"/>
    <cellStyle name="Normal 7 2 2 2 3 3 2" xfId="13942"/>
    <cellStyle name="Normal 7 2 2 2 3 3 2 2" xfId="24193"/>
    <cellStyle name="Normal 7 2 2 2 3 3 3" xfId="10363"/>
    <cellStyle name="Normal 7 2 2 2 3 3 4" xfId="19186"/>
    <cellStyle name="Normal 7 2 2 2 3 4" xfId="2536"/>
    <cellStyle name="Normal 7 2 2 2 3 4 2" xfId="11901"/>
    <cellStyle name="Normal 7 2 2 2 3 4 3" xfId="21905"/>
    <cellStyle name="Normal 7 2 2 2 3 5" xfId="6560"/>
    <cellStyle name="Normal 7 2 2 2 3 5 2" xfId="15387"/>
    <cellStyle name="Normal 7 2 2 2 3 5 3" xfId="25638"/>
    <cellStyle name="Normal 7 2 2 2 3 6" xfId="8006"/>
    <cellStyle name="Normal 7 2 2 2 3 6 2" xfId="20387"/>
    <cellStyle name="Normal 7 2 2 2 3 7" xfId="16898"/>
    <cellStyle name="Normal 7 2 2 2 4" xfId="1371"/>
    <cellStyle name="Normal 7 2 2 2 4 2" xfId="3800"/>
    <cellStyle name="Normal 7 2 2 2 4 2 2" xfId="12936"/>
    <cellStyle name="Normal 7 2 2 2 4 2 2 2" xfId="23155"/>
    <cellStyle name="Normal 7 2 2 2 4 2 3" xfId="9357"/>
    <cellStyle name="Normal 7 2 2 2 4 2 4" xfId="18148"/>
    <cellStyle name="Normal 7 2 2 2 4 3" xfId="5463"/>
    <cellStyle name="Normal 7 2 2 2 4 3 2" xfId="14300"/>
    <cellStyle name="Normal 7 2 2 2 4 3 2 2" xfId="24551"/>
    <cellStyle name="Normal 7 2 2 2 4 3 3" xfId="10721"/>
    <cellStyle name="Normal 7 2 2 2 4 3 4" xfId="19544"/>
    <cellStyle name="Normal 7 2 2 2 4 4" xfId="1874"/>
    <cellStyle name="Normal 7 2 2 2 4 4 2" xfId="11242"/>
    <cellStyle name="Normal 7 2 2 2 4 4 3" xfId="21246"/>
    <cellStyle name="Normal 7 2 2 2 4 5" xfId="6918"/>
    <cellStyle name="Normal 7 2 2 2 4 5 2" xfId="15745"/>
    <cellStyle name="Normal 7 2 2 2 4 5 3" xfId="25996"/>
    <cellStyle name="Normal 7 2 2 2 4 6" xfId="8364"/>
    <cellStyle name="Normal 7 2 2 2 4 6 2" xfId="20754"/>
    <cellStyle name="Normal 7 2 2 2 4 7" xfId="16239"/>
    <cellStyle name="Normal 7 2 2 2 5" xfId="2768"/>
    <cellStyle name="Normal 7 2 2 2 5 2" xfId="12085"/>
    <cellStyle name="Normal 7 2 2 2 5 2 2" xfId="22129"/>
    <cellStyle name="Normal 7 2 2 2 5 3" xfId="8647"/>
    <cellStyle name="Normal 7 2 2 2 5 4" xfId="17122"/>
    <cellStyle name="Normal 7 2 2 2 6" xfId="4419"/>
    <cellStyle name="Normal 7 2 2 2 6 2" xfId="13257"/>
    <cellStyle name="Normal 7 2 2 2 6 2 2" xfId="23508"/>
    <cellStyle name="Normal 7 2 2 2 6 3" xfId="9678"/>
    <cellStyle name="Normal 7 2 2 2 6 4" xfId="18501"/>
    <cellStyle name="Normal 7 2 2 2 7" xfId="1691"/>
    <cellStyle name="Normal 7 2 2 2 7 2" xfId="11068"/>
    <cellStyle name="Normal 7 2 2 2 7 3" xfId="21072"/>
    <cellStyle name="Normal 7 2 2 2 8" xfId="5875"/>
    <cellStyle name="Normal 7 2 2 2 8 2" xfId="14702"/>
    <cellStyle name="Normal 7 2 2 2 8 3" xfId="24953"/>
    <cellStyle name="Normal 7 2 2 2 9" xfId="7319"/>
    <cellStyle name="Normal 7 2 2 2 9 2" xfId="19728"/>
    <cellStyle name="Normal 7 2 2 2_Degree data" xfId="4057"/>
    <cellStyle name="Normal 7 2 2 3" xfId="495"/>
    <cellStyle name="Normal 7 2 2 3 2" xfId="952"/>
    <cellStyle name="Normal 7 2 2 3 2 2" xfId="3428"/>
    <cellStyle name="Normal 7 2 2 3 2 2 2" xfId="12570"/>
    <cellStyle name="Normal 7 2 2 3 2 2 2 2" xfId="22789"/>
    <cellStyle name="Normal 7 2 2 3 2 2 3" xfId="8992"/>
    <cellStyle name="Normal 7 2 2 3 2 2 4" xfId="17782"/>
    <cellStyle name="Normal 7 2 2 3 2 3" xfId="4758"/>
    <cellStyle name="Normal 7 2 2 3 2 3 2" xfId="13595"/>
    <cellStyle name="Normal 7 2 2 3 2 3 2 2" xfId="23846"/>
    <cellStyle name="Normal 7 2 2 3 2 3 3" xfId="10016"/>
    <cellStyle name="Normal 7 2 2 3 2 3 4" xfId="18839"/>
    <cellStyle name="Normal 7 2 2 3 2 4" xfId="2537"/>
    <cellStyle name="Normal 7 2 2 3 2 4 2" xfId="11902"/>
    <cellStyle name="Normal 7 2 2 3 2 4 3" xfId="21906"/>
    <cellStyle name="Normal 7 2 2 3 2 5" xfId="6213"/>
    <cellStyle name="Normal 7 2 2 3 2 5 2" xfId="15040"/>
    <cellStyle name="Normal 7 2 2 3 2 5 3" xfId="25291"/>
    <cellStyle name="Normal 7 2 2 3 2 6" xfId="7659"/>
    <cellStyle name="Normal 7 2 2 3 2 6 2" xfId="20388"/>
    <cellStyle name="Normal 7 2 2 3 2 7" xfId="16899"/>
    <cellStyle name="Normal 7 2 2 3 3" xfId="1267"/>
    <cellStyle name="Normal 7 2 2 3 3 2" xfId="3696"/>
    <cellStyle name="Normal 7 2 2 3 3 2 2" xfId="12832"/>
    <cellStyle name="Normal 7 2 2 3 3 2 2 2" xfId="23051"/>
    <cellStyle name="Normal 7 2 2 3 3 2 3" xfId="9253"/>
    <cellStyle name="Normal 7 2 2 3 3 2 4" xfId="18044"/>
    <cellStyle name="Normal 7 2 2 3 3 3" xfId="5106"/>
    <cellStyle name="Normal 7 2 2 3 3 3 2" xfId="13943"/>
    <cellStyle name="Normal 7 2 2 3 3 3 2 2" xfId="24194"/>
    <cellStyle name="Normal 7 2 2 3 3 3 3" xfId="10364"/>
    <cellStyle name="Normal 7 2 2 3 3 3 4" xfId="19187"/>
    <cellStyle name="Normal 7 2 2 3 3 4" xfId="2090"/>
    <cellStyle name="Normal 7 2 2 3 3 4 2" xfId="11455"/>
    <cellStyle name="Normal 7 2 2 3 3 4 3" xfId="21459"/>
    <cellStyle name="Normal 7 2 2 3 3 5" xfId="6561"/>
    <cellStyle name="Normal 7 2 2 3 3 5 2" xfId="15388"/>
    <cellStyle name="Normal 7 2 2 3 3 5 3" xfId="25639"/>
    <cellStyle name="Normal 7 2 2 3 3 6" xfId="8007"/>
    <cellStyle name="Normal 7 2 2 3 3 6 2" xfId="20650"/>
    <cellStyle name="Normal 7 2 2 3 3 7" xfId="16452"/>
    <cellStyle name="Normal 7 2 2 3 4" xfId="2981"/>
    <cellStyle name="Normal 7 2 2 3 4 2" xfId="5359"/>
    <cellStyle name="Normal 7 2 2 3 4 2 2" xfId="14196"/>
    <cellStyle name="Normal 7 2 2 3 4 2 2 2" xfId="24447"/>
    <cellStyle name="Normal 7 2 2 3 4 2 3" xfId="10617"/>
    <cellStyle name="Normal 7 2 2 3 4 2 4" xfId="19440"/>
    <cellStyle name="Normal 7 2 2 3 4 3" xfId="6814"/>
    <cellStyle name="Normal 7 2 2 3 4 3 2" xfId="15641"/>
    <cellStyle name="Normal 7 2 2 3 4 3 3" xfId="25892"/>
    <cellStyle name="Normal 7 2 2 3 4 4" xfId="8260"/>
    <cellStyle name="Normal 7 2 2 3 4 4 2" xfId="22342"/>
    <cellStyle name="Normal 7 2 2 3 4 5" xfId="17335"/>
    <cellStyle name="Normal 7 2 2 3 5" xfId="4315"/>
    <cellStyle name="Normal 7 2 2 3 5 2" xfId="13153"/>
    <cellStyle name="Normal 7 2 2 3 5 2 2" xfId="23404"/>
    <cellStyle name="Normal 7 2 2 3 5 3" xfId="9574"/>
    <cellStyle name="Normal 7 2 2 3 5 4" xfId="18397"/>
    <cellStyle name="Normal 7 2 2 3 6" xfId="1587"/>
    <cellStyle name="Normal 7 2 2 3 6 2" xfId="10964"/>
    <cellStyle name="Normal 7 2 2 3 6 3" xfId="20968"/>
    <cellStyle name="Normal 7 2 2 3 7" xfId="5771"/>
    <cellStyle name="Normal 7 2 2 3 7 2" xfId="14598"/>
    <cellStyle name="Normal 7 2 2 3 7 3" xfId="24849"/>
    <cellStyle name="Normal 7 2 2 3 8" xfId="7215"/>
    <cellStyle name="Normal 7 2 2 3 8 2" xfId="19941"/>
    <cellStyle name="Normal 7 2 2 3 9" xfId="15961"/>
    <cellStyle name="Normal 7 2 2 3_Degree data" xfId="4058"/>
    <cellStyle name="Normal 7 2 2 4" xfId="395"/>
    <cellStyle name="Normal 7 2 2 4 2" xfId="2881"/>
    <cellStyle name="Normal 7 2 2 4 2 2" xfId="12169"/>
    <cellStyle name="Normal 7 2 2 4 2 2 2" xfId="22242"/>
    <cellStyle name="Normal 7 2 2 4 2 3" xfId="8606"/>
    <cellStyle name="Normal 7 2 2 4 2 4" xfId="17235"/>
    <cellStyle name="Normal 7 2 2 4 3" xfId="4756"/>
    <cellStyle name="Normal 7 2 2 4 3 2" xfId="13593"/>
    <cellStyle name="Normal 7 2 2 4 3 2 2" xfId="23844"/>
    <cellStyle name="Normal 7 2 2 4 3 3" xfId="10014"/>
    <cellStyle name="Normal 7 2 2 4 3 4" xfId="18837"/>
    <cellStyle name="Normal 7 2 2 4 4" xfId="1990"/>
    <cellStyle name="Normal 7 2 2 4 4 2" xfId="11355"/>
    <cellStyle name="Normal 7 2 2 4 4 3" xfId="21359"/>
    <cellStyle name="Normal 7 2 2 4 5" xfId="6211"/>
    <cellStyle name="Normal 7 2 2 4 5 2" xfId="15038"/>
    <cellStyle name="Normal 7 2 2 4 5 3" xfId="25289"/>
    <cellStyle name="Normal 7 2 2 4 6" xfId="7657"/>
    <cellStyle name="Normal 7 2 2 4 6 2" xfId="19841"/>
    <cellStyle name="Normal 7 2 2 4 7" xfId="16352"/>
    <cellStyle name="Normal 7 2 2 5" xfId="950"/>
    <cellStyle name="Normal 7 2 2 5 2" xfId="3426"/>
    <cellStyle name="Normal 7 2 2 5 2 2" xfId="12568"/>
    <cellStyle name="Normal 7 2 2 5 2 2 2" xfId="22787"/>
    <cellStyle name="Normal 7 2 2 5 2 3" xfId="8990"/>
    <cellStyle name="Normal 7 2 2 5 2 4" xfId="17780"/>
    <cellStyle name="Normal 7 2 2 5 3" xfId="5104"/>
    <cellStyle name="Normal 7 2 2 5 3 2" xfId="13941"/>
    <cellStyle name="Normal 7 2 2 5 3 2 2" xfId="24192"/>
    <cellStyle name="Normal 7 2 2 5 3 3" xfId="10362"/>
    <cellStyle name="Normal 7 2 2 5 3 4" xfId="19185"/>
    <cellStyle name="Normal 7 2 2 5 4" xfId="2535"/>
    <cellStyle name="Normal 7 2 2 5 4 2" xfId="11900"/>
    <cellStyle name="Normal 7 2 2 5 4 3" xfId="21904"/>
    <cellStyle name="Normal 7 2 2 5 5" xfId="6559"/>
    <cellStyle name="Normal 7 2 2 5 5 2" xfId="15386"/>
    <cellStyle name="Normal 7 2 2 5 5 3" xfId="25637"/>
    <cellStyle name="Normal 7 2 2 5 6" xfId="8005"/>
    <cellStyle name="Normal 7 2 2 5 6 2" xfId="20386"/>
    <cellStyle name="Normal 7 2 2 5 7" xfId="16897"/>
    <cellStyle name="Normal 7 2 2 6" xfId="1167"/>
    <cellStyle name="Normal 7 2 2 6 2" xfId="3596"/>
    <cellStyle name="Normal 7 2 2 6 2 2" xfId="12732"/>
    <cellStyle name="Normal 7 2 2 6 2 2 2" xfId="22951"/>
    <cellStyle name="Normal 7 2 2 6 2 3" xfId="9153"/>
    <cellStyle name="Normal 7 2 2 6 2 4" xfId="17944"/>
    <cellStyle name="Normal 7 2 2 6 3" xfId="5259"/>
    <cellStyle name="Normal 7 2 2 6 3 2" xfId="14096"/>
    <cellStyle name="Normal 7 2 2 6 3 2 2" xfId="24347"/>
    <cellStyle name="Normal 7 2 2 6 3 3" xfId="10517"/>
    <cellStyle name="Normal 7 2 2 6 3 4" xfId="19340"/>
    <cellStyle name="Normal 7 2 2 6 4" xfId="1767"/>
    <cellStyle name="Normal 7 2 2 6 4 2" xfId="11138"/>
    <cellStyle name="Normal 7 2 2 6 4 3" xfId="21142"/>
    <cellStyle name="Normal 7 2 2 6 5" xfId="6714"/>
    <cellStyle name="Normal 7 2 2 6 5 2" xfId="15541"/>
    <cellStyle name="Normal 7 2 2 6 5 3" xfId="25792"/>
    <cellStyle name="Normal 7 2 2 6 6" xfId="8160"/>
    <cellStyle name="Normal 7 2 2 6 6 2" xfId="20550"/>
    <cellStyle name="Normal 7 2 2 6 7" xfId="16135"/>
    <cellStyle name="Normal 7 2 2 7" xfId="2664"/>
    <cellStyle name="Normal 7 2 2 7 2" xfId="11984"/>
    <cellStyle name="Normal 7 2 2 7 2 2" xfId="22025"/>
    <cellStyle name="Normal 7 2 2 7 3" xfId="8577"/>
    <cellStyle name="Normal 7 2 2 7 4" xfId="17018"/>
    <cellStyle name="Normal 7 2 2 8" xfId="4215"/>
    <cellStyle name="Normal 7 2 2 8 2" xfId="13053"/>
    <cellStyle name="Normal 7 2 2 8 2 2" xfId="23304"/>
    <cellStyle name="Normal 7 2 2 8 3" xfId="9474"/>
    <cellStyle name="Normal 7 2 2 8 4" xfId="18297"/>
    <cellStyle name="Normal 7 2 2 9" xfId="1487"/>
    <cellStyle name="Normal 7 2 2 9 2" xfId="10864"/>
    <cellStyle name="Normal 7 2 2 9 3" xfId="20868"/>
    <cellStyle name="Normal 7 2 2_Degree data" xfId="4056"/>
    <cellStyle name="Normal 7 2 3" xfId="212"/>
    <cellStyle name="Normal 7 2 3 10" xfId="7158"/>
    <cellStyle name="Normal 7 2 3 10 2" xfId="19667"/>
    <cellStyle name="Normal 7 2 3 11" xfId="15904"/>
    <cellStyle name="Normal 7 2 3 2" xfId="538"/>
    <cellStyle name="Normal 7 2 3 2 2" xfId="954"/>
    <cellStyle name="Normal 7 2 3 2 2 2" xfId="3430"/>
    <cellStyle name="Normal 7 2 3 2 2 2 2" xfId="12572"/>
    <cellStyle name="Normal 7 2 3 2 2 2 2 2" xfId="22791"/>
    <cellStyle name="Normal 7 2 3 2 2 2 3" xfId="8994"/>
    <cellStyle name="Normal 7 2 3 2 2 2 4" xfId="17784"/>
    <cellStyle name="Normal 7 2 3 2 2 3" xfId="4760"/>
    <cellStyle name="Normal 7 2 3 2 2 3 2" xfId="13597"/>
    <cellStyle name="Normal 7 2 3 2 2 3 2 2" xfId="23848"/>
    <cellStyle name="Normal 7 2 3 2 2 3 3" xfId="10018"/>
    <cellStyle name="Normal 7 2 3 2 2 3 4" xfId="18841"/>
    <cellStyle name="Normal 7 2 3 2 2 4" xfId="2539"/>
    <cellStyle name="Normal 7 2 3 2 2 4 2" xfId="11904"/>
    <cellStyle name="Normal 7 2 3 2 2 4 3" xfId="21908"/>
    <cellStyle name="Normal 7 2 3 2 2 5" xfId="6215"/>
    <cellStyle name="Normal 7 2 3 2 2 5 2" xfId="15042"/>
    <cellStyle name="Normal 7 2 3 2 2 5 3" xfId="25293"/>
    <cellStyle name="Normal 7 2 3 2 2 6" xfId="7661"/>
    <cellStyle name="Normal 7 2 3 2 2 6 2" xfId="20390"/>
    <cellStyle name="Normal 7 2 3 2 2 7" xfId="16901"/>
    <cellStyle name="Normal 7 2 3 2 3" xfId="1310"/>
    <cellStyle name="Normal 7 2 3 2 3 2" xfId="3739"/>
    <cellStyle name="Normal 7 2 3 2 3 2 2" xfId="12875"/>
    <cellStyle name="Normal 7 2 3 2 3 2 2 2" xfId="23094"/>
    <cellStyle name="Normal 7 2 3 2 3 2 3" xfId="9296"/>
    <cellStyle name="Normal 7 2 3 2 3 2 4" xfId="18087"/>
    <cellStyle name="Normal 7 2 3 2 3 3" xfId="5108"/>
    <cellStyle name="Normal 7 2 3 2 3 3 2" xfId="13945"/>
    <cellStyle name="Normal 7 2 3 2 3 3 2 2" xfId="24196"/>
    <cellStyle name="Normal 7 2 3 2 3 3 3" xfId="10366"/>
    <cellStyle name="Normal 7 2 3 2 3 3 4" xfId="19189"/>
    <cellStyle name="Normal 7 2 3 2 3 4" xfId="2133"/>
    <cellStyle name="Normal 7 2 3 2 3 4 2" xfId="11498"/>
    <cellStyle name="Normal 7 2 3 2 3 4 3" xfId="21502"/>
    <cellStyle name="Normal 7 2 3 2 3 5" xfId="6563"/>
    <cellStyle name="Normal 7 2 3 2 3 5 2" xfId="15390"/>
    <cellStyle name="Normal 7 2 3 2 3 5 3" xfId="25641"/>
    <cellStyle name="Normal 7 2 3 2 3 6" xfId="8009"/>
    <cellStyle name="Normal 7 2 3 2 3 6 2" xfId="20693"/>
    <cellStyle name="Normal 7 2 3 2 3 7" xfId="16495"/>
    <cellStyle name="Normal 7 2 3 2 4" xfId="3024"/>
    <cellStyle name="Normal 7 2 3 2 4 2" xfId="5402"/>
    <cellStyle name="Normal 7 2 3 2 4 2 2" xfId="14239"/>
    <cellStyle name="Normal 7 2 3 2 4 2 2 2" xfId="24490"/>
    <cellStyle name="Normal 7 2 3 2 4 2 3" xfId="10660"/>
    <cellStyle name="Normal 7 2 3 2 4 2 4" xfId="19483"/>
    <cellStyle name="Normal 7 2 3 2 4 3" xfId="6857"/>
    <cellStyle name="Normal 7 2 3 2 4 3 2" xfId="15684"/>
    <cellStyle name="Normal 7 2 3 2 4 3 3" xfId="25935"/>
    <cellStyle name="Normal 7 2 3 2 4 4" xfId="8303"/>
    <cellStyle name="Normal 7 2 3 2 4 4 2" xfId="22385"/>
    <cellStyle name="Normal 7 2 3 2 4 5" xfId="17378"/>
    <cellStyle name="Normal 7 2 3 2 5" xfId="4358"/>
    <cellStyle name="Normal 7 2 3 2 5 2" xfId="13196"/>
    <cellStyle name="Normal 7 2 3 2 5 2 2" xfId="23447"/>
    <cellStyle name="Normal 7 2 3 2 5 3" xfId="9617"/>
    <cellStyle name="Normal 7 2 3 2 5 4" xfId="18440"/>
    <cellStyle name="Normal 7 2 3 2 6" xfId="1630"/>
    <cellStyle name="Normal 7 2 3 2 6 2" xfId="11007"/>
    <cellStyle name="Normal 7 2 3 2 6 3" xfId="21011"/>
    <cellStyle name="Normal 7 2 3 2 7" xfId="5814"/>
    <cellStyle name="Normal 7 2 3 2 7 2" xfId="14641"/>
    <cellStyle name="Normal 7 2 3 2 7 3" xfId="24892"/>
    <cellStyle name="Normal 7 2 3 2 8" xfId="7258"/>
    <cellStyle name="Normal 7 2 3 2 8 2" xfId="19984"/>
    <cellStyle name="Normal 7 2 3 2 9" xfId="16004"/>
    <cellStyle name="Normal 7 2 3 2_Degree data" xfId="4060"/>
    <cellStyle name="Normal 7 2 3 3" xfId="438"/>
    <cellStyle name="Normal 7 2 3 3 2" xfId="2924"/>
    <cellStyle name="Normal 7 2 3 3 2 2" xfId="12212"/>
    <cellStyle name="Normal 7 2 3 3 2 2 2" xfId="22285"/>
    <cellStyle name="Normal 7 2 3 3 2 3" xfId="8589"/>
    <cellStyle name="Normal 7 2 3 3 2 4" xfId="17278"/>
    <cellStyle name="Normal 7 2 3 3 3" xfId="4759"/>
    <cellStyle name="Normal 7 2 3 3 3 2" xfId="13596"/>
    <cellStyle name="Normal 7 2 3 3 3 2 2" xfId="23847"/>
    <cellStyle name="Normal 7 2 3 3 3 3" xfId="10017"/>
    <cellStyle name="Normal 7 2 3 3 3 4" xfId="18840"/>
    <cellStyle name="Normal 7 2 3 3 4" xfId="2033"/>
    <cellStyle name="Normal 7 2 3 3 4 2" xfId="11398"/>
    <cellStyle name="Normal 7 2 3 3 4 3" xfId="21402"/>
    <cellStyle name="Normal 7 2 3 3 5" xfId="6214"/>
    <cellStyle name="Normal 7 2 3 3 5 2" xfId="15041"/>
    <cellStyle name="Normal 7 2 3 3 5 3" xfId="25292"/>
    <cellStyle name="Normal 7 2 3 3 6" xfId="7660"/>
    <cellStyle name="Normal 7 2 3 3 6 2" xfId="19884"/>
    <cellStyle name="Normal 7 2 3 3 7" xfId="16395"/>
    <cellStyle name="Normal 7 2 3 4" xfId="953"/>
    <cellStyle name="Normal 7 2 3 4 2" xfId="3429"/>
    <cellStyle name="Normal 7 2 3 4 2 2" xfId="12571"/>
    <cellStyle name="Normal 7 2 3 4 2 2 2" xfId="22790"/>
    <cellStyle name="Normal 7 2 3 4 2 3" xfId="8993"/>
    <cellStyle name="Normal 7 2 3 4 2 4" xfId="17783"/>
    <cellStyle name="Normal 7 2 3 4 3" xfId="5107"/>
    <cellStyle name="Normal 7 2 3 4 3 2" xfId="13944"/>
    <cellStyle name="Normal 7 2 3 4 3 2 2" xfId="24195"/>
    <cellStyle name="Normal 7 2 3 4 3 3" xfId="10365"/>
    <cellStyle name="Normal 7 2 3 4 3 4" xfId="19188"/>
    <cellStyle name="Normal 7 2 3 4 4" xfId="2538"/>
    <cellStyle name="Normal 7 2 3 4 4 2" xfId="11903"/>
    <cellStyle name="Normal 7 2 3 4 4 3" xfId="21907"/>
    <cellStyle name="Normal 7 2 3 4 5" xfId="6562"/>
    <cellStyle name="Normal 7 2 3 4 5 2" xfId="15389"/>
    <cellStyle name="Normal 7 2 3 4 5 3" xfId="25640"/>
    <cellStyle name="Normal 7 2 3 4 6" xfId="8008"/>
    <cellStyle name="Normal 7 2 3 4 6 2" xfId="20389"/>
    <cellStyle name="Normal 7 2 3 4 7" xfId="16900"/>
    <cellStyle name="Normal 7 2 3 5" xfId="1210"/>
    <cellStyle name="Normal 7 2 3 5 2" xfId="3639"/>
    <cellStyle name="Normal 7 2 3 5 2 2" xfId="12775"/>
    <cellStyle name="Normal 7 2 3 5 2 2 2" xfId="22994"/>
    <cellStyle name="Normal 7 2 3 5 2 3" xfId="9196"/>
    <cellStyle name="Normal 7 2 3 5 2 4" xfId="17987"/>
    <cellStyle name="Normal 7 2 3 5 3" xfId="5302"/>
    <cellStyle name="Normal 7 2 3 5 3 2" xfId="14139"/>
    <cellStyle name="Normal 7 2 3 5 3 2 2" xfId="24390"/>
    <cellStyle name="Normal 7 2 3 5 3 3" xfId="10560"/>
    <cellStyle name="Normal 7 2 3 5 3 4" xfId="19383"/>
    <cellStyle name="Normal 7 2 3 5 4" xfId="1813"/>
    <cellStyle name="Normal 7 2 3 5 4 2" xfId="11181"/>
    <cellStyle name="Normal 7 2 3 5 4 3" xfId="21185"/>
    <cellStyle name="Normal 7 2 3 5 5" xfId="6757"/>
    <cellStyle name="Normal 7 2 3 5 5 2" xfId="15584"/>
    <cellStyle name="Normal 7 2 3 5 5 3" xfId="25835"/>
    <cellStyle name="Normal 7 2 3 5 6" xfId="8203"/>
    <cellStyle name="Normal 7 2 3 5 6 2" xfId="20593"/>
    <cellStyle name="Normal 7 2 3 5 7" xfId="16178"/>
    <cellStyle name="Normal 7 2 3 6" xfId="2707"/>
    <cellStyle name="Normal 7 2 3 6 2" xfId="12024"/>
    <cellStyle name="Normal 7 2 3 6 2 2" xfId="22068"/>
    <cellStyle name="Normal 7 2 3 6 3" xfId="8501"/>
    <cellStyle name="Normal 7 2 3 6 4" xfId="17061"/>
    <cellStyle name="Normal 7 2 3 7" xfId="4258"/>
    <cellStyle name="Normal 7 2 3 7 2" xfId="13096"/>
    <cellStyle name="Normal 7 2 3 7 2 2" xfId="23347"/>
    <cellStyle name="Normal 7 2 3 7 3" xfId="9517"/>
    <cellStyle name="Normal 7 2 3 7 4" xfId="18340"/>
    <cellStyle name="Normal 7 2 3 8" xfId="1530"/>
    <cellStyle name="Normal 7 2 3 8 2" xfId="10907"/>
    <cellStyle name="Normal 7 2 3 8 3" xfId="20911"/>
    <cellStyle name="Normal 7 2 3 9" xfId="5714"/>
    <cellStyle name="Normal 7 2 3 9 2" xfId="14541"/>
    <cellStyle name="Normal 7 2 3 9 3" xfId="24792"/>
    <cellStyle name="Normal 7 2 3_Degree data" xfId="4059"/>
    <cellStyle name="Normal 7 2 4" xfId="247"/>
    <cellStyle name="Normal 7 2 4 10" xfId="7085"/>
    <cellStyle name="Normal 7 2 4 10 2" xfId="19699"/>
    <cellStyle name="Normal 7 2 4 11" xfId="15831"/>
    <cellStyle name="Normal 7 2 4 2" xfId="570"/>
    <cellStyle name="Normal 7 2 4 2 2" xfId="956"/>
    <cellStyle name="Normal 7 2 4 2 2 2" xfId="3432"/>
    <cellStyle name="Normal 7 2 4 2 2 2 2" xfId="12574"/>
    <cellStyle name="Normal 7 2 4 2 2 2 2 2" xfId="22793"/>
    <cellStyle name="Normal 7 2 4 2 2 2 3" xfId="8996"/>
    <cellStyle name="Normal 7 2 4 2 2 2 4" xfId="17786"/>
    <cellStyle name="Normal 7 2 4 2 2 3" xfId="4762"/>
    <cellStyle name="Normal 7 2 4 2 2 3 2" xfId="13599"/>
    <cellStyle name="Normal 7 2 4 2 2 3 2 2" xfId="23850"/>
    <cellStyle name="Normal 7 2 4 2 2 3 3" xfId="10020"/>
    <cellStyle name="Normal 7 2 4 2 2 3 4" xfId="18843"/>
    <cellStyle name="Normal 7 2 4 2 2 4" xfId="2541"/>
    <cellStyle name="Normal 7 2 4 2 2 4 2" xfId="11906"/>
    <cellStyle name="Normal 7 2 4 2 2 4 3" xfId="21910"/>
    <cellStyle name="Normal 7 2 4 2 2 5" xfId="6217"/>
    <cellStyle name="Normal 7 2 4 2 2 5 2" xfId="15044"/>
    <cellStyle name="Normal 7 2 4 2 2 5 3" xfId="25295"/>
    <cellStyle name="Normal 7 2 4 2 2 6" xfId="7663"/>
    <cellStyle name="Normal 7 2 4 2 2 6 2" xfId="20392"/>
    <cellStyle name="Normal 7 2 4 2 2 7" xfId="16903"/>
    <cellStyle name="Normal 7 2 4 2 3" xfId="1342"/>
    <cellStyle name="Normal 7 2 4 2 3 2" xfId="3771"/>
    <cellStyle name="Normal 7 2 4 2 3 2 2" xfId="12907"/>
    <cellStyle name="Normal 7 2 4 2 3 2 2 2" xfId="23126"/>
    <cellStyle name="Normal 7 2 4 2 3 2 3" xfId="9328"/>
    <cellStyle name="Normal 7 2 4 2 3 2 4" xfId="18119"/>
    <cellStyle name="Normal 7 2 4 2 3 3" xfId="5110"/>
    <cellStyle name="Normal 7 2 4 2 3 3 2" xfId="13947"/>
    <cellStyle name="Normal 7 2 4 2 3 3 2 2" xfId="24198"/>
    <cellStyle name="Normal 7 2 4 2 3 3 3" xfId="10368"/>
    <cellStyle name="Normal 7 2 4 2 3 3 4" xfId="19191"/>
    <cellStyle name="Normal 7 2 4 2 3 4" xfId="2165"/>
    <cellStyle name="Normal 7 2 4 2 3 4 2" xfId="11530"/>
    <cellStyle name="Normal 7 2 4 2 3 4 3" xfId="21534"/>
    <cellStyle name="Normal 7 2 4 2 3 5" xfId="6565"/>
    <cellStyle name="Normal 7 2 4 2 3 5 2" xfId="15392"/>
    <cellStyle name="Normal 7 2 4 2 3 5 3" xfId="25643"/>
    <cellStyle name="Normal 7 2 4 2 3 6" xfId="8011"/>
    <cellStyle name="Normal 7 2 4 2 3 6 2" xfId="20725"/>
    <cellStyle name="Normal 7 2 4 2 3 7" xfId="16527"/>
    <cellStyle name="Normal 7 2 4 2 4" xfId="3056"/>
    <cellStyle name="Normal 7 2 4 2 4 2" xfId="5434"/>
    <cellStyle name="Normal 7 2 4 2 4 2 2" xfId="14271"/>
    <cellStyle name="Normal 7 2 4 2 4 2 2 2" xfId="24522"/>
    <cellStyle name="Normal 7 2 4 2 4 2 3" xfId="10692"/>
    <cellStyle name="Normal 7 2 4 2 4 2 4" xfId="19515"/>
    <cellStyle name="Normal 7 2 4 2 4 3" xfId="6889"/>
    <cellStyle name="Normal 7 2 4 2 4 3 2" xfId="15716"/>
    <cellStyle name="Normal 7 2 4 2 4 3 3" xfId="25967"/>
    <cellStyle name="Normal 7 2 4 2 4 4" xfId="8335"/>
    <cellStyle name="Normal 7 2 4 2 4 4 2" xfId="22417"/>
    <cellStyle name="Normal 7 2 4 2 4 5" xfId="17410"/>
    <cellStyle name="Normal 7 2 4 2 5" xfId="4390"/>
    <cellStyle name="Normal 7 2 4 2 5 2" xfId="13228"/>
    <cellStyle name="Normal 7 2 4 2 5 2 2" xfId="23479"/>
    <cellStyle name="Normal 7 2 4 2 5 3" xfId="9649"/>
    <cellStyle name="Normal 7 2 4 2 5 4" xfId="18472"/>
    <cellStyle name="Normal 7 2 4 2 6" xfId="1662"/>
    <cellStyle name="Normal 7 2 4 2 6 2" xfId="11039"/>
    <cellStyle name="Normal 7 2 4 2 6 3" xfId="21043"/>
    <cellStyle name="Normal 7 2 4 2 7" xfId="5846"/>
    <cellStyle name="Normal 7 2 4 2 7 2" xfId="14673"/>
    <cellStyle name="Normal 7 2 4 2 7 3" xfId="24924"/>
    <cellStyle name="Normal 7 2 4 2 8" xfId="7290"/>
    <cellStyle name="Normal 7 2 4 2 8 2" xfId="20016"/>
    <cellStyle name="Normal 7 2 4 2 9" xfId="16036"/>
    <cellStyle name="Normal 7 2 4 2_Degree data" xfId="4062"/>
    <cellStyle name="Normal 7 2 4 3" xfId="365"/>
    <cellStyle name="Normal 7 2 4 3 2" xfId="2851"/>
    <cellStyle name="Normal 7 2 4 3 2 2" xfId="12139"/>
    <cellStyle name="Normal 7 2 4 3 2 2 2" xfId="22212"/>
    <cellStyle name="Normal 7 2 4 3 2 3" xfId="8409"/>
    <cellStyle name="Normal 7 2 4 3 2 4" xfId="17205"/>
    <cellStyle name="Normal 7 2 4 3 3" xfId="4761"/>
    <cellStyle name="Normal 7 2 4 3 3 2" xfId="13598"/>
    <cellStyle name="Normal 7 2 4 3 3 2 2" xfId="23849"/>
    <cellStyle name="Normal 7 2 4 3 3 3" xfId="10019"/>
    <cellStyle name="Normal 7 2 4 3 3 4" xfId="18842"/>
    <cellStyle name="Normal 7 2 4 3 4" xfId="1960"/>
    <cellStyle name="Normal 7 2 4 3 4 2" xfId="11325"/>
    <cellStyle name="Normal 7 2 4 3 4 3" xfId="21329"/>
    <cellStyle name="Normal 7 2 4 3 5" xfId="6216"/>
    <cellStyle name="Normal 7 2 4 3 5 2" xfId="15043"/>
    <cellStyle name="Normal 7 2 4 3 5 3" xfId="25294"/>
    <cellStyle name="Normal 7 2 4 3 6" xfId="7662"/>
    <cellStyle name="Normal 7 2 4 3 6 2" xfId="19811"/>
    <cellStyle name="Normal 7 2 4 3 7" xfId="16322"/>
    <cellStyle name="Normal 7 2 4 4" xfId="955"/>
    <cellStyle name="Normal 7 2 4 4 2" xfId="3431"/>
    <cellStyle name="Normal 7 2 4 4 2 2" xfId="12573"/>
    <cellStyle name="Normal 7 2 4 4 2 2 2" xfId="22792"/>
    <cellStyle name="Normal 7 2 4 4 2 3" xfId="8995"/>
    <cellStyle name="Normal 7 2 4 4 2 4" xfId="17785"/>
    <cellStyle name="Normal 7 2 4 4 3" xfId="5109"/>
    <cellStyle name="Normal 7 2 4 4 3 2" xfId="13946"/>
    <cellStyle name="Normal 7 2 4 4 3 2 2" xfId="24197"/>
    <cellStyle name="Normal 7 2 4 4 3 3" xfId="10367"/>
    <cellStyle name="Normal 7 2 4 4 3 4" xfId="19190"/>
    <cellStyle name="Normal 7 2 4 4 4" xfId="2540"/>
    <cellStyle name="Normal 7 2 4 4 4 2" xfId="11905"/>
    <cellStyle name="Normal 7 2 4 4 4 3" xfId="21909"/>
    <cellStyle name="Normal 7 2 4 4 5" xfId="6564"/>
    <cellStyle name="Normal 7 2 4 4 5 2" xfId="15391"/>
    <cellStyle name="Normal 7 2 4 4 5 3" xfId="25642"/>
    <cellStyle name="Normal 7 2 4 4 6" xfId="8010"/>
    <cellStyle name="Normal 7 2 4 4 6 2" xfId="20391"/>
    <cellStyle name="Normal 7 2 4 4 7" xfId="16902"/>
    <cellStyle name="Normal 7 2 4 5" xfId="1137"/>
    <cellStyle name="Normal 7 2 4 5 2" xfId="3566"/>
    <cellStyle name="Normal 7 2 4 5 2 2" xfId="12702"/>
    <cellStyle name="Normal 7 2 4 5 2 2 2" xfId="22921"/>
    <cellStyle name="Normal 7 2 4 5 2 3" xfId="9123"/>
    <cellStyle name="Normal 7 2 4 5 2 4" xfId="17914"/>
    <cellStyle name="Normal 7 2 4 5 3" xfId="5229"/>
    <cellStyle name="Normal 7 2 4 5 3 2" xfId="14066"/>
    <cellStyle name="Normal 7 2 4 5 3 2 2" xfId="24317"/>
    <cellStyle name="Normal 7 2 4 5 3 3" xfId="10487"/>
    <cellStyle name="Normal 7 2 4 5 3 4" xfId="19310"/>
    <cellStyle name="Normal 7 2 4 5 4" xfId="1845"/>
    <cellStyle name="Normal 7 2 4 5 4 2" xfId="11213"/>
    <cellStyle name="Normal 7 2 4 5 4 3" xfId="21217"/>
    <cellStyle name="Normal 7 2 4 5 5" xfId="6684"/>
    <cellStyle name="Normal 7 2 4 5 5 2" xfId="15511"/>
    <cellStyle name="Normal 7 2 4 5 5 3" xfId="25762"/>
    <cellStyle name="Normal 7 2 4 5 6" xfId="8130"/>
    <cellStyle name="Normal 7 2 4 5 6 2" xfId="20520"/>
    <cellStyle name="Normal 7 2 4 5 7" xfId="16210"/>
    <cellStyle name="Normal 7 2 4 6" xfId="2739"/>
    <cellStyle name="Normal 7 2 4 6 2" xfId="12056"/>
    <cellStyle name="Normal 7 2 4 6 2 2" xfId="22100"/>
    <cellStyle name="Normal 7 2 4 6 3" xfId="8494"/>
    <cellStyle name="Normal 7 2 4 6 4" xfId="17093"/>
    <cellStyle name="Normal 7 2 4 7" xfId="4185"/>
    <cellStyle name="Normal 7 2 4 7 2" xfId="13023"/>
    <cellStyle name="Normal 7 2 4 7 2 2" xfId="23274"/>
    <cellStyle name="Normal 7 2 4 7 3" xfId="9444"/>
    <cellStyle name="Normal 7 2 4 7 4" xfId="18267"/>
    <cellStyle name="Normal 7 2 4 8" xfId="1457"/>
    <cellStyle name="Normal 7 2 4 8 2" xfId="10834"/>
    <cellStyle name="Normal 7 2 4 8 3" xfId="20838"/>
    <cellStyle name="Normal 7 2 4 9" xfId="5641"/>
    <cellStyle name="Normal 7 2 4 9 2" xfId="14468"/>
    <cellStyle name="Normal 7 2 4 9 3" xfId="24719"/>
    <cellStyle name="Normal 7 2 4_Degree data" xfId="4061"/>
    <cellStyle name="Normal 7 2 5" xfId="465"/>
    <cellStyle name="Normal 7 2 5 2" xfId="957"/>
    <cellStyle name="Normal 7 2 5 2 2" xfId="3433"/>
    <cellStyle name="Normal 7 2 5 2 2 2" xfId="12575"/>
    <cellStyle name="Normal 7 2 5 2 2 2 2" xfId="22794"/>
    <cellStyle name="Normal 7 2 5 2 2 3" xfId="8997"/>
    <cellStyle name="Normal 7 2 5 2 2 4" xfId="17787"/>
    <cellStyle name="Normal 7 2 5 2 3" xfId="4763"/>
    <cellStyle name="Normal 7 2 5 2 3 2" xfId="13600"/>
    <cellStyle name="Normal 7 2 5 2 3 2 2" xfId="23851"/>
    <cellStyle name="Normal 7 2 5 2 3 3" xfId="10021"/>
    <cellStyle name="Normal 7 2 5 2 3 4" xfId="18844"/>
    <cellStyle name="Normal 7 2 5 2 4" xfId="2542"/>
    <cellStyle name="Normal 7 2 5 2 4 2" xfId="11907"/>
    <cellStyle name="Normal 7 2 5 2 4 3" xfId="21911"/>
    <cellStyle name="Normal 7 2 5 2 5" xfId="6218"/>
    <cellStyle name="Normal 7 2 5 2 5 2" xfId="15045"/>
    <cellStyle name="Normal 7 2 5 2 5 3" xfId="25296"/>
    <cellStyle name="Normal 7 2 5 2 6" xfId="7664"/>
    <cellStyle name="Normal 7 2 5 2 6 2" xfId="20393"/>
    <cellStyle name="Normal 7 2 5 2 7" xfId="16904"/>
    <cellStyle name="Normal 7 2 5 3" xfId="1237"/>
    <cellStyle name="Normal 7 2 5 3 2" xfId="3666"/>
    <cellStyle name="Normal 7 2 5 3 2 2" xfId="12802"/>
    <cellStyle name="Normal 7 2 5 3 2 2 2" xfId="23021"/>
    <cellStyle name="Normal 7 2 5 3 2 3" xfId="9223"/>
    <cellStyle name="Normal 7 2 5 3 2 4" xfId="18014"/>
    <cellStyle name="Normal 7 2 5 3 3" xfId="5111"/>
    <cellStyle name="Normal 7 2 5 3 3 2" xfId="13948"/>
    <cellStyle name="Normal 7 2 5 3 3 2 2" xfId="24199"/>
    <cellStyle name="Normal 7 2 5 3 3 3" xfId="10369"/>
    <cellStyle name="Normal 7 2 5 3 3 4" xfId="19192"/>
    <cellStyle name="Normal 7 2 5 3 4" xfId="2060"/>
    <cellStyle name="Normal 7 2 5 3 4 2" xfId="11425"/>
    <cellStyle name="Normal 7 2 5 3 4 3" xfId="21429"/>
    <cellStyle name="Normal 7 2 5 3 5" xfId="6566"/>
    <cellStyle name="Normal 7 2 5 3 5 2" xfId="15393"/>
    <cellStyle name="Normal 7 2 5 3 5 3" xfId="25644"/>
    <cellStyle name="Normal 7 2 5 3 6" xfId="8012"/>
    <cellStyle name="Normal 7 2 5 3 6 2" xfId="20620"/>
    <cellStyle name="Normal 7 2 5 3 7" xfId="16422"/>
    <cellStyle name="Normal 7 2 5 4" xfId="2951"/>
    <cellStyle name="Normal 7 2 5 4 2" xfId="5329"/>
    <cellStyle name="Normal 7 2 5 4 2 2" xfId="14166"/>
    <cellStyle name="Normal 7 2 5 4 2 2 2" xfId="24417"/>
    <cellStyle name="Normal 7 2 5 4 2 3" xfId="10587"/>
    <cellStyle name="Normal 7 2 5 4 2 4" xfId="19410"/>
    <cellStyle name="Normal 7 2 5 4 3" xfId="6784"/>
    <cellStyle name="Normal 7 2 5 4 3 2" xfId="15611"/>
    <cellStyle name="Normal 7 2 5 4 3 3" xfId="25862"/>
    <cellStyle name="Normal 7 2 5 4 4" xfId="8230"/>
    <cellStyle name="Normal 7 2 5 4 4 2" xfId="22312"/>
    <cellStyle name="Normal 7 2 5 4 5" xfId="17305"/>
    <cellStyle name="Normal 7 2 5 5" xfId="4285"/>
    <cellStyle name="Normal 7 2 5 5 2" xfId="13123"/>
    <cellStyle name="Normal 7 2 5 5 2 2" xfId="23374"/>
    <cellStyle name="Normal 7 2 5 5 3" xfId="9544"/>
    <cellStyle name="Normal 7 2 5 5 4" xfId="18367"/>
    <cellStyle name="Normal 7 2 5 6" xfId="1557"/>
    <cellStyle name="Normal 7 2 5 6 2" xfId="10934"/>
    <cellStyle name="Normal 7 2 5 6 3" xfId="20938"/>
    <cellStyle name="Normal 7 2 5 7" xfId="5741"/>
    <cellStyle name="Normal 7 2 5 7 2" xfId="14568"/>
    <cellStyle name="Normal 7 2 5 7 3" xfId="24819"/>
    <cellStyle name="Normal 7 2 5 8" xfId="7185"/>
    <cellStyle name="Normal 7 2 5 8 2" xfId="19911"/>
    <cellStyle name="Normal 7 2 5 9" xfId="15931"/>
    <cellStyle name="Normal 7 2 5_Degree data" xfId="4063"/>
    <cellStyle name="Normal 7 2 6" xfId="338"/>
    <cellStyle name="Normal 7 2 6 2" xfId="958"/>
    <cellStyle name="Normal 7 2 6 2 2" xfId="3434"/>
    <cellStyle name="Normal 7 2 6 2 2 2" xfId="12576"/>
    <cellStyle name="Normal 7 2 6 2 2 2 2" xfId="22795"/>
    <cellStyle name="Normal 7 2 6 2 2 3" xfId="8998"/>
    <cellStyle name="Normal 7 2 6 2 2 4" xfId="17788"/>
    <cellStyle name="Normal 7 2 6 2 3" xfId="4764"/>
    <cellStyle name="Normal 7 2 6 2 3 2" xfId="13601"/>
    <cellStyle name="Normal 7 2 6 2 3 2 2" xfId="23852"/>
    <cellStyle name="Normal 7 2 6 2 3 3" xfId="10022"/>
    <cellStyle name="Normal 7 2 6 2 3 4" xfId="18845"/>
    <cellStyle name="Normal 7 2 6 2 4" xfId="2543"/>
    <cellStyle name="Normal 7 2 6 2 4 2" xfId="11908"/>
    <cellStyle name="Normal 7 2 6 2 4 3" xfId="21912"/>
    <cellStyle name="Normal 7 2 6 2 5" xfId="6219"/>
    <cellStyle name="Normal 7 2 6 2 5 2" xfId="15046"/>
    <cellStyle name="Normal 7 2 6 2 5 3" xfId="25297"/>
    <cellStyle name="Normal 7 2 6 2 6" xfId="7665"/>
    <cellStyle name="Normal 7 2 6 2 6 2" xfId="20394"/>
    <cellStyle name="Normal 7 2 6 2 7" xfId="16905"/>
    <cellStyle name="Normal 7 2 6 3" xfId="1110"/>
    <cellStyle name="Normal 7 2 6 3 2" xfId="3539"/>
    <cellStyle name="Normal 7 2 6 3 2 2" xfId="12675"/>
    <cellStyle name="Normal 7 2 6 3 2 2 2" xfId="22894"/>
    <cellStyle name="Normal 7 2 6 3 2 3" xfId="9096"/>
    <cellStyle name="Normal 7 2 6 3 2 4" xfId="17887"/>
    <cellStyle name="Normal 7 2 6 3 3" xfId="5112"/>
    <cellStyle name="Normal 7 2 6 3 3 2" xfId="13949"/>
    <cellStyle name="Normal 7 2 6 3 3 2 2" xfId="24200"/>
    <cellStyle name="Normal 7 2 6 3 3 3" xfId="10370"/>
    <cellStyle name="Normal 7 2 6 3 3 4" xfId="19193"/>
    <cellStyle name="Normal 7 2 6 3 4" xfId="2606"/>
    <cellStyle name="Normal 7 2 6 3 4 2" xfId="11970"/>
    <cellStyle name="Normal 7 2 6 3 4 3" xfId="21974"/>
    <cellStyle name="Normal 7 2 6 3 5" xfId="6567"/>
    <cellStyle name="Normal 7 2 6 3 5 2" xfId="15394"/>
    <cellStyle name="Normal 7 2 6 3 5 3" xfId="25645"/>
    <cellStyle name="Normal 7 2 6 3 6" xfId="8013"/>
    <cellStyle name="Normal 7 2 6 3 6 2" xfId="20493"/>
    <cellStyle name="Normal 7 2 6 3 7" xfId="16967"/>
    <cellStyle name="Normal 7 2 6 4" xfId="2824"/>
    <cellStyle name="Normal 7 2 6 4 2" xfId="5202"/>
    <cellStyle name="Normal 7 2 6 4 2 2" xfId="14039"/>
    <cellStyle name="Normal 7 2 6 4 2 2 2" xfId="24290"/>
    <cellStyle name="Normal 7 2 6 4 2 3" xfId="10460"/>
    <cellStyle name="Normal 7 2 6 4 2 4" xfId="19283"/>
    <cellStyle name="Normal 7 2 6 4 3" xfId="6657"/>
    <cellStyle name="Normal 7 2 6 4 3 2" xfId="15484"/>
    <cellStyle name="Normal 7 2 6 4 3 3" xfId="25735"/>
    <cellStyle name="Normal 7 2 6 4 4" xfId="8103"/>
    <cellStyle name="Normal 7 2 6 4 4 2" xfId="22185"/>
    <cellStyle name="Normal 7 2 6 4 5" xfId="17178"/>
    <cellStyle name="Normal 7 2 6 5" xfId="4156"/>
    <cellStyle name="Normal 7 2 6 5 2" xfId="12994"/>
    <cellStyle name="Normal 7 2 6 5 2 2" xfId="23245"/>
    <cellStyle name="Normal 7 2 6 5 3" xfId="9415"/>
    <cellStyle name="Normal 7 2 6 5 4" xfId="18238"/>
    <cellStyle name="Normal 7 2 6 6" xfId="1933"/>
    <cellStyle name="Normal 7 2 6 6 2" xfId="11298"/>
    <cellStyle name="Normal 7 2 6 6 3" xfId="21302"/>
    <cellStyle name="Normal 7 2 6 7" xfId="5614"/>
    <cellStyle name="Normal 7 2 6 7 2" xfId="14441"/>
    <cellStyle name="Normal 7 2 6 7 3" xfId="24692"/>
    <cellStyle name="Normal 7 2 6 8" xfId="7058"/>
    <cellStyle name="Normal 7 2 6 8 2" xfId="19784"/>
    <cellStyle name="Normal 7 2 6 9" xfId="16295"/>
    <cellStyle name="Normal 7 2 6_Degree data" xfId="4064"/>
    <cellStyle name="Normal 7 2 7" xfId="949"/>
    <cellStyle name="Normal 7 2 7 2" xfId="3425"/>
    <cellStyle name="Normal 7 2 7 2 2" xfId="12567"/>
    <cellStyle name="Normal 7 2 7 2 2 2" xfId="22786"/>
    <cellStyle name="Normal 7 2 7 2 3" xfId="8989"/>
    <cellStyle name="Normal 7 2 7 2 4" xfId="17779"/>
    <cellStyle name="Normal 7 2 7 3" xfId="4755"/>
    <cellStyle name="Normal 7 2 7 3 2" xfId="13592"/>
    <cellStyle name="Normal 7 2 7 3 2 2" xfId="23843"/>
    <cellStyle name="Normal 7 2 7 3 3" xfId="10013"/>
    <cellStyle name="Normal 7 2 7 3 4" xfId="18836"/>
    <cellStyle name="Normal 7 2 7 4" xfId="2534"/>
    <cellStyle name="Normal 7 2 7 4 2" xfId="11899"/>
    <cellStyle name="Normal 7 2 7 4 3" xfId="21903"/>
    <cellStyle name="Normal 7 2 7 5" xfId="6210"/>
    <cellStyle name="Normal 7 2 7 5 2" xfId="15037"/>
    <cellStyle name="Normal 7 2 7 5 3" xfId="25288"/>
    <cellStyle name="Normal 7 2 7 6" xfId="7656"/>
    <cellStyle name="Normal 7 2 7 6 2" xfId="20385"/>
    <cellStyle name="Normal 7 2 7 7" xfId="16896"/>
    <cellStyle name="Normal 7 2 8" xfId="1065"/>
    <cellStyle name="Normal 7 2 8 2" xfId="3494"/>
    <cellStyle name="Normal 7 2 8 2 2" xfId="12630"/>
    <cellStyle name="Normal 7 2 8 2 2 2" xfId="22849"/>
    <cellStyle name="Normal 7 2 8 2 3" xfId="9052"/>
    <cellStyle name="Normal 7 2 8 2 4" xfId="17842"/>
    <cellStyle name="Normal 7 2 8 3" xfId="5103"/>
    <cellStyle name="Normal 7 2 8 3 2" xfId="13940"/>
    <cellStyle name="Normal 7 2 8 3 2 2" xfId="24191"/>
    <cellStyle name="Normal 7 2 8 3 3" xfId="10361"/>
    <cellStyle name="Normal 7 2 8 3 4" xfId="19184"/>
    <cellStyle name="Normal 7 2 8 4" xfId="1733"/>
    <cellStyle name="Normal 7 2 8 4 2" xfId="11107"/>
    <cellStyle name="Normal 7 2 8 4 3" xfId="21111"/>
    <cellStyle name="Normal 7 2 8 5" xfId="6558"/>
    <cellStyle name="Normal 7 2 8 5 2" xfId="15385"/>
    <cellStyle name="Normal 7 2 8 5 3" xfId="25636"/>
    <cellStyle name="Normal 7 2 8 6" xfId="8004"/>
    <cellStyle name="Normal 7 2 8 6 2" xfId="20448"/>
    <cellStyle name="Normal 7 2 8 7" xfId="16104"/>
    <cellStyle name="Normal 7 2 9" xfId="2631"/>
    <cellStyle name="Normal 7 2 9 2" xfId="5157"/>
    <cellStyle name="Normal 7 2 9 2 2" xfId="13994"/>
    <cellStyle name="Normal 7 2 9 2 2 2" xfId="24245"/>
    <cellStyle name="Normal 7 2 9 2 3" xfId="10415"/>
    <cellStyle name="Normal 7 2 9 2 4" xfId="19238"/>
    <cellStyle name="Normal 7 2 9 3" xfId="6612"/>
    <cellStyle name="Normal 7 2 9 3 2" xfId="15439"/>
    <cellStyle name="Normal 7 2 9 3 3" xfId="25690"/>
    <cellStyle name="Normal 7 2 9 4" xfId="8058"/>
    <cellStyle name="Normal 7 2 9 4 2" xfId="21994"/>
    <cellStyle name="Normal 7 2 9 5" xfId="16987"/>
    <cellStyle name="Normal 7 2_Degree data" xfId="4055"/>
    <cellStyle name="Normal 7 3" xfId="136"/>
    <cellStyle name="Normal 7 3 10" xfId="4119"/>
    <cellStyle name="Normal 7 3 10 2" xfId="5577"/>
    <cellStyle name="Normal 7 3 10 2 2" xfId="14404"/>
    <cellStyle name="Normal 7 3 10 2 3" xfId="24655"/>
    <cellStyle name="Normal 7 3 10 3" xfId="7021"/>
    <cellStyle name="Normal 7 3 10 3 2" xfId="23208"/>
    <cellStyle name="Normal 7 3 10 4" xfId="18201"/>
    <cellStyle name="Normal 7 3 11" xfId="1438"/>
    <cellStyle name="Normal 7 3 11 2" xfId="10815"/>
    <cellStyle name="Normal 7 3 11 3" xfId="20819"/>
    <cellStyle name="Normal 7 3 12" xfId="5547"/>
    <cellStyle name="Normal 7 3 12 2" xfId="14374"/>
    <cellStyle name="Normal 7 3 12 3" xfId="24625"/>
    <cellStyle name="Normal 7 3 13" xfId="6991"/>
    <cellStyle name="Normal 7 3 13 2" xfId="19603"/>
    <cellStyle name="Normal 7 3 14" xfId="15812"/>
    <cellStyle name="Normal 7 3 2" xfId="173"/>
    <cellStyle name="Normal 7 3 2 10" xfId="5679"/>
    <cellStyle name="Normal 7 3 2 10 2" xfId="14506"/>
    <cellStyle name="Normal 7 3 2 10 3" xfId="24757"/>
    <cellStyle name="Normal 7 3 2 11" xfId="7123"/>
    <cellStyle name="Normal 7 3 2 11 2" xfId="19632"/>
    <cellStyle name="Normal 7 3 2 12" xfId="15869"/>
    <cellStyle name="Normal 7 3 2 2" xfId="285"/>
    <cellStyle name="Normal 7 3 2 2 10" xfId="16073"/>
    <cellStyle name="Normal 7 3 2 2 2" xfId="607"/>
    <cellStyle name="Normal 7 3 2 2 2 2" xfId="3093"/>
    <cellStyle name="Normal 7 3 2 2 2 2 2" xfId="12236"/>
    <cellStyle name="Normal 7 3 2 2 2 2 2 2" xfId="22454"/>
    <cellStyle name="Normal 7 3 2 2 2 2 3" xfId="8658"/>
    <cellStyle name="Normal 7 3 2 2 2 2 4" xfId="17447"/>
    <cellStyle name="Normal 7 3 2 2 2 3" xfId="4767"/>
    <cellStyle name="Normal 7 3 2 2 2 3 2" xfId="13604"/>
    <cellStyle name="Normal 7 3 2 2 2 3 2 2" xfId="23855"/>
    <cellStyle name="Normal 7 3 2 2 2 3 3" xfId="10025"/>
    <cellStyle name="Normal 7 3 2 2 2 3 4" xfId="18848"/>
    <cellStyle name="Normal 7 3 2 2 2 4" xfId="2202"/>
    <cellStyle name="Normal 7 3 2 2 2 4 2" xfId="11567"/>
    <cellStyle name="Normal 7 3 2 2 2 4 3" xfId="21571"/>
    <cellStyle name="Normal 7 3 2 2 2 5" xfId="6222"/>
    <cellStyle name="Normal 7 3 2 2 2 5 2" xfId="15049"/>
    <cellStyle name="Normal 7 3 2 2 2 5 3" xfId="25300"/>
    <cellStyle name="Normal 7 3 2 2 2 6" xfId="7668"/>
    <cellStyle name="Normal 7 3 2 2 2 6 2" xfId="20053"/>
    <cellStyle name="Normal 7 3 2 2 2 7" xfId="16564"/>
    <cellStyle name="Normal 7 3 2 2 3" xfId="961"/>
    <cellStyle name="Normal 7 3 2 2 3 2" xfId="3437"/>
    <cellStyle name="Normal 7 3 2 2 3 2 2" xfId="12579"/>
    <cellStyle name="Normal 7 3 2 2 3 2 2 2" xfId="22798"/>
    <cellStyle name="Normal 7 3 2 2 3 2 3" xfId="9001"/>
    <cellStyle name="Normal 7 3 2 2 3 2 4" xfId="17791"/>
    <cellStyle name="Normal 7 3 2 2 3 3" xfId="5115"/>
    <cellStyle name="Normal 7 3 2 2 3 3 2" xfId="13952"/>
    <cellStyle name="Normal 7 3 2 2 3 3 2 2" xfId="24203"/>
    <cellStyle name="Normal 7 3 2 2 3 3 3" xfId="10373"/>
    <cellStyle name="Normal 7 3 2 2 3 3 4" xfId="19196"/>
    <cellStyle name="Normal 7 3 2 2 3 4" xfId="2546"/>
    <cellStyle name="Normal 7 3 2 2 3 4 2" xfId="11911"/>
    <cellStyle name="Normal 7 3 2 2 3 4 3" xfId="21915"/>
    <cellStyle name="Normal 7 3 2 2 3 5" xfId="6570"/>
    <cellStyle name="Normal 7 3 2 2 3 5 2" xfId="15397"/>
    <cellStyle name="Normal 7 3 2 2 3 5 3" xfId="25648"/>
    <cellStyle name="Normal 7 3 2 2 3 6" xfId="8016"/>
    <cellStyle name="Normal 7 3 2 2 3 6 2" xfId="20397"/>
    <cellStyle name="Normal 7 3 2 2 3 7" xfId="16908"/>
    <cellStyle name="Normal 7 3 2 2 4" xfId="1379"/>
    <cellStyle name="Normal 7 3 2 2 4 2" xfId="3808"/>
    <cellStyle name="Normal 7 3 2 2 4 2 2" xfId="12944"/>
    <cellStyle name="Normal 7 3 2 2 4 2 2 2" xfId="23163"/>
    <cellStyle name="Normal 7 3 2 2 4 2 3" xfId="9365"/>
    <cellStyle name="Normal 7 3 2 2 4 2 4" xfId="18156"/>
    <cellStyle name="Normal 7 3 2 2 4 3" xfId="5471"/>
    <cellStyle name="Normal 7 3 2 2 4 3 2" xfId="14308"/>
    <cellStyle name="Normal 7 3 2 2 4 3 2 2" xfId="24559"/>
    <cellStyle name="Normal 7 3 2 2 4 3 3" xfId="10729"/>
    <cellStyle name="Normal 7 3 2 2 4 3 4" xfId="19552"/>
    <cellStyle name="Normal 7 3 2 2 4 4" xfId="1882"/>
    <cellStyle name="Normal 7 3 2 2 4 4 2" xfId="11250"/>
    <cellStyle name="Normal 7 3 2 2 4 4 3" xfId="21254"/>
    <cellStyle name="Normal 7 3 2 2 4 5" xfId="6926"/>
    <cellStyle name="Normal 7 3 2 2 4 5 2" xfId="15753"/>
    <cellStyle name="Normal 7 3 2 2 4 5 3" xfId="26004"/>
    <cellStyle name="Normal 7 3 2 2 4 6" xfId="8372"/>
    <cellStyle name="Normal 7 3 2 2 4 6 2" xfId="20762"/>
    <cellStyle name="Normal 7 3 2 2 4 7" xfId="16247"/>
    <cellStyle name="Normal 7 3 2 2 5" xfId="2776"/>
    <cellStyle name="Normal 7 3 2 2 5 2" xfId="12093"/>
    <cellStyle name="Normal 7 3 2 2 5 2 2" xfId="22137"/>
    <cellStyle name="Normal 7 3 2 2 5 3" xfId="8545"/>
    <cellStyle name="Normal 7 3 2 2 5 4" xfId="17130"/>
    <cellStyle name="Normal 7 3 2 2 6" xfId="4427"/>
    <cellStyle name="Normal 7 3 2 2 6 2" xfId="13265"/>
    <cellStyle name="Normal 7 3 2 2 6 2 2" xfId="23516"/>
    <cellStyle name="Normal 7 3 2 2 6 3" xfId="9686"/>
    <cellStyle name="Normal 7 3 2 2 6 4" xfId="18509"/>
    <cellStyle name="Normal 7 3 2 2 7" xfId="1699"/>
    <cellStyle name="Normal 7 3 2 2 7 2" xfId="11076"/>
    <cellStyle name="Normal 7 3 2 2 7 3" xfId="21080"/>
    <cellStyle name="Normal 7 3 2 2 8" xfId="5883"/>
    <cellStyle name="Normal 7 3 2 2 8 2" xfId="14710"/>
    <cellStyle name="Normal 7 3 2 2 8 3" xfId="24961"/>
    <cellStyle name="Normal 7 3 2 2 9" xfId="7327"/>
    <cellStyle name="Normal 7 3 2 2 9 2" xfId="19736"/>
    <cellStyle name="Normal 7 3 2 2_Degree data" xfId="4067"/>
    <cellStyle name="Normal 7 3 2 3" xfId="503"/>
    <cellStyle name="Normal 7 3 2 3 2" xfId="962"/>
    <cellStyle name="Normal 7 3 2 3 2 2" xfId="3438"/>
    <cellStyle name="Normal 7 3 2 3 2 2 2" xfId="12580"/>
    <cellStyle name="Normal 7 3 2 3 2 2 2 2" xfId="22799"/>
    <cellStyle name="Normal 7 3 2 3 2 2 3" xfId="9002"/>
    <cellStyle name="Normal 7 3 2 3 2 2 4" xfId="17792"/>
    <cellStyle name="Normal 7 3 2 3 2 3" xfId="4768"/>
    <cellStyle name="Normal 7 3 2 3 2 3 2" xfId="13605"/>
    <cellStyle name="Normal 7 3 2 3 2 3 2 2" xfId="23856"/>
    <cellStyle name="Normal 7 3 2 3 2 3 3" xfId="10026"/>
    <cellStyle name="Normal 7 3 2 3 2 3 4" xfId="18849"/>
    <cellStyle name="Normal 7 3 2 3 2 4" xfId="2547"/>
    <cellStyle name="Normal 7 3 2 3 2 4 2" xfId="11912"/>
    <cellStyle name="Normal 7 3 2 3 2 4 3" xfId="21916"/>
    <cellStyle name="Normal 7 3 2 3 2 5" xfId="6223"/>
    <cellStyle name="Normal 7 3 2 3 2 5 2" xfId="15050"/>
    <cellStyle name="Normal 7 3 2 3 2 5 3" xfId="25301"/>
    <cellStyle name="Normal 7 3 2 3 2 6" xfId="7669"/>
    <cellStyle name="Normal 7 3 2 3 2 6 2" xfId="20398"/>
    <cellStyle name="Normal 7 3 2 3 2 7" xfId="16909"/>
    <cellStyle name="Normal 7 3 2 3 3" xfId="1275"/>
    <cellStyle name="Normal 7 3 2 3 3 2" xfId="3704"/>
    <cellStyle name="Normal 7 3 2 3 3 2 2" xfId="12840"/>
    <cellStyle name="Normal 7 3 2 3 3 2 2 2" xfId="23059"/>
    <cellStyle name="Normal 7 3 2 3 3 2 3" xfId="9261"/>
    <cellStyle name="Normal 7 3 2 3 3 2 4" xfId="18052"/>
    <cellStyle name="Normal 7 3 2 3 3 3" xfId="5116"/>
    <cellStyle name="Normal 7 3 2 3 3 3 2" xfId="13953"/>
    <cellStyle name="Normal 7 3 2 3 3 3 2 2" xfId="24204"/>
    <cellStyle name="Normal 7 3 2 3 3 3 3" xfId="10374"/>
    <cellStyle name="Normal 7 3 2 3 3 3 4" xfId="19197"/>
    <cellStyle name="Normal 7 3 2 3 3 4" xfId="2098"/>
    <cellStyle name="Normal 7 3 2 3 3 4 2" xfId="11463"/>
    <cellStyle name="Normal 7 3 2 3 3 4 3" xfId="21467"/>
    <cellStyle name="Normal 7 3 2 3 3 5" xfId="6571"/>
    <cellStyle name="Normal 7 3 2 3 3 5 2" xfId="15398"/>
    <cellStyle name="Normal 7 3 2 3 3 5 3" xfId="25649"/>
    <cellStyle name="Normal 7 3 2 3 3 6" xfId="8017"/>
    <cellStyle name="Normal 7 3 2 3 3 6 2" xfId="20658"/>
    <cellStyle name="Normal 7 3 2 3 3 7" xfId="16460"/>
    <cellStyle name="Normal 7 3 2 3 4" xfId="2989"/>
    <cellStyle name="Normal 7 3 2 3 4 2" xfId="5367"/>
    <cellStyle name="Normal 7 3 2 3 4 2 2" xfId="14204"/>
    <cellStyle name="Normal 7 3 2 3 4 2 2 2" xfId="24455"/>
    <cellStyle name="Normal 7 3 2 3 4 2 3" xfId="10625"/>
    <cellStyle name="Normal 7 3 2 3 4 2 4" xfId="19448"/>
    <cellStyle name="Normal 7 3 2 3 4 3" xfId="6822"/>
    <cellStyle name="Normal 7 3 2 3 4 3 2" xfId="15649"/>
    <cellStyle name="Normal 7 3 2 3 4 3 3" xfId="25900"/>
    <cellStyle name="Normal 7 3 2 3 4 4" xfId="8268"/>
    <cellStyle name="Normal 7 3 2 3 4 4 2" xfId="22350"/>
    <cellStyle name="Normal 7 3 2 3 4 5" xfId="17343"/>
    <cellStyle name="Normal 7 3 2 3 5" xfId="4323"/>
    <cellStyle name="Normal 7 3 2 3 5 2" xfId="13161"/>
    <cellStyle name="Normal 7 3 2 3 5 2 2" xfId="23412"/>
    <cellStyle name="Normal 7 3 2 3 5 3" xfId="9582"/>
    <cellStyle name="Normal 7 3 2 3 5 4" xfId="18405"/>
    <cellStyle name="Normal 7 3 2 3 6" xfId="1595"/>
    <cellStyle name="Normal 7 3 2 3 6 2" xfId="10972"/>
    <cellStyle name="Normal 7 3 2 3 6 3" xfId="20976"/>
    <cellStyle name="Normal 7 3 2 3 7" xfId="5779"/>
    <cellStyle name="Normal 7 3 2 3 7 2" xfId="14606"/>
    <cellStyle name="Normal 7 3 2 3 7 3" xfId="24857"/>
    <cellStyle name="Normal 7 3 2 3 8" xfId="7223"/>
    <cellStyle name="Normal 7 3 2 3 8 2" xfId="19949"/>
    <cellStyle name="Normal 7 3 2 3 9" xfId="15969"/>
    <cellStyle name="Normal 7 3 2 3_Degree data" xfId="4068"/>
    <cellStyle name="Normal 7 3 2 4" xfId="403"/>
    <cellStyle name="Normal 7 3 2 4 2" xfId="2889"/>
    <cellStyle name="Normal 7 3 2 4 2 2" xfId="12177"/>
    <cellStyle name="Normal 7 3 2 4 2 2 2" xfId="22250"/>
    <cellStyle name="Normal 7 3 2 4 2 3" xfId="8526"/>
    <cellStyle name="Normal 7 3 2 4 2 4" xfId="17243"/>
    <cellStyle name="Normal 7 3 2 4 3" xfId="4766"/>
    <cellStyle name="Normal 7 3 2 4 3 2" xfId="13603"/>
    <cellStyle name="Normal 7 3 2 4 3 2 2" xfId="23854"/>
    <cellStyle name="Normal 7 3 2 4 3 3" xfId="10024"/>
    <cellStyle name="Normal 7 3 2 4 3 4" xfId="18847"/>
    <cellStyle name="Normal 7 3 2 4 4" xfId="1998"/>
    <cellStyle name="Normal 7 3 2 4 4 2" xfId="11363"/>
    <cellStyle name="Normal 7 3 2 4 4 3" xfId="21367"/>
    <cellStyle name="Normal 7 3 2 4 5" xfId="6221"/>
    <cellStyle name="Normal 7 3 2 4 5 2" xfId="15048"/>
    <cellStyle name="Normal 7 3 2 4 5 3" xfId="25299"/>
    <cellStyle name="Normal 7 3 2 4 6" xfId="7667"/>
    <cellStyle name="Normal 7 3 2 4 6 2" xfId="19849"/>
    <cellStyle name="Normal 7 3 2 4 7" xfId="16360"/>
    <cellStyle name="Normal 7 3 2 5" xfId="960"/>
    <cellStyle name="Normal 7 3 2 5 2" xfId="3436"/>
    <cellStyle name="Normal 7 3 2 5 2 2" xfId="12578"/>
    <cellStyle name="Normal 7 3 2 5 2 2 2" xfId="22797"/>
    <cellStyle name="Normal 7 3 2 5 2 3" xfId="9000"/>
    <cellStyle name="Normal 7 3 2 5 2 4" xfId="17790"/>
    <cellStyle name="Normal 7 3 2 5 3" xfId="5114"/>
    <cellStyle name="Normal 7 3 2 5 3 2" xfId="13951"/>
    <cellStyle name="Normal 7 3 2 5 3 2 2" xfId="24202"/>
    <cellStyle name="Normal 7 3 2 5 3 3" xfId="10372"/>
    <cellStyle name="Normal 7 3 2 5 3 4" xfId="19195"/>
    <cellStyle name="Normal 7 3 2 5 4" xfId="2545"/>
    <cellStyle name="Normal 7 3 2 5 4 2" xfId="11910"/>
    <cellStyle name="Normal 7 3 2 5 4 3" xfId="21914"/>
    <cellStyle name="Normal 7 3 2 5 5" xfId="6569"/>
    <cellStyle name="Normal 7 3 2 5 5 2" xfId="15396"/>
    <cellStyle name="Normal 7 3 2 5 5 3" xfId="25647"/>
    <cellStyle name="Normal 7 3 2 5 6" xfId="8015"/>
    <cellStyle name="Normal 7 3 2 5 6 2" xfId="20396"/>
    <cellStyle name="Normal 7 3 2 5 7" xfId="16907"/>
    <cellStyle name="Normal 7 3 2 6" xfId="1175"/>
    <cellStyle name="Normal 7 3 2 6 2" xfId="3604"/>
    <cellStyle name="Normal 7 3 2 6 2 2" xfId="12740"/>
    <cellStyle name="Normal 7 3 2 6 2 2 2" xfId="22959"/>
    <cellStyle name="Normal 7 3 2 6 2 3" xfId="9161"/>
    <cellStyle name="Normal 7 3 2 6 2 4" xfId="17952"/>
    <cellStyle name="Normal 7 3 2 6 3" xfId="5267"/>
    <cellStyle name="Normal 7 3 2 6 3 2" xfId="14104"/>
    <cellStyle name="Normal 7 3 2 6 3 2 2" xfId="24355"/>
    <cellStyle name="Normal 7 3 2 6 3 3" xfId="10525"/>
    <cellStyle name="Normal 7 3 2 6 3 4" xfId="19348"/>
    <cellStyle name="Normal 7 3 2 6 4" xfId="1775"/>
    <cellStyle name="Normal 7 3 2 6 4 2" xfId="11146"/>
    <cellStyle name="Normal 7 3 2 6 4 3" xfId="21150"/>
    <cellStyle name="Normal 7 3 2 6 5" xfId="6722"/>
    <cellStyle name="Normal 7 3 2 6 5 2" xfId="15549"/>
    <cellStyle name="Normal 7 3 2 6 5 3" xfId="25800"/>
    <cellStyle name="Normal 7 3 2 6 6" xfId="8168"/>
    <cellStyle name="Normal 7 3 2 6 6 2" xfId="20558"/>
    <cellStyle name="Normal 7 3 2 6 7" xfId="16143"/>
    <cellStyle name="Normal 7 3 2 7" xfId="2672"/>
    <cellStyle name="Normal 7 3 2 7 2" xfId="11989"/>
    <cellStyle name="Normal 7 3 2 7 2 2" xfId="22033"/>
    <cellStyle name="Normal 7 3 2 7 3" xfId="8566"/>
    <cellStyle name="Normal 7 3 2 7 4" xfId="17026"/>
    <cellStyle name="Normal 7 3 2 8" xfId="4223"/>
    <cellStyle name="Normal 7 3 2 8 2" xfId="13061"/>
    <cellStyle name="Normal 7 3 2 8 2 2" xfId="23312"/>
    <cellStyle name="Normal 7 3 2 8 3" xfId="9482"/>
    <cellStyle name="Normal 7 3 2 8 4" xfId="18305"/>
    <cellStyle name="Normal 7 3 2 9" xfId="1495"/>
    <cellStyle name="Normal 7 3 2 9 2" xfId="10872"/>
    <cellStyle name="Normal 7 3 2 9 3" xfId="20876"/>
    <cellStyle name="Normal 7 3 2_Degree data" xfId="4066"/>
    <cellStyle name="Normal 7 3 3" xfId="220"/>
    <cellStyle name="Normal 7 3 3 10" xfId="7166"/>
    <cellStyle name="Normal 7 3 3 10 2" xfId="19675"/>
    <cellStyle name="Normal 7 3 3 11" xfId="15912"/>
    <cellStyle name="Normal 7 3 3 2" xfId="546"/>
    <cellStyle name="Normal 7 3 3 2 2" xfId="964"/>
    <cellStyle name="Normal 7 3 3 2 2 2" xfId="3440"/>
    <cellStyle name="Normal 7 3 3 2 2 2 2" xfId="12582"/>
    <cellStyle name="Normal 7 3 3 2 2 2 2 2" xfId="22801"/>
    <cellStyle name="Normal 7 3 3 2 2 2 3" xfId="9004"/>
    <cellStyle name="Normal 7 3 3 2 2 2 4" xfId="17794"/>
    <cellStyle name="Normal 7 3 3 2 2 3" xfId="4770"/>
    <cellStyle name="Normal 7 3 3 2 2 3 2" xfId="13607"/>
    <cellStyle name="Normal 7 3 3 2 2 3 2 2" xfId="23858"/>
    <cellStyle name="Normal 7 3 3 2 2 3 3" xfId="10028"/>
    <cellStyle name="Normal 7 3 3 2 2 3 4" xfId="18851"/>
    <cellStyle name="Normal 7 3 3 2 2 4" xfId="2549"/>
    <cellStyle name="Normal 7 3 3 2 2 4 2" xfId="11914"/>
    <cellStyle name="Normal 7 3 3 2 2 4 3" xfId="21918"/>
    <cellStyle name="Normal 7 3 3 2 2 5" xfId="6225"/>
    <cellStyle name="Normal 7 3 3 2 2 5 2" xfId="15052"/>
    <cellStyle name="Normal 7 3 3 2 2 5 3" xfId="25303"/>
    <cellStyle name="Normal 7 3 3 2 2 6" xfId="7671"/>
    <cellStyle name="Normal 7 3 3 2 2 6 2" xfId="20400"/>
    <cellStyle name="Normal 7 3 3 2 2 7" xfId="16911"/>
    <cellStyle name="Normal 7 3 3 2 3" xfId="1318"/>
    <cellStyle name="Normal 7 3 3 2 3 2" xfId="3747"/>
    <cellStyle name="Normal 7 3 3 2 3 2 2" xfId="12883"/>
    <cellStyle name="Normal 7 3 3 2 3 2 2 2" xfId="23102"/>
    <cellStyle name="Normal 7 3 3 2 3 2 3" xfId="9304"/>
    <cellStyle name="Normal 7 3 3 2 3 2 4" xfId="18095"/>
    <cellStyle name="Normal 7 3 3 2 3 3" xfId="5118"/>
    <cellStyle name="Normal 7 3 3 2 3 3 2" xfId="13955"/>
    <cellStyle name="Normal 7 3 3 2 3 3 2 2" xfId="24206"/>
    <cellStyle name="Normal 7 3 3 2 3 3 3" xfId="10376"/>
    <cellStyle name="Normal 7 3 3 2 3 3 4" xfId="19199"/>
    <cellStyle name="Normal 7 3 3 2 3 4" xfId="2141"/>
    <cellStyle name="Normal 7 3 3 2 3 4 2" xfId="11506"/>
    <cellStyle name="Normal 7 3 3 2 3 4 3" xfId="21510"/>
    <cellStyle name="Normal 7 3 3 2 3 5" xfId="6573"/>
    <cellStyle name="Normal 7 3 3 2 3 5 2" xfId="15400"/>
    <cellStyle name="Normal 7 3 3 2 3 5 3" xfId="25651"/>
    <cellStyle name="Normal 7 3 3 2 3 6" xfId="8019"/>
    <cellStyle name="Normal 7 3 3 2 3 6 2" xfId="20701"/>
    <cellStyle name="Normal 7 3 3 2 3 7" xfId="16503"/>
    <cellStyle name="Normal 7 3 3 2 4" xfId="3032"/>
    <cellStyle name="Normal 7 3 3 2 4 2" xfId="5410"/>
    <cellStyle name="Normal 7 3 3 2 4 2 2" xfId="14247"/>
    <cellStyle name="Normal 7 3 3 2 4 2 2 2" xfId="24498"/>
    <cellStyle name="Normal 7 3 3 2 4 2 3" xfId="10668"/>
    <cellStyle name="Normal 7 3 3 2 4 2 4" xfId="19491"/>
    <cellStyle name="Normal 7 3 3 2 4 3" xfId="6865"/>
    <cellStyle name="Normal 7 3 3 2 4 3 2" xfId="15692"/>
    <cellStyle name="Normal 7 3 3 2 4 3 3" xfId="25943"/>
    <cellStyle name="Normal 7 3 3 2 4 4" xfId="8311"/>
    <cellStyle name="Normal 7 3 3 2 4 4 2" xfId="22393"/>
    <cellStyle name="Normal 7 3 3 2 4 5" xfId="17386"/>
    <cellStyle name="Normal 7 3 3 2 5" xfId="4366"/>
    <cellStyle name="Normal 7 3 3 2 5 2" xfId="13204"/>
    <cellStyle name="Normal 7 3 3 2 5 2 2" xfId="23455"/>
    <cellStyle name="Normal 7 3 3 2 5 3" xfId="9625"/>
    <cellStyle name="Normal 7 3 3 2 5 4" xfId="18448"/>
    <cellStyle name="Normal 7 3 3 2 6" xfId="1638"/>
    <cellStyle name="Normal 7 3 3 2 6 2" xfId="11015"/>
    <cellStyle name="Normal 7 3 3 2 6 3" xfId="21019"/>
    <cellStyle name="Normal 7 3 3 2 7" xfId="5822"/>
    <cellStyle name="Normal 7 3 3 2 7 2" xfId="14649"/>
    <cellStyle name="Normal 7 3 3 2 7 3" xfId="24900"/>
    <cellStyle name="Normal 7 3 3 2 8" xfId="7266"/>
    <cellStyle name="Normal 7 3 3 2 8 2" xfId="19992"/>
    <cellStyle name="Normal 7 3 3 2 9" xfId="16012"/>
    <cellStyle name="Normal 7 3 3 2_Degree data" xfId="4070"/>
    <cellStyle name="Normal 7 3 3 3" xfId="446"/>
    <cellStyle name="Normal 7 3 3 3 2" xfId="2932"/>
    <cellStyle name="Normal 7 3 3 3 2 2" xfId="12220"/>
    <cellStyle name="Normal 7 3 3 3 2 2 2" xfId="22293"/>
    <cellStyle name="Normal 7 3 3 3 2 3" xfId="8515"/>
    <cellStyle name="Normal 7 3 3 3 2 4" xfId="17286"/>
    <cellStyle name="Normal 7 3 3 3 3" xfId="4769"/>
    <cellStyle name="Normal 7 3 3 3 3 2" xfId="13606"/>
    <cellStyle name="Normal 7 3 3 3 3 2 2" xfId="23857"/>
    <cellStyle name="Normal 7 3 3 3 3 3" xfId="10027"/>
    <cellStyle name="Normal 7 3 3 3 3 4" xfId="18850"/>
    <cellStyle name="Normal 7 3 3 3 4" xfId="2041"/>
    <cellStyle name="Normal 7 3 3 3 4 2" xfId="11406"/>
    <cellStyle name="Normal 7 3 3 3 4 3" xfId="21410"/>
    <cellStyle name="Normal 7 3 3 3 5" xfId="6224"/>
    <cellStyle name="Normal 7 3 3 3 5 2" xfId="15051"/>
    <cellStyle name="Normal 7 3 3 3 5 3" xfId="25302"/>
    <cellStyle name="Normal 7 3 3 3 6" xfId="7670"/>
    <cellStyle name="Normal 7 3 3 3 6 2" xfId="19892"/>
    <cellStyle name="Normal 7 3 3 3 7" xfId="16403"/>
    <cellStyle name="Normal 7 3 3 4" xfId="963"/>
    <cellStyle name="Normal 7 3 3 4 2" xfId="3439"/>
    <cellStyle name="Normal 7 3 3 4 2 2" xfId="12581"/>
    <cellStyle name="Normal 7 3 3 4 2 2 2" xfId="22800"/>
    <cellStyle name="Normal 7 3 3 4 2 3" xfId="9003"/>
    <cellStyle name="Normal 7 3 3 4 2 4" xfId="17793"/>
    <cellStyle name="Normal 7 3 3 4 3" xfId="5117"/>
    <cellStyle name="Normal 7 3 3 4 3 2" xfId="13954"/>
    <cellStyle name="Normal 7 3 3 4 3 2 2" xfId="24205"/>
    <cellStyle name="Normal 7 3 3 4 3 3" xfId="10375"/>
    <cellStyle name="Normal 7 3 3 4 3 4" xfId="19198"/>
    <cellStyle name="Normal 7 3 3 4 4" xfId="2548"/>
    <cellStyle name="Normal 7 3 3 4 4 2" xfId="11913"/>
    <cellStyle name="Normal 7 3 3 4 4 3" xfId="21917"/>
    <cellStyle name="Normal 7 3 3 4 5" xfId="6572"/>
    <cellStyle name="Normal 7 3 3 4 5 2" xfId="15399"/>
    <cellStyle name="Normal 7 3 3 4 5 3" xfId="25650"/>
    <cellStyle name="Normal 7 3 3 4 6" xfId="8018"/>
    <cellStyle name="Normal 7 3 3 4 6 2" xfId="20399"/>
    <cellStyle name="Normal 7 3 3 4 7" xfId="16910"/>
    <cellStyle name="Normal 7 3 3 5" xfId="1218"/>
    <cellStyle name="Normal 7 3 3 5 2" xfId="3647"/>
    <cellStyle name="Normal 7 3 3 5 2 2" xfId="12783"/>
    <cellStyle name="Normal 7 3 3 5 2 2 2" xfId="23002"/>
    <cellStyle name="Normal 7 3 3 5 2 3" xfId="9204"/>
    <cellStyle name="Normal 7 3 3 5 2 4" xfId="17995"/>
    <cellStyle name="Normal 7 3 3 5 3" xfId="5310"/>
    <cellStyle name="Normal 7 3 3 5 3 2" xfId="14147"/>
    <cellStyle name="Normal 7 3 3 5 3 2 2" xfId="24398"/>
    <cellStyle name="Normal 7 3 3 5 3 3" xfId="10568"/>
    <cellStyle name="Normal 7 3 3 5 3 4" xfId="19391"/>
    <cellStyle name="Normal 7 3 3 5 4" xfId="1821"/>
    <cellStyle name="Normal 7 3 3 5 4 2" xfId="11189"/>
    <cellStyle name="Normal 7 3 3 5 4 3" xfId="21193"/>
    <cellStyle name="Normal 7 3 3 5 5" xfId="6765"/>
    <cellStyle name="Normal 7 3 3 5 5 2" xfId="15592"/>
    <cellStyle name="Normal 7 3 3 5 5 3" xfId="25843"/>
    <cellStyle name="Normal 7 3 3 5 6" xfId="8211"/>
    <cellStyle name="Normal 7 3 3 5 6 2" xfId="20601"/>
    <cellStyle name="Normal 7 3 3 5 7" xfId="16186"/>
    <cellStyle name="Normal 7 3 3 6" xfId="2715"/>
    <cellStyle name="Normal 7 3 3 6 2" xfId="12032"/>
    <cellStyle name="Normal 7 3 3 6 2 2" xfId="22076"/>
    <cellStyle name="Normal 7 3 3 6 3" xfId="8583"/>
    <cellStyle name="Normal 7 3 3 6 4" xfId="17069"/>
    <cellStyle name="Normal 7 3 3 7" xfId="4266"/>
    <cellStyle name="Normal 7 3 3 7 2" xfId="13104"/>
    <cellStyle name="Normal 7 3 3 7 2 2" xfId="23355"/>
    <cellStyle name="Normal 7 3 3 7 3" xfId="9525"/>
    <cellStyle name="Normal 7 3 3 7 4" xfId="18348"/>
    <cellStyle name="Normal 7 3 3 8" xfId="1538"/>
    <cellStyle name="Normal 7 3 3 8 2" xfId="10915"/>
    <cellStyle name="Normal 7 3 3 8 3" xfId="20919"/>
    <cellStyle name="Normal 7 3 3 9" xfId="5722"/>
    <cellStyle name="Normal 7 3 3 9 2" xfId="14549"/>
    <cellStyle name="Normal 7 3 3 9 3" xfId="24800"/>
    <cellStyle name="Normal 7 3 3_Degree data" xfId="4069"/>
    <cellStyle name="Normal 7 3 4" xfId="256"/>
    <cellStyle name="Normal 7 3 4 10" xfId="7094"/>
    <cellStyle name="Normal 7 3 4 10 2" xfId="19708"/>
    <cellStyle name="Normal 7 3 4 11" xfId="15840"/>
    <cellStyle name="Normal 7 3 4 2" xfId="579"/>
    <cellStyle name="Normal 7 3 4 2 2" xfId="966"/>
    <cellStyle name="Normal 7 3 4 2 2 2" xfId="3442"/>
    <cellStyle name="Normal 7 3 4 2 2 2 2" xfId="12584"/>
    <cellStyle name="Normal 7 3 4 2 2 2 2 2" xfId="22803"/>
    <cellStyle name="Normal 7 3 4 2 2 2 3" xfId="9006"/>
    <cellStyle name="Normal 7 3 4 2 2 2 4" xfId="17796"/>
    <cellStyle name="Normal 7 3 4 2 2 3" xfId="4772"/>
    <cellStyle name="Normal 7 3 4 2 2 3 2" xfId="13609"/>
    <cellStyle name="Normal 7 3 4 2 2 3 2 2" xfId="23860"/>
    <cellStyle name="Normal 7 3 4 2 2 3 3" xfId="10030"/>
    <cellStyle name="Normal 7 3 4 2 2 3 4" xfId="18853"/>
    <cellStyle name="Normal 7 3 4 2 2 4" xfId="2551"/>
    <cellStyle name="Normal 7 3 4 2 2 4 2" xfId="11916"/>
    <cellStyle name="Normal 7 3 4 2 2 4 3" xfId="21920"/>
    <cellStyle name="Normal 7 3 4 2 2 5" xfId="6227"/>
    <cellStyle name="Normal 7 3 4 2 2 5 2" xfId="15054"/>
    <cellStyle name="Normal 7 3 4 2 2 5 3" xfId="25305"/>
    <cellStyle name="Normal 7 3 4 2 2 6" xfId="7673"/>
    <cellStyle name="Normal 7 3 4 2 2 6 2" xfId="20402"/>
    <cellStyle name="Normal 7 3 4 2 2 7" xfId="16913"/>
    <cellStyle name="Normal 7 3 4 2 3" xfId="1351"/>
    <cellStyle name="Normal 7 3 4 2 3 2" xfId="3780"/>
    <cellStyle name="Normal 7 3 4 2 3 2 2" xfId="12916"/>
    <cellStyle name="Normal 7 3 4 2 3 2 2 2" xfId="23135"/>
    <cellStyle name="Normal 7 3 4 2 3 2 3" xfId="9337"/>
    <cellStyle name="Normal 7 3 4 2 3 2 4" xfId="18128"/>
    <cellStyle name="Normal 7 3 4 2 3 3" xfId="5120"/>
    <cellStyle name="Normal 7 3 4 2 3 3 2" xfId="13957"/>
    <cellStyle name="Normal 7 3 4 2 3 3 2 2" xfId="24208"/>
    <cellStyle name="Normal 7 3 4 2 3 3 3" xfId="10378"/>
    <cellStyle name="Normal 7 3 4 2 3 3 4" xfId="19201"/>
    <cellStyle name="Normal 7 3 4 2 3 4" xfId="2174"/>
    <cellStyle name="Normal 7 3 4 2 3 4 2" xfId="11539"/>
    <cellStyle name="Normal 7 3 4 2 3 4 3" xfId="21543"/>
    <cellStyle name="Normal 7 3 4 2 3 5" xfId="6575"/>
    <cellStyle name="Normal 7 3 4 2 3 5 2" xfId="15402"/>
    <cellStyle name="Normal 7 3 4 2 3 5 3" xfId="25653"/>
    <cellStyle name="Normal 7 3 4 2 3 6" xfId="8021"/>
    <cellStyle name="Normal 7 3 4 2 3 6 2" xfId="20734"/>
    <cellStyle name="Normal 7 3 4 2 3 7" xfId="16536"/>
    <cellStyle name="Normal 7 3 4 2 4" xfId="3065"/>
    <cellStyle name="Normal 7 3 4 2 4 2" xfId="5443"/>
    <cellStyle name="Normal 7 3 4 2 4 2 2" xfId="14280"/>
    <cellStyle name="Normal 7 3 4 2 4 2 2 2" xfId="24531"/>
    <cellStyle name="Normal 7 3 4 2 4 2 3" xfId="10701"/>
    <cellStyle name="Normal 7 3 4 2 4 2 4" xfId="19524"/>
    <cellStyle name="Normal 7 3 4 2 4 3" xfId="6898"/>
    <cellStyle name="Normal 7 3 4 2 4 3 2" xfId="15725"/>
    <cellStyle name="Normal 7 3 4 2 4 3 3" xfId="25976"/>
    <cellStyle name="Normal 7 3 4 2 4 4" xfId="8344"/>
    <cellStyle name="Normal 7 3 4 2 4 4 2" xfId="22426"/>
    <cellStyle name="Normal 7 3 4 2 4 5" xfId="17419"/>
    <cellStyle name="Normal 7 3 4 2 5" xfId="4399"/>
    <cellStyle name="Normal 7 3 4 2 5 2" xfId="13237"/>
    <cellStyle name="Normal 7 3 4 2 5 2 2" xfId="23488"/>
    <cellStyle name="Normal 7 3 4 2 5 3" xfId="9658"/>
    <cellStyle name="Normal 7 3 4 2 5 4" xfId="18481"/>
    <cellStyle name="Normal 7 3 4 2 6" xfId="1671"/>
    <cellStyle name="Normal 7 3 4 2 6 2" xfId="11048"/>
    <cellStyle name="Normal 7 3 4 2 6 3" xfId="21052"/>
    <cellStyle name="Normal 7 3 4 2 7" xfId="5855"/>
    <cellStyle name="Normal 7 3 4 2 7 2" xfId="14682"/>
    <cellStyle name="Normal 7 3 4 2 7 3" xfId="24933"/>
    <cellStyle name="Normal 7 3 4 2 8" xfId="7299"/>
    <cellStyle name="Normal 7 3 4 2 8 2" xfId="20025"/>
    <cellStyle name="Normal 7 3 4 2 9" xfId="16045"/>
    <cellStyle name="Normal 7 3 4 2_Degree data" xfId="4072"/>
    <cellStyle name="Normal 7 3 4 3" xfId="374"/>
    <cellStyle name="Normal 7 3 4 3 2" xfId="2860"/>
    <cellStyle name="Normal 7 3 4 3 2 2" xfId="12148"/>
    <cellStyle name="Normal 7 3 4 3 2 2 2" xfId="22221"/>
    <cellStyle name="Normal 7 3 4 3 2 3" xfId="8397"/>
    <cellStyle name="Normal 7 3 4 3 2 4" xfId="17214"/>
    <cellStyle name="Normal 7 3 4 3 3" xfId="4771"/>
    <cellStyle name="Normal 7 3 4 3 3 2" xfId="13608"/>
    <cellStyle name="Normal 7 3 4 3 3 2 2" xfId="23859"/>
    <cellStyle name="Normal 7 3 4 3 3 3" xfId="10029"/>
    <cellStyle name="Normal 7 3 4 3 3 4" xfId="18852"/>
    <cellStyle name="Normal 7 3 4 3 4" xfId="1969"/>
    <cellStyle name="Normal 7 3 4 3 4 2" xfId="11334"/>
    <cellStyle name="Normal 7 3 4 3 4 3" xfId="21338"/>
    <cellStyle name="Normal 7 3 4 3 5" xfId="6226"/>
    <cellStyle name="Normal 7 3 4 3 5 2" xfId="15053"/>
    <cellStyle name="Normal 7 3 4 3 5 3" xfId="25304"/>
    <cellStyle name="Normal 7 3 4 3 6" xfId="7672"/>
    <cellStyle name="Normal 7 3 4 3 6 2" xfId="19820"/>
    <cellStyle name="Normal 7 3 4 3 7" xfId="16331"/>
    <cellStyle name="Normal 7 3 4 4" xfId="965"/>
    <cellStyle name="Normal 7 3 4 4 2" xfId="3441"/>
    <cellStyle name="Normal 7 3 4 4 2 2" xfId="12583"/>
    <cellStyle name="Normal 7 3 4 4 2 2 2" xfId="22802"/>
    <cellStyle name="Normal 7 3 4 4 2 3" xfId="9005"/>
    <cellStyle name="Normal 7 3 4 4 2 4" xfId="17795"/>
    <cellStyle name="Normal 7 3 4 4 3" xfId="5119"/>
    <cellStyle name="Normal 7 3 4 4 3 2" xfId="13956"/>
    <cellStyle name="Normal 7 3 4 4 3 2 2" xfId="24207"/>
    <cellStyle name="Normal 7 3 4 4 3 3" xfId="10377"/>
    <cellStyle name="Normal 7 3 4 4 3 4" xfId="19200"/>
    <cellStyle name="Normal 7 3 4 4 4" xfId="2550"/>
    <cellStyle name="Normal 7 3 4 4 4 2" xfId="11915"/>
    <cellStyle name="Normal 7 3 4 4 4 3" xfId="21919"/>
    <cellStyle name="Normal 7 3 4 4 5" xfId="6574"/>
    <cellStyle name="Normal 7 3 4 4 5 2" xfId="15401"/>
    <cellStyle name="Normal 7 3 4 4 5 3" xfId="25652"/>
    <cellStyle name="Normal 7 3 4 4 6" xfId="8020"/>
    <cellStyle name="Normal 7 3 4 4 6 2" xfId="20401"/>
    <cellStyle name="Normal 7 3 4 4 7" xfId="16912"/>
    <cellStyle name="Normal 7 3 4 5" xfId="1146"/>
    <cellStyle name="Normal 7 3 4 5 2" xfId="3575"/>
    <cellStyle name="Normal 7 3 4 5 2 2" xfId="12711"/>
    <cellStyle name="Normal 7 3 4 5 2 2 2" xfId="22930"/>
    <cellStyle name="Normal 7 3 4 5 2 3" xfId="9132"/>
    <cellStyle name="Normal 7 3 4 5 2 4" xfId="17923"/>
    <cellStyle name="Normal 7 3 4 5 3" xfId="5238"/>
    <cellStyle name="Normal 7 3 4 5 3 2" xfId="14075"/>
    <cellStyle name="Normal 7 3 4 5 3 2 2" xfId="24326"/>
    <cellStyle name="Normal 7 3 4 5 3 3" xfId="10496"/>
    <cellStyle name="Normal 7 3 4 5 3 4" xfId="19319"/>
    <cellStyle name="Normal 7 3 4 5 4" xfId="1854"/>
    <cellStyle name="Normal 7 3 4 5 4 2" xfId="11222"/>
    <cellStyle name="Normal 7 3 4 5 4 3" xfId="21226"/>
    <cellStyle name="Normal 7 3 4 5 5" xfId="6693"/>
    <cellStyle name="Normal 7 3 4 5 5 2" xfId="15520"/>
    <cellStyle name="Normal 7 3 4 5 5 3" xfId="25771"/>
    <cellStyle name="Normal 7 3 4 5 6" xfId="8139"/>
    <cellStyle name="Normal 7 3 4 5 6 2" xfId="20529"/>
    <cellStyle name="Normal 7 3 4 5 7" xfId="16219"/>
    <cellStyle name="Normal 7 3 4 6" xfId="2748"/>
    <cellStyle name="Normal 7 3 4 6 2" xfId="12065"/>
    <cellStyle name="Normal 7 3 4 6 2 2" xfId="22109"/>
    <cellStyle name="Normal 7 3 4 6 3" xfId="8424"/>
    <cellStyle name="Normal 7 3 4 6 4" xfId="17102"/>
    <cellStyle name="Normal 7 3 4 7" xfId="4194"/>
    <cellStyle name="Normal 7 3 4 7 2" xfId="13032"/>
    <cellStyle name="Normal 7 3 4 7 2 2" xfId="23283"/>
    <cellStyle name="Normal 7 3 4 7 3" xfId="9453"/>
    <cellStyle name="Normal 7 3 4 7 4" xfId="18276"/>
    <cellStyle name="Normal 7 3 4 8" xfId="1466"/>
    <cellStyle name="Normal 7 3 4 8 2" xfId="10843"/>
    <cellStyle name="Normal 7 3 4 8 3" xfId="20847"/>
    <cellStyle name="Normal 7 3 4 9" xfId="5650"/>
    <cellStyle name="Normal 7 3 4 9 2" xfId="14477"/>
    <cellStyle name="Normal 7 3 4 9 3" xfId="24728"/>
    <cellStyle name="Normal 7 3 4_Degree data" xfId="4071"/>
    <cellStyle name="Normal 7 3 5" xfId="474"/>
    <cellStyle name="Normal 7 3 5 2" xfId="967"/>
    <cellStyle name="Normal 7 3 5 2 2" xfId="3443"/>
    <cellStyle name="Normal 7 3 5 2 2 2" xfId="12585"/>
    <cellStyle name="Normal 7 3 5 2 2 2 2" xfId="22804"/>
    <cellStyle name="Normal 7 3 5 2 2 3" xfId="9007"/>
    <cellStyle name="Normal 7 3 5 2 2 4" xfId="17797"/>
    <cellStyle name="Normal 7 3 5 2 3" xfId="4773"/>
    <cellStyle name="Normal 7 3 5 2 3 2" xfId="13610"/>
    <cellStyle name="Normal 7 3 5 2 3 2 2" xfId="23861"/>
    <cellStyle name="Normal 7 3 5 2 3 3" xfId="10031"/>
    <cellStyle name="Normal 7 3 5 2 3 4" xfId="18854"/>
    <cellStyle name="Normal 7 3 5 2 4" xfId="2552"/>
    <cellStyle name="Normal 7 3 5 2 4 2" xfId="11917"/>
    <cellStyle name="Normal 7 3 5 2 4 3" xfId="21921"/>
    <cellStyle name="Normal 7 3 5 2 5" xfId="6228"/>
    <cellStyle name="Normal 7 3 5 2 5 2" xfId="15055"/>
    <cellStyle name="Normal 7 3 5 2 5 3" xfId="25306"/>
    <cellStyle name="Normal 7 3 5 2 6" xfId="7674"/>
    <cellStyle name="Normal 7 3 5 2 6 2" xfId="20403"/>
    <cellStyle name="Normal 7 3 5 2 7" xfId="16914"/>
    <cellStyle name="Normal 7 3 5 3" xfId="1246"/>
    <cellStyle name="Normal 7 3 5 3 2" xfId="3675"/>
    <cellStyle name="Normal 7 3 5 3 2 2" xfId="12811"/>
    <cellStyle name="Normal 7 3 5 3 2 2 2" xfId="23030"/>
    <cellStyle name="Normal 7 3 5 3 2 3" xfId="9232"/>
    <cellStyle name="Normal 7 3 5 3 2 4" xfId="18023"/>
    <cellStyle name="Normal 7 3 5 3 3" xfId="5121"/>
    <cellStyle name="Normal 7 3 5 3 3 2" xfId="13958"/>
    <cellStyle name="Normal 7 3 5 3 3 2 2" xfId="24209"/>
    <cellStyle name="Normal 7 3 5 3 3 3" xfId="10379"/>
    <cellStyle name="Normal 7 3 5 3 3 4" xfId="19202"/>
    <cellStyle name="Normal 7 3 5 3 4" xfId="2069"/>
    <cellStyle name="Normal 7 3 5 3 4 2" xfId="11434"/>
    <cellStyle name="Normal 7 3 5 3 4 3" xfId="21438"/>
    <cellStyle name="Normal 7 3 5 3 5" xfId="6576"/>
    <cellStyle name="Normal 7 3 5 3 5 2" xfId="15403"/>
    <cellStyle name="Normal 7 3 5 3 5 3" xfId="25654"/>
    <cellStyle name="Normal 7 3 5 3 6" xfId="8022"/>
    <cellStyle name="Normal 7 3 5 3 6 2" xfId="20629"/>
    <cellStyle name="Normal 7 3 5 3 7" xfId="16431"/>
    <cellStyle name="Normal 7 3 5 4" xfId="2960"/>
    <cellStyle name="Normal 7 3 5 4 2" xfId="5338"/>
    <cellStyle name="Normal 7 3 5 4 2 2" xfId="14175"/>
    <cellStyle name="Normal 7 3 5 4 2 2 2" xfId="24426"/>
    <cellStyle name="Normal 7 3 5 4 2 3" xfId="10596"/>
    <cellStyle name="Normal 7 3 5 4 2 4" xfId="19419"/>
    <cellStyle name="Normal 7 3 5 4 3" xfId="6793"/>
    <cellStyle name="Normal 7 3 5 4 3 2" xfId="15620"/>
    <cellStyle name="Normal 7 3 5 4 3 3" xfId="25871"/>
    <cellStyle name="Normal 7 3 5 4 4" xfId="8239"/>
    <cellStyle name="Normal 7 3 5 4 4 2" xfId="22321"/>
    <cellStyle name="Normal 7 3 5 4 5" xfId="17314"/>
    <cellStyle name="Normal 7 3 5 5" xfId="4294"/>
    <cellStyle name="Normal 7 3 5 5 2" xfId="13132"/>
    <cellStyle name="Normal 7 3 5 5 2 2" xfId="23383"/>
    <cellStyle name="Normal 7 3 5 5 3" xfId="9553"/>
    <cellStyle name="Normal 7 3 5 5 4" xfId="18376"/>
    <cellStyle name="Normal 7 3 5 6" xfId="1566"/>
    <cellStyle name="Normal 7 3 5 6 2" xfId="10943"/>
    <cellStyle name="Normal 7 3 5 6 3" xfId="20947"/>
    <cellStyle name="Normal 7 3 5 7" xfId="5750"/>
    <cellStyle name="Normal 7 3 5 7 2" xfId="14577"/>
    <cellStyle name="Normal 7 3 5 7 3" xfId="24828"/>
    <cellStyle name="Normal 7 3 5 8" xfId="7194"/>
    <cellStyle name="Normal 7 3 5 8 2" xfId="19920"/>
    <cellStyle name="Normal 7 3 5 9" xfId="15940"/>
    <cellStyle name="Normal 7 3 5_Degree data" xfId="4073"/>
    <cellStyle name="Normal 7 3 6" xfId="346"/>
    <cellStyle name="Normal 7 3 6 2" xfId="968"/>
    <cellStyle name="Normal 7 3 6 2 2" xfId="3444"/>
    <cellStyle name="Normal 7 3 6 2 2 2" xfId="12586"/>
    <cellStyle name="Normal 7 3 6 2 2 2 2" xfId="22805"/>
    <cellStyle name="Normal 7 3 6 2 2 3" xfId="9008"/>
    <cellStyle name="Normal 7 3 6 2 2 4" xfId="17798"/>
    <cellStyle name="Normal 7 3 6 2 3" xfId="4774"/>
    <cellStyle name="Normal 7 3 6 2 3 2" xfId="13611"/>
    <cellStyle name="Normal 7 3 6 2 3 2 2" xfId="23862"/>
    <cellStyle name="Normal 7 3 6 2 3 3" xfId="10032"/>
    <cellStyle name="Normal 7 3 6 2 3 4" xfId="18855"/>
    <cellStyle name="Normal 7 3 6 2 4" xfId="2553"/>
    <cellStyle name="Normal 7 3 6 2 4 2" xfId="11918"/>
    <cellStyle name="Normal 7 3 6 2 4 3" xfId="21922"/>
    <cellStyle name="Normal 7 3 6 2 5" xfId="6229"/>
    <cellStyle name="Normal 7 3 6 2 5 2" xfId="15056"/>
    <cellStyle name="Normal 7 3 6 2 5 3" xfId="25307"/>
    <cellStyle name="Normal 7 3 6 2 6" xfId="7675"/>
    <cellStyle name="Normal 7 3 6 2 6 2" xfId="20404"/>
    <cellStyle name="Normal 7 3 6 2 7" xfId="16915"/>
    <cellStyle name="Normal 7 3 6 3" xfId="1118"/>
    <cellStyle name="Normal 7 3 6 3 2" xfId="3547"/>
    <cellStyle name="Normal 7 3 6 3 2 2" xfId="12683"/>
    <cellStyle name="Normal 7 3 6 3 2 2 2" xfId="22902"/>
    <cellStyle name="Normal 7 3 6 3 2 3" xfId="9104"/>
    <cellStyle name="Normal 7 3 6 3 2 4" xfId="17895"/>
    <cellStyle name="Normal 7 3 6 3 3" xfId="5122"/>
    <cellStyle name="Normal 7 3 6 3 3 2" xfId="13959"/>
    <cellStyle name="Normal 7 3 6 3 3 2 2" xfId="24210"/>
    <cellStyle name="Normal 7 3 6 3 3 3" xfId="10380"/>
    <cellStyle name="Normal 7 3 6 3 3 4" xfId="19203"/>
    <cellStyle name="Normal 7 3 6 3 4" xfId="2607"/>
    <cellStyle name="Normal 7 3 6 3 4 2" xfId="11971"/>
    <cellStyle name="Normal 7 3 6 3 4 3" xfId="21975"/>
    <cellStyle name="Normal 7 3 6 3 5" xfId="6577"/>
    <cellStyle name="Normal 7 3 6 3 5 2" xfId="15404"/>
    <cellStyle name="Normal 7 3 6 3 5 3" xfId="25655"/>
    <cellStyle name="Normal 7 3 6 3 6" xfId="8023"/>
    <cellStyle name="Normal 7 3 6 3 6 2" xfId="20501"/>
    <cellStyle name="Normal 7 3 6 3 7" xfId="16968"/>
    <cellStyle name="Normal 7 3 6 4" xfId="2832"/>
    <cellStyle name="Normal 7 3 6 4 2" xfId="5210"/>
    <cellStyle name="Normal 7 3 6 4 2 2" xfId="14047"/>
    <cellStyle name="Normal 7 3 6 4 2 2 2" xfId="24298"/>
    <cellStyle name="Normal 7 3 6 4 2 3" xfId="10468"/>
    <cellStyle name="Normal 7 3 6 4 2 4" xfId="19291"/>
    <cellStyle name="Normal 7 3 6 4 3" xfId="6665"/>
    <cellStyle name="Normal 7 3 6 4 3 2" xfId="15492"/>
    <cellStyle name="Normal 7 3 6 4 3 3" xfId="25743"/>
    <cellStyle name="Normal 7 3 6 4 4" xfId="8111"/>
    <cellStyle name="Normal 7 3 6 4 4 2" xfId="22193"/>
    <cellStyle name="Normal 7 3 6 4 5" xfId="17186"/>
    <cellStyle name="Normal 7 3 6 5" xfId="4164"/>
    <cellStyle name="Normal 7 3 6 5 2" xfId="13002"/>
    <cellStyle name="Normal 7 3 6 5 2 2" xfId="23253"/>
    <cellStyle name="Normal 7 3 6 5 3" xfId="9423"/>
    <cellStyle name="Normal 7 3 6 5 4" xfId="18246"/>
    <cellStyle name="Normal 7 3 6 6" xfId="1941"/>
    <cellStyle name="Normal 7 3 6 6 2" xfId="11306"/>
    <cellStyle name="Normal 7 3 6 6 3" xfId="21310"/>
    <cellStyle name="Normal 7 3 6 7" xfId="5622"/>
    <cellStyle name="Normal 7 3 6 7 2" xfId="14449"/>
    <cellStyle name="Normal 7 3 6 7 3" xfId="24700"/>
    <cellStyle name="Normal 7 3 6 8" xfId="7066"/>
    <cellStyle name="Normal 7 3 6 8 2" xfId="19792"/>
    <cellStyle name="Normal 7 3 6 9" xfId="16303"/>
    <cellStyle name="Normal 7 3 6_Degree data" xfId="4074"/>
    <cellStyle name="Normal 7 3 7" xfId="959"/>
    <cellStyle name="Normal 7 3 7 2" xfId="3435"/>
    <cellStyle name="Normal 7 3 7 2 2" xfId="12577"/>
    <cellStyle name="Normal 7 3 7 2 2 2" xfId="22796"/>
    <cellStyle name="Normal 7 3 7 2 3" xfId="8999"/>
    <cellStyle name="Normal 7 3 7 2 4" xfId="17789"/>
    <cellStyle name="Normal 7 3 7 3" xfId="4765"/>
    <cellStyle name="Normal 7 3 7 3 2" xfId="13602"/>
    <cellStyle name="Normal 7 3 7 3 2 2" xfId="23853"/>
    <cellStyle name="Normal 7 3 7 3 3" xfId="10023"/>
    <cellStyle name="Normal 7 3 7 3 4" xfId="18846"/>
    <cellStyle name="Normal 7 3 7 4" xfId="2544"/>
    <cellStyle name="Normal 7 3 7 4 2" xfId="11909"/>
    <cellStyle name="Normal 7 3 7 4 3" xfId="21913"/>
    <cellStyle name="Normal 7 3 7 5" xfId="6220"/>
    <cellStyle name="Normal 7 3 7 5 2" xfId="15047"/>
    <cellStyle name="Normal 7 3 7 5 3" xfId="25298"/>
    <cellStyle name="Normal 7 3 7 6" xfId="7666"/>
    <cellStyle name="Normal 7 3 7 6 2" xfId="20395"/>
    <cellStyle name="Normal 7 3 7 7" xfId="16906"/>
    <cellStyle name="Normal 7 3 8" xfId="1073"/>
    <cellStyle name="Normal 7 3 8 2" xfId="3502"/>
    <cellStyle name="Normal 7 3 8 2 2" xfId="12638"/>
    <cellStyle name="Normal 7 3 8 2 2 2" xfId="22857"/>
    <cellStyle name="Normal 7 3 8 2 3" xfId="9060"/>
    <cellStyle name="Normal 7 3 8 2 4" xfId="17850"/>
    <cellStyle name="Normal 7 3 8 3" xfId="5113"/>
    <cellStyle name="Normal 7 3 8 3 2" xfId="13950"/>
    <cellStyle name="Normal 7 3 8 3 2 2" xfId="24201"/>
    <cellStyle name="Normal 7 3 8 3 3" xfId="10371"/>
    <cellStyle name="Normal 7 3 8 3 4" xfId="19194"/>
    <cellStyle name="Normal 7 3 8 4" xfId="1742"/>
    <cellStyle name="Normal 7 3 8 4 2" xfId="11116"/>
    <cellStyle name="Normal 7 3 8 4 3" xfId="21120"/>
    <cellStyle name="Normal 7 3 8 5" xfId="6568"/>
    <cellStyle name="Normal 7 3 8 5 2" xfId="15395"/>
    <cellStyle name="Normal 7 3 8 5 3" xfId="25646"/>
    <cellStyle name="Normal 7 3 8 6" xfId="8014"/>
    <cellStyle name="Normal 7 3 8 6 2" xfId="20456"/>
    <cellStyle name="Normal 7 3 8 7" xfId="16113"/>
    <cellStyle name="Normal 7 3 9" xfId="2642"/>
    <cellStyle name="Normal 7 3 9 2" xfId="5165"/>
    <cellStyle name="Normal 7 3 9 2 2" xfId="14002"/>
    <cellStyle name="Normal 7 3 9 2 2 2" xfId="24253"/>
    <cellStyle name="Normal 7 3 9 2 3" xfId="10423"/>
    <cellStyle name="Normal 7 3 9 2 4" xfId="19246"/>
    <cellStyle name="Normal 7 3 9 3" xfId="6620"/>
    <cellStyle name="Normal 7 3 9 3 2" xfId="15447"/>
    <cellStyle name="Normal 7 3 9 3 3" xfId="25698"/>
    <cellStyle name="Normal 7 3 9 4" xfId="8066"/>
    <cellStyle name="Normal 7 3 9 4 2" xfId="22004"/>
    <cellStyle name="Normal 7 3 9 5" xfId="16997"/>
    <cellStyle name="Normal 7 3_Degree data" xfId="4065"/>
    <cellStyle name="Normal 7 4" xfId="148"/>
    <cellStyle name="Normal 7 4 10" xfId="1416"/>
    <cellStyle name="Normal 7 4 10 2" xfId="10793"/>
    <cellStyle name="Normal 7 4 10 3" xfId="20797"/>
    <cellStyle name="Normal 7 4 11" xfId="5527"/>
    <cellStyle name="Normal 7 4 11 2" xfId="14354"/>
    <cellStyle name="Normal 7 4 11 3" xfId="24605"/>
    <cellStyle name="Normal 7 4 12" xfId="6967"/>
    <cellStyle name="Normal 7 4 12 2" xfId="19612"/>
    <cellStyle name="Normal 7 4 13" xfId="15790"/>
    <cellStyle name="Normal 7 4 2" xfId="198"/>
    <cellStyle name="Normal 7 4 2 10" xfId="7146"/>
    <cellStyle name="Normal 7 4 2 10 2" xfId="19655"/>
    <cellStyle name="Normal 7 4 2 11" xfId="15892"/>
    <cellStyle name="Normal 7 4 2 2" xfId="526"/>
    <cellStyle name="Normal 7 4 2 2 2" xfId="971"/>
    <cellStyle name="Normal 7 4 2 2 2 2" xfId="3447"/>
    <cellStyle name="Normal 7 4 2 2 2 2 2" xfId="12589"/>
    <cellStyle name="Normal 7 4 2 2 2 2 2 2" xfId="22808"/>
    <cellStyle name="Normal 7 4 2 2 2 2 3" xfId="9011"/>
    <cellStyle name="Normal 7 4 2 2 2 2 4" xfId="17801"/>
    <cellStyle name="Normal 7 4 2 2 2 3" xfId="4777"/>
    <cellStyle name="Normal 7 4 2 2 2 3 2" xfId="13614"/>
    <cellStyle name="Normal 7 4 2 2 2 3 2 2" xfId="23865"/>
    <cellStyle name="Normal 7 4 2 2 2 3 3" xfId="10035"/>
    <cellStyle name="Normal 7 4 2 2 2 3 4" xfId="18858"/>
    <cellStyle name="Normal 7 4 2 2 2 4" xfId="2556"/>
    <cellStyle name="Normal 7 4 2 2 2 4 2" xfId="11921"/>
    <cellStyle name="Normal 7 4 2 2 2 4 3" xfId="21925"/>
    <cellStyle name="Normal 7 4 2 2 2 5" xfId="6232"/>
    <cellStyle name="Normal 7 4 2 2 2 5 2" xfId="15059"/>
    <cellStyle name="Normal 7 4 2 2 2 5 3" xfId="25310"/>
    <cellStyle name="Normal 7 4 2 2 2 6" xfId="7678"/>
    <cellStyle name="Normal 7 4 2 2 2 6 2" xfId="20407"/>
    <cellStyle name="Normal 7 4 2 2 2 7" xfId="16918"/>
    <cellStyle name="Normal 7 4 2 2 3" xfId="1298"/>
    <cellStyle name="Normal 7 4 2 2 3 2" xfId="3727"/>
    <cellStyle name="Normal 7 4 2 2 3 2 2" xfId="12863"/>
    <cellStyle name="Normal 7 4 2 2 3 2 2 2" xfId="23082"/>
    <cellStyle name="Normal 7 4 2 2 3 2 3" xfId="9284"/>
    <cellStyle name="Normal 7 4 2 2 3 2 4" xfId="18075"/>
    <cellStyle name="Normal 7 4 2 2 3 3" xfId="5125"/>
    <cellStyle name="Normal 7 4 2 2 3 3 2" xfId="13962"/>
    <cellStyle name="Normal 7 4 2 2 3 3 2 2" xfId="24213"/>
    <cellStyle name="Normal 7 4 2 2 3 3 3" xfId="10383"/>
    <cellStyle name="Normal 7 4 2 2 3 3 4" xfId="19206"/>
    <cellStyle name="Normal 7 4 2 2 3 4" xfId="2121"/>
    <cellStyle name="Normal 7 4 2 2 3 4 2" xfId="11486"/>
    <cellStyle name="Normal 7 4 2 2 3 4 3" xfId="21490"/>
    <cellStyle name="Normal 7 4 2 2 3 5" xfId="6580"/>
    <cellStyle name="Normal 7 4 2 2 3 5 2" xfId="15407"/>
    <cellStyle name="Normal 7 4 2 2 3 5 3" xfId="25658"/>
    <cellStyle name="Normal 7 4 2 2 3 6" xfId="8026"/>
    <cellStyle name="Normal 7 4 2 2 3 6 2" xfId="20681"/>
    <cellStyle name="Normal 7 4 2 2 3 7" xfId="16483"/>
    <cellStyle name="Normal 7 4 2 2 4" xfId="3012"/>
    <cellStyle name="Normal 7 4 2 2 4 2" xfId="5390"/>
    <cellStyle name="Normal 7 4 2 2 4 2 2" xfId="14227"/>
    <cellStyle name="Normal 7 4 2 2 4 2 2 2" xfId="24478"/>
    <cellStyle name="Normal 7 4 2 2 4 2 3" xfId="10648"/>
    <cellStyle name="Normal 7 4 2 2 4 2 4" xfId="19471"/>
    <cellStyle name="Normal 7 4 2 2 4 3" xfId="6845"/>
    <cellStyle name="Normal 7 4 2 2 4 3 2" xfId="15672"/>
    <cellStyle name="Normal 7 4 2 2 4 3 3" xfId="25923"/>
    <cellStyle name="Normal 7 4 2 2 4 4" xfId="8291"/>
    <cellStyle name="Normal 7 4 2 2 4 4 2" xfId="22373"/>
    <cellStyle name="Normal 7 4 2 2 4 5" xfId="17366"/>
    <cellStyle name="Normal 7 4 2 2 5" xfId="4346"/>
    <cellStyle name="Normal 7 4 2 2 5 2" xfId="13184"/>
    <cellStyle name="Normal 7 4 2 2 5 2 2" xfId="23435"/>
    <cellStyle name="Normal 7 4 2 2 5 3" xfId="9605"/>
    <cellStyle name="Normal 7 4 2 2 5 4" xfId="18428"/>
    <cellStyle name="Normal 7 4 2 2 6" xfId="1618"/>
    <cellStyle name="Normal 7 4 2 2 6 2" xfId="10995"/>
    <cellStyle name="Normal 7 4 2 2 6 3" xfId="20999"/>
    <cellStyle name="Normal 7 4 2 2 7" xfId="5802"/>
    <cellStyle name="Normal 7 4 2 2 7 2" xfId="14629"/>
    <cellStyle name="Normal 7 4 2 2 7 3" xfId="24880"/>
    <cellStyle name="Normal 7 4 2 2 8" xfId="7246"/>
    <cellStyle name="Normal 7 4 2 2 8 2" xfId="19972"/>
    <cellStyle name="Normal 7 4 2 2 9" xfId="15992"/>
    <cellStyle name="Normal 7 4 2 2_Degree data" xfId="4077"/>
    <cellStyle name="Normal 7 4 2 3" xfId="426"/>
    <cellStyle name="Normal 7 4 2 3 2" xfId="2912"/>
    <cellStyle name="Normal 7 4 2 3 2 2" xfId="12200"/>
    <cellStyle name="Normal 7 4 2 3 2 2 2" xfId="22273"/>
    <cellStyle name="Normal 7 4 2 3 2 3" xfId="8458"/>
    <cellStyle name="Normal 7 4 2 3 2 4" xfId="17266"/>
    <cellStyle name="Normal 7 4 2 3 3" xfId="4776"/>
    <cellStyle name="Normal 7 4 2 3 3 2" xfId="13613"/>
    <cellStyle name="Normal 7 4 2 3 3 2 2" xfId="23864"/>
    <cellStyle name="Normal 7 4 2 3 3 3" xfId="10034"/>
    <cellStyle name="Normal 7 4 2 3 3 4" xfId="18857"/>
    <cellStyle name="Normal 7 4 2 3 4" xfId="2021"/>
    <cellStyle name="Normal 7 4 2 3 4 2" xfId="11386"/>
    <cellStyle name="Normal 7 4 2 3 4 3" xfId="21390"/>
    <cellStyle name="Normal 7 4 2 3 5" xfId="6231"/>
    <cellStyle name="Normal 7 4 2 3 5 2" xfId="15058"/>
    <cellStyle name="Normal 7 4 2 3 5 3" xfId="25309"/>
    <cellStyle name="Normal 7 4 2 3 6" xfId="7677"/>
    <cellStyle name="Normal 7 4 2 3 6 2" xfId="19872"/>
    <cellStyle name="Normal 7 4 2 3 7" xfId="16383"/>
    <cellStyle name="Normal 7 4 2 4" xfId="970"/>
    <cellStyle name="Normal 7 4 2 4 2" xfId="3446"/>
    <cellStyle name="Normal 7 4 2 4 2 2" xfId="12588"/>
    <cellStyle name="Normal 7 4 2 4 2 2 2" xfId="22807"/>
    <cellStyle name="Normal 7 4 2 4 2 3" xfId="9010"/>
    <cellStyle name="Normal 7 4 2 4 2 4" xfId="17800"/>
    <cellStyle name="Normal 7 4 2 4 3" xfId="5124"/>
    <cellStyle name="Normal 7 4 2 4 3 2" xfId="13961"/>
    <cellStyle name="Normal 7 4 2 4 3 2 2" xfId="24212"/>
    <cellStyle name="Normal 7 4 2 4 3 3" xfId="10382"/>
    <cellStyle name="Normal 7 4 2 4 3 4" xfId="19205"/>
    <cellStyle name="Normal 7 4 2 4 4" xfId="2555"/>
    <cellStyle name="Normal 7 4 2 4 4 2" xfId="11920"/>
    <cellStyle name="Normal 7 4 2 4 4 3" xfId="21924"/>
    <cellStyle name="Normal 7 4 2 4 5" xfId="6579"/>
    <cellStyle name="Normal 7 4 2 4 5 2" xfId="15406"/>
    <cellStyle name="Normal 7 4 2 4 5 3" xfId="25657"/>
    <cellStyle name="Normal 7 4 2 4 6" xfId="8025"/>
    <cellStyle name="Normal 7 4 2 4 6 2" xfId="20406"/>
    <cellStyle name="Normal 7 4 2 4 7" xfId="16917"/>
    <cellStyle name="Normal 7 4 2 5" xfId="1198"/>
    <cellStyle name="Normal 7 4 2 5 2" xfId="3627"/>
    <cellStyle name="Normal 7 4 2 5 2 2" xfId="12763"/>
    <cellStyle name="Normal 7 4 2 5 2 2 2" xfId="22982"/>
    <cellStyle name="Normal 7 4 2 5 2 3" xfId="9184"/>
    <cellStyle name="Normal 7 4 2 5 2 4" xfId="17975"/>
    <cellStyle name="Normal 7 4 2 5 3" xfId="5290"/>
    <cellStyle name="Normal 7 4 2 5 3 2" xfId="14127"/>
    <cellStyle name="Normal 7 4 2 5 3 2 2" xfId="24378"/>
    <cellStyle name="Normal 7 4 2 5 3 3" xfId="10548"/>
    <cellStyle name="Normal 7 4 2 5 3 4" xfId="19371"/>
    <cellStyle name="Normal 7 4 2 5 4" xfId="1800"/>
    <cellStyle name="Normal 7 4 2 5 4 2" xfId="11169"/>
    <cellStyle name="Normal 7 4 2 5 4 3" xfId="21173"/>
    <cellStyle name="Normal 7 4 2 5 5" xfId="6745"/>
    <cellStyle name="Normal 7 4 2 5 5 2" xfId="15572"/>
    <cellStyle name="Normal 7 4 2 5 5 3" xfId="25823"/>
    <cellStyle name="Normal 7 4 2 5 6" xfId="8191"/>
    <cellStyle name="Normal 7 4 2 5 6 2" xfId="20581"/>
    <cellStyle name="Normal 7 4 2 5 7" xfId="16166"/>
    <cellStyle name="Normal 7 4 2 6" xfId="2695"/>
    <cellStyle name="Normal 7 4 2 6 2" xfId="12012"/>
    <cellStyle name="Normal 7 4 2 6 2 2" xfId="22056"/>
    <cellStyle name="Normal 7 4 2 6 3" xfId="8645"/>
    <cellStyle name="Normal 7 4 2 6 4" xfId="17049"/>
    <cellStyle name="Normal 7 4 2 7" xfId="4246"/>
    <cellStyle name="Normal 7 4 2 7 2" xfId="13084"/>
    <cellStyle name="Normal 7 4 2 7 2 2" xfId="23335"/>
    <cellStyle name="Normal 7 4 2 7 3" xfId="9505"/>
    <cellStyle name="Normal 7 4 2 7 4" xfId="18328"/>
    <cellStyle name="Normal 7 4 2 8" xfId="1518"/>
    <cellStyle name="Normal 7 4 2 8 2" xfId="10895"/>
    <cellStyle name="Normal 7 4 2 8 3" xfId="20899"/>
    <cellStyle name="Normal 7 4 2 9" xfId="5702"/>
    <cellStyle name="Normal 7 4 2 9 2" xfId="14529"/>
    <cellStyle name="Normal 7 4 2 9 3" xfId="24780"/>
    <cellStyle name="Normal 7 4 2_Degree data" xfId="4076"/>
    <cellStyle name="Normal 7 4 3" xfId="265"/>
    <cellStyle name="Normal 7 4 3 10" xfId="7103"/>
    <cellStyle name="Normal 7 4 3 10 2" xfId="19717"/>
    <cellStyle name="Normal 7 4 3 11" xfId="15849"/>
    <cellStyle name="Normal 7 4 3 2" xfId="588"/>
    <cellStyle name="Normal 7 4 3 2 2" xfId="973"/>
    <cellStyle name="Normal 7 4 3 2 2 2" xfId="3449"/>
    <cellStyle name="Normal 7 4 3 2 2 2 2" xfId="12591"/>
    <cellStyle name="Normal 7 4 3 2 2 2 2 2" xfId="22810"/>
    <cellStyle name="Normal 7 4 3 2 2 2 3" xfId="9013"/>
    <cellStyle name="Normal 7 4 3 2 2 2 4" xfId="17803"/>
    <cellStyle name="Normal 7 4 3 2 2 3" xfId="4779"/>
    <cellStyle name="Normal 7 4 3 2 2 3 2" xfId="13616"/>
    <cellStyle name="Normal 7 4 3 2 2 3 2 2" xfId="23867"/>
    <cellStyle name="Normal 7 4 3 2 2 3 3" xfId="10037"/>
    <cellStyle name="Normal 7 4 3 2 2 3 4" xfId="18860"/>
    <cellStyle name="Normal 7 4 3 2 2 4" xfId="2558"/>
    <cellStyle name="Normal 7 4 3 2 2 4 2" xfId="11923"/>
    <cellStyle name="Normal 7 4 3 2 2 4 3" xfId="21927"/>
    <cellStyle name="Normal 7 4 3 2 2 5" xfId="6234"/>
    <cellStyle name="Normal 7 4 3 2 2 5 2" xfId="15061"/>
    <cellStyle name="Normal 7 4 3 2 2 5 3" xfId="25312"/>
    <cellStyle name="Normal 7 4 3 2 2 6" xfId="7680"/>
    <cellStyle name="Normal 7 4 3 2 2 6 2" xfId="20409"/>
    <cellStyle name="Normal 7 4 3 2 2 7" xfId="16920"/>
    <cellStyle name="Normal 7 4 3 2 3" xfId="1360"/>
    <cellStyle name="Normal 7 4 3 2 3 2" xfId="3789"/>
    <cellStyle name="Normal 7 4 3 2 3 2 2" xfId="12925"/>
    <cellStyle name="Normal 7 4 3 2 3 2 2 2" xfId="23144"/>
    <cellStyle name="Normal 7 4 3 2 3 2 3" xfId="9346"/>
    <cellStyle name="Normal 7 4 3 2 3 2 4" xfId="18137"/>
    <cellStyle name="Normal 7 4 3 2 3 3" xfId="5127"/>
    <cellStyle name="Normal 7 4 3 2 3 3 2" xfId="13964"/>
    <cellStyle name="Normal 7 4 3 2 3 3 2 2" xfId="24215"/>
    <cellStyle name="Normal 7 4 3 2 3 3 3" xfId="10385"/>
    <cellStyle name="Normal 7 4 3 2 3 3 4" xfId="19208"/>
    <cellStyle name="Normal 7 4 3 2 3 4" xfId="2183"/>
    <cellStyle name="Normal 7 4 3 2 3 4 2" xfId="11548"/>
    <cellStyle name="Normal 7 4 3 2 3 4 3" xfId="21552"/>
    <cellStyle name="Normal 7 4 3 2 3 5" xfId="6582"/>
    <cellStyle name="Normal 7 4 3 2 3 5 2" xfId="15409"/>
    <cellStyle name="Normal 7 4 3 2 3 5 3" xfId="25660"/>
    <cellStyle name="Normal 7 4 3 2 3 6" xfId="8028"/>
    <cellStyle name="Normal 7 4 3 2 3 6 2" xfId="20743"/>
    <cellStyle name="Normal 7 4 3 2 3 7" xfId="16545"/>
    <cellStyle name="Normal 7 4 3 2 4" xfId="3074"/>
    <cellStyle name="Normal 7 4 3 2 4 2" xfId="5452"/>
    <cellStyle name="Normal 7 4 3 2 4 2 2" xfId="14289"/>
    <cellStyle name="Normal 7 4 3 2 4 2 2 2" xfId="24540"/>
    <cellStyle name="Normal 7 4 3 2 4 2 3" xfId="10710"/>
    <cellStyle name="Normal 7 4 3 2 4 2 4" xfId="19533"/>
    <cellStyle name="Normal 7 4 3 2 4 3" xfId="6907"/>
    <cellStyle name="Normal 7 4 3 2 4 3 2" xfId="15734"/>
    <cellStyle name="Normal 7 4 3 2 4 3 3" xfId="25985"/>
    <cellStyle name="Normal 7 4 3 2 4 4" xfId="8353"/>
    <cellStyle name="Normal 7 4 3 2 4 4 2" xfId="22435"/>
    <cellStyle name="Normal 7 4 3 2 4 5" xfId="17428"/>
    <cellStyle name="Normal 7 4 3 2 5" xfId="4408"/>
    <cellStyle name="Normal 7 4 3 2 5 2" xfId="13246"/>
    <cellStyle name="Normal 7 4 3 2 5 2 2" xfId="23497"/>
    <cellStyle name="Normal 7 4 3 2 5 3" xfId="9667"/>
    <cellStyle name="Normal 7 4 3 2 5 4" xfId="18490"/>
    <cellStyle name="Normal 7 4 3 2 6" xfId="1680"/>
    <cellStyle name="Normal 7 4 3 2 6 2" xfId="11057"/>
    <cellStyle name="Normal 7 4 3 2 6 3" xfId="21061"/>
    <cellStyle name="Normal 7 4 3 2 7" xfId="5864"/>
    <cellStyle name="Normal 7 4 3 2 7 2" xfId="14691"/>
    <cellStyle name="Normal 7 4 3 2 7 3" xfId="24942"/>
    <cellStyle name="Normal 7 4 3 2 8" xfId="7308"/>
    <cellStyle name="Normal 7 4 3 2 8 2" xfId="20034"/>
    <cellStyle name="Normal 7 4 3 2 9" xfId="16054"/>
    <cellStyle name="Normal 7 4 3 2_Degree data" xfId="4079"/>
    <cellStyle name="Normal 7 4 3 3" xfId="383"/>
    <cellStyle name="Normal 7 4 3 3 2" xfId="2869"/>
    <cellStyle name="Normal 7 4 3 3 2 2" xfId="12157"/>
    <cellStyle name="Normal 7 4 3 3 2 2 2" xfId="22230"/>
    <cellStyle name="Normal 7 4 3 3 2 3" xfId="8531"/>
    <cellStyle name="Normal 7 4 3 3 2 4" xfId="17223"/>
    <cellStyle name="Normal 7 4 3 3 3" xfId="4778"/>
    <cellStyle name="Normal 7 4 3 3 3 2" xfId="13615"/>
    <cellStyle name="Normal 7 4 3 3 3 2 2" xfId="23866"/>
    <cellStyle name="Normal 7 4 3 3 3 3" xfId="10036"/>
    <cellStyle name="Normal 7 4 3 3 3 4" xfId="18859"/>
    <cellStyle name="Normal 7 4 3 3 4" xfId="1978"/>
    <cellStyle name="Normal 7 4 3 3 4 2" xfId="11343"/>
    <cellStyle name="Normal 7 4 3 3 4 3" xfId="21347"/>
    <cellStyle name="Normal 7 4 3 3 5" xfId="6233"/>
    <cellStyle name="Normal 7 4 3 3 5 2" xfId="15060"/>
    <cellStyle name="Normal 7 4 3 3 5 3" xfId="25311"/>
    <cellStyle name="Normal 7 4 3 3 6" xfId="7679"/>
    <cellStyle name="Normal 7 4 3 3 6 2" xfId="19829"/>
    <cellStyle name="Normal 7 4 3 3 7" xfId="16340"/>
    <cellStyle name="Normal 7 4 3 4" xfId="972"/>
    <cellStyle name="Normal 7 4 3 4 2" xfId="3448"/>
    <cellStyle name="Normal 7 4 3 4 2 2" xfId="12590"/>
    <cellStyle name="Normal 7 4 3 4 2 2 2" xfId="22809"/>
    <cellStyle name="Normal 7 4 3 4 2 3" xfId="9012"/>
    <cellStyle name="Normal 7 4 3 4 2 4" xfId="17802"/>
    <cellStyle name="Normal 7 4 3 4 3" xfId="5126"/>
    <cellStyle name="Normal 7 4 3 4 3 2" xfId="13963"/>
    <cellStyle name="Normal 7 4 3 4 3 2 2" xfId="24214"/>
    <cellStyle name="Normal 7 4 3 4 3 3" xfId="10384"/>
    <cellStyle name="Normal 7 4 3 4 3 4" xfId="19207"/>
    <cellStyle name="Normal 7 4 3 4 4" xfId="2557"/>
    <cellStyle name="Normal 7 4 3 4 4 2" xfId="11922"/>
    <cellStyle name="Normal 7 4 3 4 4 3" xfId="21926"/>
    <cellStyle name="Normal 7 4 3 4 5" xfId="6581"/>
    <cellStyle name="Normal 7 4 3 4 5 2" xfId="15408"/>
    <cellStyle name="Normal 7 4 3 4 5 3" xfId="25659"/>
    <cellStyle name="Normal 7 4 3 4 6" xfId="8027"/>
    <cellStyle name="Normal 7 4 3 4 6 2" xfId="20408"/>
    <cellStyle name="Normal 7 4 3 4 7" xfId="16919"/>
    <cellStyle name="Normal 7 4 3 5" xfId="1155"/>
    <cellStyle name="Normal 7 4 3 5 2" xfId="3584"/>
    <cellStyle name="Normal 7 4 3 5 2 2" xfId="12720"/>
    <cellStyle name="Normal 7 4 3 5 2 2 2" xfId="22939"/>
    <cellStyle name="Normal 7 4 3 5 2 3" xfId="9141"/>
    <cellStyle name="Normal 7 4 3 5 2 4" xfId="17932"/>
    <cellStyle name="Normal 7 4 3 5 3" xfId="5247"/>
    <cellStyle name="Normal 7 4 3 5 3 2" xfId="14084"/>
    <cellStyle name="Normal 7 4 3 5 3 2 2" xfId="24335"/>
    <cellStyle name="Normal 7 4 3 5 3 3" xfId="10505"/>
    <cellStyle name="Normal 7 4 3 5 3 4" xfId="19328"/>
    <cellStyle name="Normal 7 4 3 5 4" xfId="1863"/>
    <cellStyle name="Normal 7 4 3 5 4 2" xfId="11231"/>
    <cellStyle name="Normal 7 4 3 5 4 3" xfId="21235"/>
    <cellStyle name="Normal 7 4 3 5 5" xfId="6702"/>
    <cellStyle name="Normal 7 4 3 5 5 2" xfId="15529"/>
    <cellStyle name="Normal 7 4 3 5 5 3" xfId="25780"/>
    <cellStyle name="Normal 7 4 3 5 6" xfId="8148"/>
    <cellStyle name="Normal 7 4 3 5 6 2" xfId="20538"/>
    <cellStyle name="Normal 7 4 3 5 7" xfId="16228"/>
    <cellStyle name="Normal 7 4 3 6" xfId="2757"/>
    <cellStyle name="Normal 7 4 3 6 2" xfId="12074"/>
    <cellStyle name="Normal 7 4 3 6 2 2" xfId="22118"/>
    <cellStyle name="Normal 7 4 3 6 3" xfId="8551"/>
    <cellStyle name="Normal 7 4 3 6 4" xfId="17111"/>
    <cellStyle name="Normal 7 4 3 7" xfId="4203"/>
    <cellStyle name="Normal 7 4 3 7 2" xfId="13041"/>
    <cellStyle name="Normal 7 4 3 7 2 2" xfId="23292"/>
    <cellStyle name="Normal 7 4 3 7 3" xfId="9462"/>
    <cellStyle name="Normal 7 4 3 7 4" xfId="18285"/>
    <cellStyle name="Normal 7 4 3 8" xfId="1475"/>
    <cellStyle name="Normal 7 4 3 8 2" xfId="10852"/>
    <cellStyle name="Normal 7 4 3 8 3" xfId="20856"/>
    <cellStyle name="Normal 7 4 3 9" xfId="5659"/>
    <cellStyle name="Normal 7 4 3 9 2" xfId="14486"/>
    <cellStyle name="Normal 7 4 3 9 3" xfId="24737"/>
    <cellStyle name="Normal 7 4 3_Degree data" xfId="4078"/>
    <cellStyle name="Normal 7 4 4" xfId="483"/>
    <cellStyle name="Normal 7 4 4 2" xfId="974"/>
    <cellStyle name="Normal 7 4 4 2 2" xfId="3450"/>
    <cellStyle name="Normal 7 4 4 2 2 2" xfId="12592"/>
    <cellStyle name="Normal 7 4 4 2 2 2 2" xfId="22811"/>
    <cellStyle name="Normal 7 4 4 2 2 3" xfId="9014"/>
    <cellStyle name="Normal 7 4 4 2 2 4" xfId="17804"/>
    <cellStyle name="Normal 7 4 4 2 3" xfId="4780"/>
    <cellStyle name="Normal 7 4 4 2 3 2" xfId="13617"/>
    <cellStyle name="Normal 7 4 4 2 3 2 2" xfId="23868"/>
    <cellStyle name="Normal 7 4 4 2 3 3" xfId="10038"/>
    <cellStyle name="Normal 7 4 4 2 3 4" xfId="18861"/>
    <cellStyle name="Normal 7 4 4 2 4" xfId="2559"/>
    <cellStyle name="Normal 7 4 4 2 4 2" xfId="11924"/>
    <cellStyle name="Normal 7 4 4 2 4 3" xfId="21928"/>
    <cellStyle name="Normal 7 4 4 2 5" xfId="6235"/>
    <cellStyle name="Normal 7 4 4 2 5 2" xfId="15062"/>
    <cellStyle name="Normal 7 4 4 2 5 3" xfId="25313"/>
    <cellStyle name="Normal 7 4 4 2 6" xfId="7681"/>
    <cellStyle name="Normal 7 4 4 2 6 2" xfId="20410"/>
    <cellStyle name="Normal 7 4 4 2 7" xfId="16921"/>
    <cellStyle name="Normal 7 4 4 3" xfId="1255"/>
    <cellStyle name="Normal 7 4 4 3 2" xfId="3684"/>
    <cellStyle name="Normal 7 4 4 3 2 2" xfId="12820"/>
    <cellStyle name="Normal 7 4 4 3 2 2 2" xfId="23039"/>
    <cellStyle name="Normal 7 4 4 3 2 3" xfId="9241"/>
    <cellStyle name="Normal 7 4 4 3 2 4" xfId="18032"/>
    <cellStyle name="Normal 7 4 4 3 3" xfId="5128"/>
    <cellStyle name="Normal 7 4 4 3 3 2" xfId="13965"/>
    <cellStyle name="Normal 7 4 4 3 3 2 2" xfId="24216"/>
    <cellStyle name="Normal 7 4 4 3 3 3" xfId="10386"/>
    <cellStyle name="Normal 7 4 4 3 3 4" xfId="19209"/>
    <cellStyle name="Normal 7 4 4 3 4" xfId="2078"/>
    <cellStyle name="Normal 7 4 4 3 4 2" xfId="11443"/>
    <cellStyle name="Normal 7 4 4 3 4 3" xfId="21447"/>
    <cellStyle name="Normal 7 4 4 3 5" xfId="6583"/>
    <cellStyle name="Normal 7 4 4 3 5 2" xfId="15410"/>
    <cellStyle name="Normal 7 4 4 3 5 3" xfId="25661"/>
    <cellStyle name="Normal 7 4 4 3 6" xfId="8029"/>
    <cellStyle name="Normal 7 4 4 3 6 2" xfId="20638"/>
    <cellStyle name="Normal 7 4 4 3 7" xfId="16440"/>
    <cellStyle name="Normal 7 4 4 4" xfId="2969"/>
    <cellStyle name="Normal 7 4 4 4 2" xfId="5347"/>
    <cellStyle name="Normal 7 4 4 4 2 2" xfId="14184"/>
    <cellStyle name="Normal 7 4 4 4 2 2 2" xfId="24435"/>
    <cellStyle name="Normal 7 4 4 4 2 3" xfId="10605"/>
    <cellStyle name="Normal 7 4 4 4 2 4" xfId="19428"/>
    <cellStyle name="Normal 7 4 4 4 3" xfId="6802"/>
    <cellStyle name="Normal 7 4 4 4 3 2" xfId="15629"/>
    <cellStyle name="Normal 7 4 4 4 3 3" xfId="25880"/>
    <cellStyle name="Normal 7 4 4 4 4" xfId="8248"/>
    <cellStyle name="Normal 7 4 4 4 4 2" xfId="22330"/>
    <cellStyle name="Normal 7 4 4 4 5" xfId="17323"/>
    <cellStyle name="Normal 7 4 4 5" xfId="4303"/>
    <cellStyle name="Normal 7 4 4 5 2" xfId="13141"/>
    <cellStyle name="Normal 7 4 4 5 2 2" xfId="23392"/>
    <cellStyle name="Normal 7 4 4 5 3" xfId="9562"/>
    <cellStyle name="Normal 7 4 4 5 4" xfId="18385"/>
    <cellStyle name="Normal 7 4 4 6" xfId="1575"/>
    <cellStyle name="Normal 7 4 4 6 2" xfId="10952"/>
    <cellStyle name="Normal 7 4 4 6 3" xfId="20956"/>
    <cellStyle name="Normal 7 4 4 7" xfId="5759"/>
    <cellStyle name="Normal 7 4 4 7 2" xfId="14586"/>
    <cellStyle name="Normal 7 4 4 7 3" xfId="24837"/>
    <cellStyle name="Normal 7 4 4 8" xfId="7203"/>
    <cellStyle name="Normal 7 4 4 8 2" xfId="19929"/>
    <cellStyle name="Normal 7 4 4 9" xfId="15949"/>
    <cellStyle name="Normal 7 4 4_Degree data" xfId="4080"/>
    <cellStyle name="Normal 7 4 5" xfId="324"/>
    <cellStyle name="Normal 7 4 5 2" xfId="2810"/>
    <cellStyle name="Normal 7 4 5 2 2" xfId="12114"/>
    <cellStyle name="Normal 7 4 5 2 2 2" xfId="22171"/>
    <cellStyle name="Normal 7 4 5 2 3" xfId="8431"/>
    <cellStyle name="Normal 7 4 5 2 4" xfId="17164"/>
    <cellStyle name="Normal 7 4 5 3" xfId="4775"/>
    <cellStyle name="Normal 7 4 5 3 2" xfId="13612"/>
    <cellStyle name="Normal 7 4 5 3 2 2" xfId="23863"/>
    <cellStyle name="Normal 7 4 5 3 3" xfId="10033"/>
    <cellStyle name="Normal 7 4 5 3 4" xfId="18856"/>
    <cellStyle name="Normal 7 4 5 4" xfId="1919"/>
    <cellStyle name="Normal 7 4 5 4 2" xfId="11284"/>
    <cellStyle name="Normal 7 4 5 4 3" xfId="21288"/>
    <cellStyle name="Normal 7 4 5 5" xfId="6230"/>
    <cellStyle name="Normal 7 4 5 5 2" xfId="15057"/>
    <cellStyle name="Normal 7 4 5 5 3" xfId="25308"/>
    <cellStyle name="Normal 7 4 5 6" xfId="7676"/>
    <cellStyle name="Normal 7 4 5 6 2" xfId="19770"/>
    <cellStyle name="Normal 7 4 5 7" xfId="16281"/>
    <cellStyle name="Normal 7 4 6" xfId="969"/>
    <cellStyle name="Normal 7 4 6 2" xfId="3445"/>
    <cellStyle name="Normal 7 4 6 2 2" xfId="12587"/>
    <cellStyle name="Normal 7 4 6 2 2 2" xfId="22806"/>
    <cellStyle name="Normal 7 4 6 2 3" xfId="9009"/>
    <cellStyle name="Normal 7 4 6 2 4" xfId="17799"/>
    <cellStyle name="Normal 7 4 6 3" xfId="5123"/>
    <cellStyle name="Normal 7 4 6 3 2" xfId="13960"/>
    <cellStyle name="Normal 7 4 6 3 2 2" xfId="24211"/>
    <cellStyle name="Normal 7 4 6 3 3" xfId="10381"/>
    <cellStyle name="Normal 7 4 6 3 4" xfId="19204"/>
    <cellStyle name="Normal 7 4 6 4" xfId="2554"/>
    <cellStyle name="Normal 7 4 6 4 2" xfId="11919"/>
    <cellStyle name="Normal 7 4 6 4 3" xfId="21923"/>
    <cellStyle name="Normal 7 4 6 5" xfId="6578"/>
    <cellStyle name="Normal 7 4 6 5 2" xfId="15405"/>
    <cellStyle name="Normal 7 4 6 5 3" xfId="25656"/>
    <cellStyle name="Normal 7 4 6 6" xfId="8024"/>
    <cellStyle name="Normal 7 4 6 6 2" xfId="20405"/>
    <cellStyle name="Normal 7 4 6 7" xfId="16916"/>
    <cellStyle name="Normal 7 4 7" xfId="1096"/>
    <cellStyle name="Normal 7 4 7 2" xfId="3525"/>
    <cellStyle name="Normal 7 4 7 2 2" xfId="12661"/>
    <cellStyle name="Normal 7 4 7 2 2 2" xfId="22880"/>
    <cellStyle name="Normal 7 4 7 2 3" xfId="9083"/>
    <cellStyle name="Normal 7 4 7 2 4" xfId="17873"/>
    <cellStyle name="Normal 7 4 7 3" xfId="5188"/>
    <cellStyle name="Normal 7 4 7 3 2" xfId="14025"/>
    <cellStyle name="Normal 7 4 7 3 2 2" xfId="24276"/>
    <cellStyle name="Normal 7 4 7 3 3" xfId="10446"/>
    <cellStyle name="Normal 7 4 7 3 4" xfId="19269"/>
    <cellStyle name="Normal 7 4 7 4" xfId="1754"/>
    <cellStyle name="Normal 7 4 7 4 2" xfId="11125"/>
    <cellStyle name="Normal 7 4 7 4 3" xfId="21129"/>
    <cellStyle name="Normal 7 4 7 5" xfId="6643"/>
    <cellStyle name="Normal 7 4 7 5 2" xfId="15470"/>
    <cellStyle name="Normal 7 4 7 5 3" xfId="25721"/>
    <cellStyle name="Normal 7 4 7 6" xfId="8089"/>
    <cellStyle name="Normal 7 4 7 6 2" xfId="20479"/>
    <cellStyle name="Normal 7 4 7 7" xfId="16122"/>
    <cellStyle name="Normal 7 4 8" xfId="2652"/>
    <cellStyle name="Normal 7 4 8 2" xfId="5600"/>
    <cellStyle name="Normal 7 4 8 2 2" xfId="14427"/>
    <cellStyle name="Normal 7 4 8 2 3" xfId="24678"/>
    <cellStyle name="Normal 7 4 8 3" xfId="7044"/>
    <cellStyle name="Normal 7 4 8 3 2" xfId="22013"/>
    <cellStyle name="Normal 7 4 8 4" xfId="17006"/>
    <cellStyle name="Normal 7 4 9" xfId="4142"/>
    <cellStyle name="Normal 7 4 9 2" xfId="12980"/>
    <cellStyle name="Normal 7 4 9 2 2" xfId="23231"/>
    <cellStyle name="Normal 7 4 9 3" xfId="9401"/>
    <cellStyle name="Normal 7 4 9 4" xfId="18224"/>
    <cellStyle name="Normal 7 4_Degree data" xfId="4075"/>
    <cellStyle name="Normal 7 5" xfId="181"/>
    <cellStyle name="Normal 7 5 10" xfId="7129"/>
    <cellStyle name="Normal 7 5 10 2" xfId="19638"/>
    <cellStyle name="Normal 7 5 11" xfId="15875"/>
    <cellStyle name="Normal 7 5 2" xfId="509"/>
    <cellStyle name="Normal 7 5 2 2" xfId="976"/>
    <cellStyle name="Normal 7 5 2 2 2" xfId="3452"/>
    <cellStyle name="Normal 7 5 2 2 2 2" xfId="12594"/>
    <cellStyle name="Normal 7 5 2 2 2 2 2" xfId="22813"/>
    <cellStyle name="Normal 7 5 2 2 2 3" xfId="9016"/>
    <cellStyle name="Normal 7 5 2 2 2 4" xfId="17806"/>
    <cellStyle name="Normal 7 5 2 2 3" xfId="4782"/>
    <cellStyle name="Normal 7 5 2 2 3 2" xfId="13619"/>
    <cellStyle name="Normal 7 5 2 2 3 2 2" xfId="23870"/>
    <cellStyle name="Normal 7 5 2 2 3 3" xfId="10040"/>
    <cellStyle name="Normal 7 5 2 2 3 4" xfId="18863"/>
    <cellStyle name="Normal 7 5 2 2 4" xfId="2561"/>
    <cellStyle name="Normal 7 5 2 2 4 2" xfId="11926"/>
    <cellStyle name="Normal 7 5 2 2 4 3" xfId="21930"/>
    <cellStyle name="Normal 7 5 2 2 5" xfId="6237"/>
    <cellStyle name="Normal 7 5 2 2 5 2" xfId="15064"/>
    <cellStyle name="Normal 7 5 2 2 5 3" xfId="25315"/>
    <cellStyle name="Normal 7 5 2 2 6" xfId="7683"/>
    <cellStyle name="Normal 7 5 2 2 6 2" xfId="20412"/>
    <cellStyle name="Normal 7 5 2 2 7" xfId="16923"/>
    <cellStyle name="Normal 7 5 2 3" xfId="1281"/>
    <cellStyle name="Normal 7 5 2 3 2" xfId="3710"/>
    <cellStyle name="Normal 7 5 2 3 2 2" xfId="12846"/>
    <cellStyle name="Normal 7 5 2 3 2 2 2" xfId="23065"/>
    <cellStyle name="Normal 7 5 2 3 2 3" xfId="9267"/>
    <cellStyle name="Normal 7 5 2 3 2 4" xfId="18058"/>
    <cellStyle name="Normal 7 5 2 3 3" xfId="5130"/>
    <cellStyle name="Normal 7 5 2 3 3 2" xfId="13967"/>
    <cellStyle name="Normal 7 5 2 3 3 2 2" xfId="24218"/>
    <cellStyle name="Normal 7 5 2 3 3 3" xfId="10388"/>
    <cellStyle name="Normal 7 5 2 3 3 4" xfId="19211"/>
    <cellStyle name="Normal 7 5 2 3 4" xfId="2104"/>
    <cellStyle name="Normal 7 5 2 3 4 2" xfId="11469"/>
    <cellStyle name="Normal 7 5 2 3 4 3" xfId="21473"/>
    <cellStyle name="Normal 7 5 2 3 5" xfId="6585"/>
    <cellStyle name="Normal 7 5 2 3 5 2" xfId="15412"/>
    <cellStyle name="Normal 7 5 2 3 5 3" xfId="25663"/>
    <cellStyle name="Normal 7 5 2 3 6" xfId="8031"/>
    <cellStyle name="Normal 7 5 2 3 6 2" xfId="20664"/>
    <cellStyle name="Normal 7 5 2 3 7" xfId="16466"/>
    <cellStyle name="Normal 7 5 2 4" xfId="2995"/>
    <cellStyle name="Normal 7 5 2 4 2" xfId="5373"/>
    <cellStyle name="Normal 7 5 2 4 2 2" xfId="14210"/>
    <cellStyle name="Normal 7 5 2 4 2 2 2" xfId="24461"/>
    <cellStyle name="Normal 7 5 2 4 2 3" xfId="10631"/>
    <cellStyle name="Normal 7 5 2 4 2 4" xfId="19454"/>
    <cellStyle name="Normal 7 5 2 4 3" xfId="6828"/>
    <cellStyle name="Normal 7 5 2 4 3 2" xfId="15655"/>
    <cellStyle name="Normal 7 5 2 4 3 3" xfId="25906"/>
    <cellStyle name="Normal 7 5 2 4 4" xfId="8274"/>
    <cellStyle name="Normal 7 5 2 4 4 2" xfId="22356"/>
    <cellStyle name="Normal 7 5 2 4 5" xfId="17349"/>
    <cellStyle name="Normal 7 5 2 5" xfId="4329"/>
    <cellStyle name="Normal 7 5 2 5 2" xfId="13167"/>
    <cellStyle name="Normal 7 5 2 5 2 2" xfId="23418"/>
    <cellStyle name="Normal 7 5 2 5 3" xfId="9588"/>
    <cellStyle name="Normal 7 5 2 5 4" xfId="18411"/>
    <cellStyle name="Normal 7 5 2 6" xfId="1601"/>
    <cellStyle name="Normal 7 5 2 6 2" xfId="10978"/>
    <cellStyle name="Normal 7 5 2 6 3" xfId="20982"/>
    <cellStyle name="Normal 7 5 2 7" xfId="5785"/>
    <cellStyle name="Normal 7 5 2 7 2" xfId="14612"/>
    <cellStyle name="Normal 7 5 2 7 3" xfId="24863"/>
    <cellStyle name="Normal 7 5 2 8" xfId="7229"/>
    <cellStyle name="Normal 7 5 2 8 2" xfId="19955"/>
    <cellStyle name="Normal 7 5 2 9" xfId="15975"/>
    <cellStyle name="Normal 7 5 2_Degree data" xfId="4082"/>
    <cellStyle name="Normal 7 5 3" xfId="409"/>
    <cellStyle name="Normal 7 5 3 2" xfId="2895"/>
    <cellStyle name="Normal 7 5 3 2 2" xfId="12183"/>
    <cellStyle name="Normal 7 5 3 2 2 2" xfId="22256"/>
    <cellStyle name="Normal 7 5 3 2 3" xfId="8588"/>
    <cellStyle name="Normal 7 5 3 2 4" xfId="17249"/>
    <cellStyle name="Normal 7 5 3 3" xfId="4781"/>
    <cellStyle name="Normal 7 5 3 3 2" xfId="13618"/>
    <cellStyle name="Normal 7 5 3 3 2 2" xfId="23869"/>
    <cellStyle name="Normal 7 5 3 3 3" xfId="10039"/>
    <cellStyle name="Normal 7 5 3 3 4" xfId="18862"/>
    <cellStyle name="Normal 7 5 3 4" xfId="2004"/>
    <cellStyle name="Normal 7 5 3 4 2" xfId="11369"/>
    <cellStyle name="Normal 7 5 3 4 3" xfId="21373"/>
    <cellStyle name="Normal 7 5 3 5" xfId="6236"/>
    <cellStyle name="Normal 7 5 3 5 2" xfId="15063"/>
    <cellStyle name="Normal 7 5 3 5 3" xfId="25314"/>
    <cellStyle name="Normal 7 5 3 6" xfId="7682"/>
    <cellStyle name="Normal 7 5 3 6 2" xfId="19855"/>
    <cellStyle name="Normal 7 5 3 7" xfId="16366"/>
    <cellStyle name="Normal 7 5 4" xfId="975"/>
    <cellStyle name="Normal 7 5 4 2" xfId="3451"/>
    <cellStyle name="Normal 7 5 4 2 2" xfId="12593"/>
    <cellStyle name="Normal 7 5 4 2 2 2" xfId="22812"/>
    <cellStyle name="Normal 7 5 4 2 3" xfId="9015"/>
    <cellStyle name="Normal 7 5 4 2 4" xfId="17805"/>
    <cellStyle name="Normal 7 5 4 3" xfId="5129"/>
    <cellStyle name="Normal 7 5 4 3 2" xfId="13966"/>
    <cellStyle name="Normal 7 5 4 3 2 2" xfId="24217"/>
    <cellStyle name="Normal 7 5 4 3 3" xfId="10387"/>
    <cellStyle name="Normal 7 5 4 3 4" xfId="19210"/>
    <cellStyle name="Normal 7 5 4 4" xfId="2560"/>
    <cellStyle name="Normal 7 5 4 4 2" xfId="11925"/>
    <cellStyle name="Normal 7 5 4 4 3" xfId="21929"/>
    <cellStyle name="Normal 7 5 4 5" xfId="6584"/>
    <cellStyle name="Normal 7 5 4 5 2" xfId="15411"/>
    <cellStyle name="Normal 7 5 4 5 3" xfId="25662"/>
    <cellStyle name="Normal 7 5 4 6" xfId="8030"/>
    <cellStyle name="Normal 7 5 4 6 2" xfId="20411"/>
    <cellStyle name="Normal 7 5 4 7" xfId="16922"/>
    <cellStyle name="Normal 7 5 5" xfId="1181"/>
    <cellStyle name="Normal 7 5 5 2" xfId="3610"/>
    <cellStyle name="Normal 7 5 5 2 2" xfId="12746"/>
    <cellStyle name="Normal 7 5 5 2 2 2" xfId="22965"/>
    <cellStyle name="Normal 7 5 5 2 3" xfId="9167"/>
    <cellStyle name="Normal 7 5 5 2 4" xfId="17958"/>
    <cellStyle name="Normal 7 5 5 3" xfId="5273"/>
    <cellStyle name="Normal 7 5 5 3 2" xfId="14110"/>
    <cellStyle name="Normal 7 5 5 3 2 2" xfId="24361"/>
    <cellStyle name="Normal 7 5 5 3 3" xfId="10531"/>
    <cellStyle name="Normal 7 5 5 3 4" xfId="19354"/>
    <cellStyle name="Normal 7 5 5 4" xfId="1783"/>
    <cellStyle name="Normal 7 5 5 4 2" xfId="11152"/>
    <cellStyle name="Normal 7 5 5 4 3" xfId="21156"/>
    <cellStyle name="Normal 7 5 5 5" xfId="6728"/>
    <cellStyle name="Normal 7 5 5 5 2" xfId="15555"/>
    <cellStyle name="Normal 7 5 5 5 3" xfId="25806"/>
    <cellStyle name="Normal 7 5 5 6" xfId="8174"/>
    <cellStyle name="Normal 7 5 5 6 2" xfId="20564"/>
    <cellStyle name="Normal 7 5 5 7" xfId="16149"/>
    <cellStyle name="Normal 7 5 6" xfId="2678"/>
    <cellStyle name="Normal 7 5 6 2" xfId="11995"/>
    <cellStyle name="Normal 7 5 6 2 2" xfId="22039"/>
    <cellStyle name="Normal 7 5 6 3" xfId="8430"/>
    <cellStyle name="Normal 7 5 6 4" xfId="17032"/>
    <cellStyle name="Normal 7 5 7" xfId="4229"/>
    <cellStyle name="Normal 7 5 7 2" xfId="13067"/>
    <cellStyle name="Normal 7 5 7 2 2" xfId="23318"/>
    <cellStyle name="Normal 7 5 7 3" xfId="9488"/>
    <cellStyle name="Normal 7 5 7 4" xfId="18311"/>
    <cellStyle name="Normal 7 5 8" xfId="1501"/>
    <cellStyle name="Normal 7 5 8 2" xfId="10878"/>
    <cellStyle name="Normal 7 5 8 3" xfId="20882"/>
    <cellStyle name="Normal 7 5 9" xfId="5685"/>
    <cellStyle name="Normal 7 5 9 2" xfId="14512"/>
    <cellStyle name="Normal 7 5 9 3" xfId="24763"/>
    <cellStyle name="Normal 7 5_Degree data" xfId="4081"/>
    <cellStyle name="Normal 7 6" xfId="234"/>
    <cellStyle name="Normal 7 6 10" xfId="7072"/>
    <cellStyle name="Normal 7 6 10 2" xfId="19686"/>
    <cellStyle name="Normal 7 6 11" xfId="15818"/>
    <cellStyle name="Normal 7 6 2" xfId="557"/>
    <cellStyle name="Normal 7 6 2 2" xfId="978"/>
    <cellStyle name="Normal 7 6 2 2 2" xfId="3454"/>
    <cellStyle name="Normal 7 6 2 2 2 2" xfId="12596"/>
    <cellStyle name="Normal 7 6 2 2 2 2 2" xfId="22815"/>
    <cellStyle name="Normal 7 6 2 2 2 3" xfId="9018"/>
    <cellStyle name="Normal 7 6 2 2 2 4" xfId="17808"/>
    <cellStyle name="Normal 7 6 2 2 3" xfId="4784"/>
    <cellStyle name="Normal 7 6 2 2 3 2" xfId="13621"/>
    <cellStyle name="Normal 7 6 2 2 3 2 2" xfId="23872"/>
    <cellStyle name="Normal 7 6 2 2 3 3" xfId="10042"/>
    <cellStyle name="Normal 7 6 2 2 3 4" xfId="18865"/>
    <cellStyle name="Normal 7 6 2 2 4" xfId="2563"/>
    <cellStyle name="Normal 7 6 2 2 4 2" xfId="11928"/>
    <cellStyle name="Normal 7 6 2 2 4 3" xfId="21932"/>
    <cellStyle name="Normal 7 6 2 2 5" xfId="6239"/>
    <cellStyle name="Normal 7 6 2 2 5 2" xfId="15066"/>
    <cellStyle name="Normal 7 6 2 2 5 3" xfId="25317"/>
    <cellStyle name="Normal 7 6 2 2 6" xfId="7685"/>
    <cellStyle name="Normal 7 6 2 2 6 2" xfId="20414"/>
    <cellStyle name="Normal 7 6 2 2 7" xfId="16925"/>
    <cellStyle name="Normal 7 6 2 3" xfId="1329"/>
    <cellStyle name="Normal 7 6 2 3 2" xfId="3758"/>
    <cellStyle name="Normal 7 6 2 3 2 2" xfId="12894"/>
    <cellStyle name="Normal 7 6 2 3 2 2 2" xfId="23113"/>
    <cellStyle name="Normal 7 6 2 3 2 3" xfId="9315"/>
    <cellStyle name="Normal 7 6 2 3 2 4" xfId="18106"/>
    <cellStyle name="Normal 7 6 2 3 3" xfId="5132"/>
    <cellStyle name="Normal 7 6 2 3 3 2" xfId="13969"/>
    <cellStyle name="Normal 7 6 2 3 3 2 2" xfId="24220"/>
    <cellStyle name="Normal 7 6 2 3 3 3" xfId="10390"/>
    <cellStyle name="Normal 7 6 2 3 3 4" xfId="19213"/>
    <cellStyle name="Normal 7 6 2 3 4" xfId="2152"/>
    <cellStyle name="Normal 7 6 2 3 4 2" xfId="11517"/>
    <cellStyle name="Normal 7 6 2 3 4 3" xfId="21521"/>
    <cellStyle name="Normal 7 6 2 3 5" xfId="6587"/>
    <cellStyle name="Normal 7 6 2 3 5 2" xfId="15414"/>
    <cellStyle name="Normal 7 6 2 3 5 3" xfId="25665"/>
    <cellStyle name="Normal 7 6 2 3 6" xfId="8033"/>
    <cellStyle name="Normal 7 6 2 3 6 2" xfId="20712"/>
    <cellStyle name="Normal 7 6 2 3 7" xfId="16514"/>
    <cellStyle name="Normal 7 6 2 4" xfId="3043"/>
    <cellStyle name="Normal 7 6 2 4 2" xfId="5421"/>
    <cellStyle name="Normal 7 6 2 4 2 2" xfId="14258"/>
    <cellStyle name="Normal 7 6 2 4 2 2 2" xfId="24509"/>
    <cellStyle name="Normal 7 6 2 4 2 3" xfId="10679"/>
    <cellStyle name="Normal 7 6 2 4 2 4" xfId="19502"/>
    <cellStyle name="Normal 7 6 2 4 3" xfId="6876"/>
    <cellStyle name="Normal 7 6 2 4 3 2" xfId="15703"/>
    <cellStyle name="Normal 7 6 2 4 3 3" xfId="25954"/>
    <cellStyle name="Normal 7 6 2 4 4" xfId="8322"/>
    <cellStyle name="Normal 7 6 2 4 4 2" xfId="22404"/>
    <cellStyle name="Normal 7 6 2 4 5" xfId="17397"/>
    <cellStyle name="Normal 7 6 2 5" xfId="4377"/>
    <cellStyle name="Normal 7 6 2 5 2" xfId="13215"/>
    <cellStyle name="Normal 7 6 2 5 2 2" xfId="23466"/>
    <cellStyle name="Normal 7 6 2 5 3" xfId="9636"/>
    <cellStyle name="Normal 7 6 2 5 4" xfId="18459"/>
    <cellStyle name="Normal 7 6 2 6" xfId="1649"/>
    <cellStyle name="Normal 7 6 2 6 2" xfId="11026"/>
    <cellStyle name="Normal 7 6 2 6 3" xfId="21030"/>
    <cellStyle name="Normal 7 6 2 7" xfId="5833"/>
    <cellStyle name="Normal 7 6 2 7 2" xfId="14660"/>
    <cellStyle name="Normal 7 6 2 7 3" xfId="24911"/>
    <cellStyle name="Normal 7 6 2 8" xfId="7277"/>
    <cellStyle name="Normal 7 6 2 8 2" xfId="20003"/>
    <cellStyle name="Normal 7 6 2 9" xfId="16023"/>
    <cellStyle name="Normal 7 6 2_Degree data" xfId="4084"/>
    <cellStyle name="Normal 7 6 3" xfId="352"/>
    <cellStyle name="Normal 7 6 3 2" xfId="2838"/>
    <cellStyle name="Normal 7 6 3 2 2" xfId="12126"/>
    <cellStyle name="Normal 7 6 3 2 2 2" xfId="22199"/>
    <cellStyle name="Normal 7 6 3 2 3" xfId="8435"/>
    <cellStyle name="Normal 7 6 3 2 4" xfId="17192"/>
    <cellStyle name="Normal 7 6 3 3" xfId="4783"/>
    <cellStyle name="Normal 7 6 3 3 2" xfId="13620"/>
    <cellStyle name="Normal 7 6 3 3 2 2" xfId="23871"/>
    <cellStyle name="Normal 7 6 3 3 3" xfId="10041"/>
    <cellStyle name="Normal 7 6 3 3 4" xfId="18864"/>
    <cellStyle name="Normal 7 6 3 4" xfId="1947"/>
    <cellStyle name="Normal 7 6 3 4 2" xfId="11312"/>
    <cellStyle name="Normal 7 6 3 4 3" xfId="21316"/>
    <cellStyle name="Normal 7 6 3 5" xfId="6238"/>
    <cellStyle name="Normal 7 6 3 5 2" xfId="15065"/>
    <cellStyle name="Normal 7 6 3 5 3" xfId="25316"/>
    <cellStyle name="Normal 7 6 3 6" xfId="7684"/>
    <cellStyle name="Normal 7 6 3 6 2" xfId="19798"/>
    <cellStyle name="Normal 7 6 3 7" xfId="16309"/>
    <cellStyle name="Normal 7 6 4" xfId="977"/>
    <cellStyle name="Normal 7 6 4 2" xfId="3453"/>
    <cellStyle name="Normal 7 6 4 2 2" xfId="12595"/>
    <cellStyle name="Normal 7 6 4 2 2 2" xfId="22814"/>
    <cellStyle name="Normal 7 6 4 2 3" xfId="9017"/>
    <cellStyle name="Normal 7 6 4 2 4" xfId="17807"/>
    <cellStyle name="Normal 7 6 4 3" xfId="5131"/>
    <cellStyle name="Normal 7 6 4 3 2" xfId="13968"/>
    <cellStyle name="Normal 7 6 4 3 2 2" xfId="24219"/>
    <cellStyle name="Normal 7 6 4 3 3" xfId="10389"/>
    <cellStyle name="Normal 7 6 4 3 4" xfId="19212"/>
    <cellStyle name="Normal 7 6 4 4" xfId="2562"/>
    <cellStyle name="Normal 7 6 4 4 2" xfId="11927"/>
    <cellStyle name="Normal 7 6 4 4 3" xfId="21931"/>
    <cellStyle name="Normal 7 6 4 5" xfId="6586"/>
    <cellStyle name="Normal 7 6 4 5 2" xfId="15413"/>
    <cellStyle name="Normal 7 6 4 5 3" xfId="25664"/>
    <cellStyle name="Normal 7 6 4 6" xfId="8032"/>
    <cellStyle name="Normal 7 6 4 6 2" xfId="20413"/>
    <cellStyle name="Normal 7 6 4 7" xfId="16924"/>
    <cellStyle name="Normal 7 6 5" xfId="1124"/>
    <cellStyle name="Normal 7 6 5 2" xfId="3553"/>
    <cellStyle name="Normal 7 6 5 2 2" xfId="12689"/>
    <cellStyle name="Normal 7 6 5 2 2 2" xfId="22908"/>
    <cellStyle name="Normal 7 6 5 2 3" xfId="9110"/>
    <cellStyle name="Normal 7 6 5 2 4" xfId="17901"/>
    <cellStyle name="Normal 7 6 5 3" xfId="5216"/>
    <cellStyle name="Normal 7 6 5 3 2" xfId="14053"/>
    <cellStyle name="Normal 7 6 5 3 2 2" xfId="24304"/>
    <cellStyle name="Normal 7 6 5 3 3" xfId="10474"/>
    <cellStyle name="Normal 7 6 5 3 4" xfId="19297"/>
    <cellStyle name="Normal 7 6 5 4" xfId="1832"/>
    <cellStyle name="Normal 7 6 5 4 2" xfId="11200"/>
    <cellStyle name="Normal 7 6 5 4 3" xfId="21204"/>
    <cellStyle name="Normal 7 6 5 5" xfId="6671"/>
    <cellStyle name="Normal 7 6 5 5 2" xfId="15498"/>
    <cellStyle name="Normal 7 6 5 5 3" xfId="25749"/>
    <cellStyle name="Normal 7 6 5 6" xfId="8117"/>
    <cellStyle name="Normal 7 6 5 6 2" xfId="20507"/>
    <cellStyle name="Normal 7 6 5 7" xfId="16197"/>
    <cellStyle name="Normal 7 6 6" xfId="2726"/>
    <cellStyle name="Normal 7 6 6 2" xfId="12043"/>
    <cellStyle name="Normal 7 6 6 2 2" xfId="22087"/>
    <cellStyle name="Normal 7 6 6 3" xfId="8601"/>
    <cellStyle name="Normal 7 6 6 4" xfId="17080"/>
    <cellStyle name="Normal 7 6 7" xfId="4172"/>
    <cellStyle name="Normal 7 6 7 2" xfId="13010"/>
    <cellStyle name="Normal 7 6 7 2 2" xfId="23261"/>
    <cellStyle name="Normal 7 6 7 3" xfId="9431"/>
    <cellStyle name="Normal 7 6 7 4" xfId="18254"/>
    <cellStyle name="Normal 7 6 8" xfId="1444"/>
    <cellStyle name="Normal 7 6 8 2" xfId="10821"/>
    <cellStyle name="Normal 7 6 8 3" xfId="20825"/>
    <cellStyle name="Normal 7 6 9" xfId="5628"/>
    <cellStyle name="Normal 7 6 9 2" xfId="14455"/>
    <cellStyle name="Normal 7 6 9 3" xfId="24706"/>
    <cellStyle name="Normal 7 6_Degree data" xfId="4083"/>
    <cellStyle name="Normal 7 7" xfId="291"/>
    <cellStyle name="Normal 7 7 10" xfId="16079"/>
    <cellStyle name="Normal 7 7 2" xfId="613"/>
    <cellStyle name="Normal 7 7 2 2" xfId="3099"/>
    <cellStyle name="Normal 7 7 2 2 2" xfId="12242"/>
    <cellStyle name="Normal 7 7 2 2 2 2" xfId="22460"/>
    <cellStyle name="Normal 7 7 2 2 3" xfId="8664"/>
    <cellStyle name="Normal 7 7 2 2 4" xfId="17453"/>
    <cellStyle name="Normal 7 7 2 3" xfId="4785"/>
    <cellStyle name="Normal 7 7 2 3 2" xfId="13622"/>
    <cellStyle name="Normal 7 7 2 3 2 2" xfId="23873"/>
    <cellStyle name="Normal 7 7 2 3 3" xfId="10043"/>
    <cellStyle name="Normal 7 7 2 3 4" xfId="18866"/>
    <cellStyle name="Normal 7 7 2 4" xfId="2208"/>
    <cellStyle name="Normal 7 7 2 4 2" xfId="11573"/>
    <cellStyle name="Normal 7 7 2 4 3" xfId="21577"/>
    <cellStyle name="Normal 7 7 2 5" xfId="6240"/>
    <cellStyle name="Normal 7 7 2 5 2" xfId="15067"/>
    <cellStyle name="Normal 7 7 2 5 3" xfId="25318"/>
    <cellStyle name="Normal 7 7 2 6" xfId="7686"/>
    <cellStyle name="Normal 7 7 2 6 2" xfId="20059"/>
    <cellStyle name="Normal 7 7 2 7" xfId="16570"/>
    <cellStyle name="Normal 7 7 3" xfId="979"/>
    <cellStyle name="Normal 7 7 3 2" xfId="3455"/>
    <cellStyle name="Normal 7 7 3 2 2" xfId="12597"/>
    <cellStyle name="Normal 7 7 3 2 2 2" xfId="22816"/>
    <cellStyle name="Normal 7 7 3 2 3" xfId="9019"/>
    <cellStyle name="Normal 7 7 3 2 4" xfId="17809"/>
    <cellStyle name="Normal 7 7 3 3" xfId="5133"/>
    <cellStyle name="Normal 7 7 3 3 2" xfId="13970"/>
    <cellStyle name="Normal 7 7 3 3 2 2" xfId="24221"/>
    <cellStyle name="Normal 7 7 3 3 3" xfId="10391"/>
    <cellStyle name="Normal 7 7 3 3 4" xfId="19214"/>
    <cellStyle name="Normal 7 7 3 4" xfId="2564"/>
    <cellStyle name="Normal 7 7 3 4 2" xfId="11929"/>
    <cellStyle name="Normal 7 7 3 4 3" xfId="21933"/>
    <cellStyle name="Normal 7 7 3 5" xfId="6588"/>
    <cellStyle name="Normal 7 7 3 5 2" xfId="15415"/>
    <cellStyle name="Normal 7 7 3 5 3" xfId="25666"/>
    <cellStyle name="Normal 7 7 3 6" xfId="8034"/>
    <cellStyle name="Normal 7 7 3 6 2" xfId="20415"/>
    <cellStyle name="Normal 7 7 3 7" xfId="16926"/>
    <cellStyle name="Normal 7 7 4" xfId="1385"/>
    <cellStyle name="Normal 7 7 4 2" xfId="3814"/>
    <cellStyle name="Normal 7 7 4 2 2" xfId="12950"/>
    <cellStyle name="Normal 7 7 4 2 2 2" xfId="23169"/>
    <cellStyle name="Normal 7 7 4 2 3" xfId="9371"/>
    <cellStyle name="Normal 7 7 4 2 4" xfId="18162"/>
    <cellStyle name="Normal 7 7 4 3" xfId="5477"/>
    <cellStyle name="Normal 7 7 4 3 2" xfId="14314"/>
    <cellStyle name="Normal 7 7 4 3 2 2" xfId="24565"/>
    <cellStyle name="Normal 7 7 4 3 3" xfId="10735"/>
    <cellStyle name="Normal 7 7 4 3 4" xfId="19558"/>
    <cellStyle name="Normal 7 7 4 4" xfId="1888"/>
    <cellStyle name="Normal 7 7 4 4 2" xfId="11256"/>
    <cellStyle name="Normal 7 7 4 4 3" xfId="21260"/>
    <cellStyle name="Normal 7 7 4 5" xfId="6932"/>
    <cellStyle name="Normal 7 7 4 5 2" xfId="15759"/>
    <cellStyle name="Normal 7 7 4 5 3" xfId="26010"/>
    <cellStyle name="Normal 7 7 4 6" xfId="8378"/>
    <cellStyle name="Normal 7 7 4 6 2" xfId="20768"/>
    <cellStyle name="Normal 7 7 4 7" xfId="16253"/>
    <cellStyle name="Normal 7 7 5" xfId="2782"/>
    <cellStyle name="Normal 7 7 5 2" xfId="12099"/>
    <cellStyle name="Normal 7 7 5 2 2" xfId="22143"/>
    <cellStyle name="Normal 7 7 5 3" xfId="8481"/>
    <cellStyle name="Normal 7 7 5 4" xfId="17136"/>
    <cellStyle name="Normal 7 7 6" xfId="4433"/>
    <cellStyle name="Normal 7 7 6 2" xfId="13271"/>
    <cellStyle name="Normal 7 7 6 2 2" xfId="23522"/>
    <cellStyle name="Normal 7 7 6 3" xfId="9692"/>
    <cellStyle name="Normal 7 7 6 4" xfId="18515"/>
    <cellStyle name="Normal 7 7 7" xfId="1705"/>
    <cellStyle name="Normal 7 7 7 2" xfId="11082"/>
    <cellStyle name="Normal 7 7 7 3" xfId="21086"/>
    <cellStyle name="Normal 7 7 8" xfId="5889"/>
    <cellStyle name="Normal 7 7 8 2" xfId="14716"/>
    <cellStyle name="Normal 7 7 8 3" xfId="24967"/>
    <cellStyle name="Normal 7 7 9" xfId="7333"/>
    <cellStyle name="Normal 7 7 9 2" xfId="19742"/>
    <cellStyle name="Normal 7 7_Degree data" xfId="4085"/>
    <cellStyle name="Normal 7 8" xfId="452"/>
    <cellStyle name="Normal 7 8 2" xfId="980"/>
    <cellStyle name="Normal 7 8 2 2" xfId="3456"/>
    <cellStyle name="Normal 7 8 2 2 2" xfId="12598"/>
    <cellStyle name="Normal 7 8 2 2 2 2" xfId="22817"/>
    <cellStyle name="Normal 7 8 2 2 3" xfId="9020"/>
    <cellStyle name="Normal 7 8 2 2 4" xfId="17810"/>
    <cellStyle name="Normal 7 8 2 3" xfId="4786"/>
    <cellStyle name="Normal 7 8 2 3 2" xfId="13623"/>
    <cellStyle name="Normal 7 8 2 3 2 2" xfId="23874"/>
    <cellStyle name="Normal 7 8 2 3 3" xfId="10044"/>
    <cellStyle name="Normal 7 8 2 3 4" xfId="18867"/>
    <cellStyle name="Normal 7 8 2 4" xfId="2565"/>
    <cellStyle name="Normal 7 8 2 4 2" xfId="11930"/>
    <cellStyle name="Normal 7 8 2 4 3" xfId="21934"/>
    <cellStyle name="Normal 7 8 2 5" xfId="6241"/>
    <cellStyle name="Normal 7 8 2 5 2" xfId="15068"/>
    <cellStyle name="Normal 7 8 2 5 3" xfId="25319"/>
    <cellStyle name="Normal 7 8 2 6" xfId="7687"/>
    <cellStyle name="Normal 7 8 2 6 2" xfId="20416"/>
    <cellStyle name="Normal 7 8 2 7" xfId="16927"/>
    <cellStyle name="Normal 7 8 3" xfId="1224"/>
    <cellStyle name="Normal 7 8 3 2" xfId="3653"/>
    <cellStyle name="Normal 7 8 3 2 2" xfId="12789"/>
    <cellStyle name="Normal 7 8 3 2 2 2" xfId="23008"/>
    <cellStyle name="Normal 7 8 3 2 3" xfId="9210"/>
    <cellStyle name="Normal 7 8 3 2 4" xfId="18001"/>
    <cellStyle name="Normal 7 8 3 3" xfId="5134"/>
    <cellStyle name="Normal 7 8 3 3 2" xfId="13971"/>
    <cellStyle name="Normal 7 8 3 3 2 2" xfId="24222"/>
    <cellStyle name="Normal 7 8 3 3 3" xfId="10392"/>
    <cellStyle name="Normal 7 8 3 3 4" xfId="19215"/>
    <cellStyle name="Normal 7 8 3 4" xfId="2047"/>
    <cellStyle name="Normal 7 8 3 4 2" xfId="11412"/>
    <cellStyle name="Normal 7 8 3 4 3" xfId="21416"/>
    <cellStyle name="Normal 7 8 3 5" xfId="6589"/>
    <cellStyle name="Normal 7 8 3 5 2" xfId="15416"/>
    <cellStyle name="Normal 7 8 3 5 3" xfId="25667"/>
    <cellStyle name="Normal 7 8 3 6" xfId="8035"/>
    <cellStyle name="Normal 7 8 3 6 2" xfId="20607"/>
    <cellStyle name="Normal 7 8 3 7" xfId="16409"/>
    <cellStyle name="Normal 7 8 4" xfId="2938"/>
    <cellStyle name="Normal 7 8 4 2" xfId="5316"/>
    <cellStyle name="Normal 7 8 4 2 2" xfId="14153"/>
    <cellStyle name="Normal 7 8 4 2 2 2" xfId="24404"/>
    <cellStyle name="Normal 7 8 4 2 3" xfId="10574"/>
    <cellStyle name="Normal 7 8 4 2 4" xfId="19397"/>
    <cellStyle name="Normal 7 8 4 3" xfId="6771"/>
    <cellStyle name="Normal 7 8 4 3 2" xfId="15598"/>
    <cellStyle name="Normal 7 8 4 3 3" xfId="25849"/>
    <cellStyle name="Normal 7 8 4 4" xfId="8217"/>
    <cellStyle name="Normal 7 8 4 4 2" xfId="22299"/>
    <cellStyle name="Normal 7 8 4 5" xfId="17292"/>
    <cellStyle name="Normal 7 8 5" xfId="4272"/>
    <cellStyle name="Normal 7 8 5 2" xfId="13110"/>
    <cellStyle name="Normal 7 8 5 2 2" xfId="23361"/>
    <cellStyle name="Normal 7 8 5 3" xfId="9531"/>
    <cellStyle name="Normal 7 8 5 4" xfId="18354"/>
    <cellStyle name="Normal 7 8 6" xfId="1544"/>
    <cellStyle name="Normal 7 8 6 2" xfId="10921"/>
    <cellStyle name="Normal 7 8 6 3" xfId="20925"/>
    <cellStyle name="Normal 7 8 7" xfId="5728"/>
    <cellStyle name="Normal 7 8 7 2" xfId="14555"/>
    <cellStyle name="Normal 7 8 7 3" xfId="24806"/>
    <cellStyle name="Normal 7 8 8" xfId="7172"/>
    <cellStyle name="Normal 7 8 8 2" xfId="19898"/>
    <cellStyle name="Normal 7 8 9" xfId="15918"/>
    <cellStyle name="Normal 7 8_Degree data" xfId="4086"/>
    <cellStyle name="Normal 7 9" xfId="313"/>
    <cellStyle name="Normal 7 9 2" xfId="981"/>
    <cellStyle name="Normal 7 9 2 2" xfId="3457"/>
    <cellStyle name="Normal 7 9 2 2 2" xfId="12599"/>
    <cellStyle name="Normal 7 9 2 2 2 2" xfId="22818"/>
    <cellStyle name="Normal 7 9 2 2 3" xfId="9021"/>
    <cellStyle name="Normal 7 9 2 2 4" xfId="17811"/>
    <cellStyle name="Normal 7 9 2 3" xfId="4787"/>
    <cellStyle name="Normal 7 9 2 3 2" xfId="13624"/>
    <cellStyle name="Normal 7 9 2 3 2 2" xfId="23875"/>
    <cellStyle name="Normal 7 9 2 3 3" xfId="10045"/>
    <cellStyle name="Normal 7 9 2 3 4" xfId="18868"/>
    <cellStyle name="Normal 7 9 2 4" xfId="2566"/>
    <cellStyle name="Normal 7 9 2 4 2" xfId="11931"/>
    <cellStyle name="Normal 7 9 2 4 3" xfId="21935"/>
    <cellStyle name="Normal 7 9 2 5" xfId="6242"/>
    <cellStyle name="Normal 7 9 2 5 2" xfId="15069"/>
    <cellStyle name="Normal 7 9 2 5 3" xfId="25320"/>
    <cellStyle name="Normal 7 9 2 6" xfId="7688"/>
    <cellStyle name="Normal 7 9 2 6 2" xfId="20417"/>
    <cellStyle name="Normal 7 9 2 7" xfId="16928"/>
    <cellStyle name="Normal 7 9 3" xfId="1085"/>
    <cellStyle name="Normal 7 9 3 2" xfId="3514"/>
    <cellStyle name="Normal 7 9 3 2 2" xfId="12650"/>
    <cellStyle name="Normal 7 9 3 2 2 2" xfId="22869"/>
    <cellStyle name="Normal 7 9 3 2 3" xfId="9072"/>
    <cellStyle name="Normal 7 9 3 2 4" xfId="17862"/>
    <cellStyle name="Normal 7 9 3 3" xfId="5135"/>
    <cellStyle name="Normal 7 9 3 3 2" xfId="13972"/>
    <cellStyle name="Normal 7 9 3 3 2 2" xfId="24223"/>
    <cellStyle name="Normal 7 9 3 3 3" xfId="10393"/>
    <cellStyle name="Normal 7 9 3 3 4" xfId="19216"/>
    <cellStyle name="Normal 7 9 3 4" xfId="2608"/>
    <cellStyle name="Normal 7 9 3 4 2" xfId="11972"/>
    <cellStyle name="Normal 7 9 3 4 3" xfId="21976"/>
    <cellStyle name="Normal 7 9 3 5" xfId="6590"/>
    <cellStyle name="Normal 7 9 3 5 2" xfId="15417"/>
    <cellStyle name="Normal 7 9 3 5 3" xfId="25668"/>
    <cellStyle name="Normal 7 9 3 6" xfId="8036"/>
    <cellStyle name="Normal 7 9 3 6 2" xfId="20468"/>
    <cellStyle name="Normal 7 9 3 7" xfId="16969"/>
    <cellStyle name="Normal 7 9 4" xfId="2799"/>
    <cellStyle name="Normal 7 9 4 2" xfId="5177"/>
    <cellStyle name="Normal 7 9 4 2 2" xfId="14014"/>
    <cellStyle name="Normal 7 9 4 2 2 2" xfId="24265"/>
    <cellStyle name="Normal 7 9 4 2 3" xfId="10435"/>
    <cellStyle name="Normal 7 9 4 2 4" xfId="19258"/>
    <cellStyle name="Normal 7 9 4 3" xfId="6632"/>
    <cellStyle name="Normal 7 9 4 3 2" xfId="15459"/>
    <cellStyle name="Normal 7 9 4 3 3" xfId="25710"/>
    <cellStyle name="Normal 7 9 4 4" xfId="8078"/>
    <cellStyle name="Normal 7 9 4 4 2" xfId="22160"/>
    <cellStyle name="Normal 7 9 4 5" xfId="17153"/>
    <cellStyle name="Normal 7 9 5" xfId="4131"/>
    <cellStyle name="Normal 7 9 5 2" xfId="12969"/>
    <cellStyle name="Normal 7 9 5 2 2" xfId="23220"/>
    <cellStyle name="Normal 7 9 5 3" xfId="9390"/>
    <cellStyle name="Normal 7 9 5 4" xfId="18213"/>
    <cellStyle name="Normal 7 9 6" xfId="1908"/>
    <cellStyle name="Normal 7 9 6 2" xfId="11273"/>
    <cellStyle name="Normal 7 9 6 3" xfId="21277"/>
    <cellStyle name="Normal 7 9 7" xfId="5589"/>
    <cellStyle name="Normal 7 9 7 2" xfId="14416"/>
    <cellStyle name="Normal 7 9 7 3" xfId="24667"/>
    <cellStyle name="Normal 7 9 8" xfId="7033"/>
    <cellStyle name="Normal 7 9 8 2" xfId="19759"/>
    <cellStyle name="Normal 7 9 9" xfId="16270"/>
    <cellStyle name="Normal 7 9_Degree data" xfId="4087"/>
    <cellStyle name="Normal 7_Degree data" xfId="4054"/>
    <cellStyle name="Normal 70" xfId="301"/>
    <cellStyle name="Normal 70 2" xfId="982"/>
    <cellStyle name="Normal 70 2 2" xfId="3458"/>
    <cellStyle name="Normal 70 2 2 2" xfId="12600"/>
    <cellStyle name="Normal 70 2 2 2 2" xfId="22819"/>
    <cellStyle name="Normal 70 2 2 3" xfId="9022"/>
    <cellStyle name="Normal 70 2 2 4" xfId="17812"/>
    <cellStyle name="Normal 70 2 3" xfId="5493"/>
    <cellStyle name="Normal 70 2 3 2" xfId="14329"/>
    <cellStyle name="Normal 70 2 3 2 2" xfId="24580"/>
    <cellStyle name="Normal 70 2 3 3" xfId="10750"/>
    <cellStyle name="Normal 70 2 3 4" xfId="19573"/>
    <cellStyle name="Normal 70 2 4" xfId="2567"/>
    <cellStyle name="Normal 70 2 4 2" xfId="11932"/>
    <cellStyle name="Normal 70 2 4 3" xfId="21936"/>
    <cellStyle name="Normal 70 2 5" xfId="10762"/>
    <cellStyle name="Normal 70 2 5 2" xfId="20418"/>
    <cellStyle name="Normal 70 2 6" xfId="8572"/>
    <cellStyle name="Normal 70 2 7" xfId="16929"/>
    <cellStyle name="Normal 70 3" xfId="1896"/>
    <cellStyle name="Normal 71" xfId="58"/>
    <cellStyle name="Normal 72" xfId="59"/>
    <cellStyle name="Normal 73" xfId="302"/>
    <cellStyle name="Normal 73 2" xfId="983"/>
    <cellStyle name="Normal 73 2 2" xfId="3459"/>
    <cellStyle name="Normal 73 2 2 2" xfId="12601"/>
    <cellStyle name="Normal 73 2 2 2 2" xfId="22820"/>
    <cellStyle name="Normal 73 2 2 3" xfId="9023"/>
    <cellStyle name="Normal 73 2 2 4" xfId="17813"/>
    <cellStyle name="Normal 73 2 3" xfId="5491"/>
    <cellStyle name="Normal 73 2 3 2" xfId="14327"/>
    <cellStyle name="Normal 73 2 3 2 2" xfId="24578"/>
    <cellStyle name="Normal 73 2 3 3" xfId="10748"/>
    <cellStyle name="Normal 73 2 3 4" xfId="19571"/>
    <cellStyle name="Normal 73 2 4" xfId="2568"/>
    <cellStyle name="Normal 73 2 4 2" xfId="11933"/>
    <cellStyle name="Normal 73 2 4 3" xfId="21937"/>
    <cellStyle name="Normal 73 2 5" xfId="10763"/>
    <cellStyle name="Normal 73 2 5 2" xfId="20419"/>
    <cellStyle name="Normal 73 2 6" xfId="8511"/>
    <cellStyle name="Normal 73 2 7" xfId="16930"/>
    <cellStyle name="Normal 73 3" xfId="1897"/>
    <cellStyle name="Normal 74" xfId="984"/>
    <cellStyle name="Normal 74 2" xfId="3460"/>
    <cellStyle name="Normal 74 2 2" xfId="12602"/>
    <cellStyle name="Normal 74 2 2 2" xfId="22821"/>
    <cellStyle name="Normal 74 2 3" xfId="9024"/>
    <cellStyle name="Normal 74 2 4" xfId="17814"/>
    <cellStyle name="Normal 74 3" xfId="5489"/>
    <cellStyle name="Normal 74 3 2" xfId="14326"/>
    <cellStyle name="Normal 74 3 2 2" xfId="24577"/>
    <cellStyle name="Normal 74 3 3" xfId="10747"/>
    <cellStyle name="Normal 74 3 4" xfId="19570"/>
    <cellStyle name="Normal 74 4" xfId="2569"/>
    <cellStyle name="Normal 74 4 2" xfId="11934"/>
    <cellStyle name="Normal 74 4 3" xfId="21938"/>
    <cellStyle name="Normal 74 5" xfId="10764"/>
    <cellStyle name="Normal 74 5 2" xfId="20420"/>
    <cellStyle name="Normal 74 6" xfId="8446"/>
    <cellStyle name="Normal 74 7" xfId="16931"/>
    <cellStyle name="Normal 75" xfId="985"/>
    <cellStyle name="Normal 75 2" xfId="3461"/>
    <cellStyle name="Normal 75 2 2" xfId="12603"/>
    <cellStyle name="Normal 75 2 2 2" xfId="22822"/>
    <cellStyle name="Normal 75 2 3" xfId="9025"/>
    <cellStyle name="Normal 75 2 4" xfId="17815"/>
    <cellStyle name="Normal 75 3" xfId="5486"/>
    <cellStyle name="Normal 75 3 2" xfId="14323"/>
    <cellStyle name="Normal 75 3 2 2" xfId="24574"/>
    <cellStyle name="Normal 75 3 3" xfId="10744"/>
    <cellStyle name="Normal 75 3 4" xfId="19567"/>
    <cellStyle name="Normal 75 4" xfId="2570"/>
    <cellStyle name="Normal 75 4 2" xfId="11935"/>
    <cellStyle name="Normal 75 4 3" xfId="21939"/>
    <cellStyle name="Normal 75 5" xfId="10765"/>
    <cellStyle name="Normal 75 5 2" xfId="20421"/>
    <cellStyle name="Normal 75 6" xfId="8407"/>
    <cellStyle name="Normal 75 7" xfId="16932"/>
    <cellStyle name="Normal 76" xfId="986"/>
    <cellStyle name="Normal 76 2" xfId="3462"/>
    <cellStyle name="Normal 76 2 2" xfId="12604"/>
    <cellStyle name="Normal 76 2 2 2" xfId="22823"/>
    <cellStyle name="Normal 76 2 3" xfId="9026"/>
    <cellStyle name="Normal 76 2 4" xfId="17816"/>
    <cellStyle name="Normal 76 3" xfId="5485"/>
    <cellStyle name="Normal 76 3 2" xfId="14322"/>
    <cellStyle name="Normal 76 3 2 2" xfId="24573"/>
    <cellStyle name="Normal 76 3 3" xfId="10743"/>
    <cellStyle name="Normal 76 3 4" xfId="19566"/>
    <cellStyle name="Normal 76 4" xfId="2571"/>
    <cellStyle name="Normal 76 4 2" xfId="11936"/>
    <cellStyle name="Normal 76 4 3" xfId="21940"/>
    <cellStyle name="Normal 76 5" xfId="10766"/>
    <cellStyle name="Normal 76 5 2" xfId="20422"/>
    <cellStyle name="Normal 76 6" xfId="8602"/>
    <cellStyle name="Normal 76 7" xfId="16933"/>
    <cellStyle name="Normal 77" xfId="621"/>
    <cellStyle name="Normal 77 2" xfId="3107"/>
    <cellStyle name="Normal 77 2 2" xfId="12250"/>
    <cellStyle name="Normal 77 2 2 2" xfId="22468"/>
    <cellStyle name="Normal 77 2 3" xfId="8672"/>
    <cellStyle name="Normal 77 2 4" xfId="17461"/>
    <cellStyle name="Normal 77 3" xfId="5494"/>
    <cellStyle name="Normal 77 3 2" xfId="14330"/>
    <cellStyle name="Normal 77 3 2 2" xfId="24581"/>
    <cellStyle name="Normal 77 3 3" xfId="10751"/>
    <cellStyle name="Normal 77 3 4" xfId="19574"/>
    <cellStyle name="Normal 77 4" xfId="2216"/>
    <cellStyle name="Normal 77 4 2" xfId="11581"/>
    <cellStyle name="Normal 77 4 3" xfId="21585"/>
    <cellStyle name="Normal 77 5" xfId="10758"/>
    <cellStyle name="Normal 77 5 2" xfId="20067"/>
    <cellStyle name="Normal 77 6" xfId="8573"/>
    <cellStyle name="Normal 77 7" xfId="16578"/>
    <cellStyle name="Normal 78" xfId="987"/>
    <cellStyle name="Normal 78 2" xfId="3463"/>
    <cellStyle name="Normal 78 2 2" xfId="12605"/>
    <cellStyle name="Normal 78 2 2 2" xfId="22824"/>
    <cellStyle name="Normal 78 2 3" xfId="9027"/>
    <cellStyle name="Normal 78 2 4" xfId="17817"/>
    <cellStyle name="Normal 78 3" xfId="4167"/>
    <cellStyle name="Normal 78 3 2" xfId="13005"/>
    <cellStyle name="Normal 78 3 2 2" xfId="23256"/>
    <cellStyle name="Normal 78 3 3" xfId="9426"/>
    <cellStyle name="Normal 78 3 4" xfId="18249"/>
    <cellStyle name="Normal 78 4" xfId="2572"/>
    <cellStyle name="Normal 78 4 2" xfId="11937"/>
    <cellStyle name="Normal 78 4 3" xfId="21941"/>
    <cellStyle name="Normal 78 5" xfId="10767"/>
    <cellStyle name="Normal 78 5 2" xfId="20423"/>
    <cellStyle name="Normal 78 6" xfId="8615"/>
    <cellStyle name="Normal 78 7" xfId="16934"/>
    <cellStyle name="Normal 79" xfId="622"/>
    <cellStyle name="Normal 79 2" xfId="3108"/>
    <cellStyle name="Normal 79 2 2" xfId="12251"/>
    <cellStyle name="Normal 79 2 2 2" xfId="22469"/>
    <cellStyle name="Normal 79 2 3" xfId="8673"/>
    <cellStyle name="Normal 79 2 4" xfId="17462"/>
    <cellStyle name="Normal 79 3" xfId="5492"/>
    <cellStyle name="Normal 79 3 2" xfId="14328"/>
    <cellStyle name="Normal 79 3 2 2" xfId="24579"/>
    <cellStyle name="Normal 79 3 3" xfId="10749"/>
    <cellStyle name="Normal 79 3 4" xfId="19572"/>
    <cellStyle name="Normal 79 4" xfId="2217"/>
    <cellStyle name="Normal 79 4 2" xfId="11582"/>
    <cellStyle name="Normal 79 4 3" xfId="21586"/>
    <cellStyle name="Normal 79 5" xfId="10759"/>
    <cellStyle name="Normal 79 5 2" xfId="20068"/>
    <cellStyle name="Normal 79 6" xfId="8512"/>
    <cellStyle name="Normal 79 7" xfId="16579"/>
    <cellStyle name="Normal 8" xfId="19"/>
    <cellStyle name="Normal 8 2" xfId="38"/>
    <cellStyle name="Normal 8 3" xfId="158"/>
    <cellStyle name="Normal 80" xfId="623"/>
    <cellStyle name="Normal 80 2" xfId="3109"/>
    <cellStyle name="Normal 80 2 2" xfId="12252"/>
    <cellStyle name="Normal 80 2 2 2" xfId="22470"/>
    <cellStyle name="Normal 80 2 3" xfId="8674"/>
    <cellStyle name="Normal 80 2 4" xfId="17463"/>
    <cellStyle name="Normal 80 3" xfId="5488"/>
    <cellStyle name="Normal 80 3 2" xfId="14325"/>
    <cellStyle name="Normal 80 3 2 2" xfId="24576"/>
    <cellStyle name="Normal 80 3 3" xfId="10746"/>
    <cellStyle name="Normal 80 3 4" xfId="19569"/>
    <cellStyle name="Normal 80 4" xfId="2218"/>
    <cellStyle name="Normal 80 4 2" xfId="11583"/>
    <cellStyle name="Normal 80 4 3" xfId="21587"/>
    <cellStyle name="Normal 80 5" xfId="10760"/>
    <cellStyle name="Normal 80 5 2" xfId="20069"/>
    <cellStyle name="Normal 80 6" xfId="8578"/>
    <cellStyle name="Normal 80 7" xfId="16580"/>
    <cellStyle name="Normal 80 9" xfId="26018"/>
    <cellStyle name="Normal 81" xfId="988"/>
    <cellStyle name="Normal 81 2" xfId="3464"/>
    <cellStyle name="Normal 81 2 2" xfId="12606"/>
    <cellStyle name="Normal 81 2 2 2" xfId="22825"/>
    <cellStyle name="Normal 81 2 3" xfId="9028"/>
    <cellStyle name="Normal 81 2 4" xfId="17818"/>
    <cellStyle name="Normal 81 3" xfId="4095"/>
    <cellStyle name="Normal 81 3 2" xfId="12958"/>
    <cellStyle name="Normal 81 3 2 2" xfId="23184"/>
    <cellStyle name="Normal 81 3 3" xfId="9379"/>
    <cellStyle name="Normal 81 3 4" xfId="18177"/>
    <cellStyle name="Normal 81 4" xfId="2573"/>
    <cellStyle name="Normal 81 4 2" xfId="11938"/>
    <cellStyle name="Normal 81 4 3" xfId="21942"/>
    <cellStyle name="Normal 81 5" xfId="10768"/>
    <cellStyle name="Normal 81 5 2" xfId="20424"/>
    <cellStyle name="Normal 81 6" xfId="8571"/>
    <cellStyle name="Normal 81 7" xfId="16935"/>
    <cellStyle name="Normal 82" xfId="989"/>
    <cellStyle name="Normal 82 2" xfId="3465"/>
    <cellStyle name="Normal 82 2 2" xfId="12607"/>
    <cellStyle name="Normal 82 2 2 2" xfId="22826"/>
    <cellStyle name="Normal 82 2 3" xfId="9029"/>
    <cellStyle name="Normal 82 2 4" xfId="17819"/>
    <cellStyle name="Normal 82 3" xfId="5495"/>
    <cellStyle name="Normal 82 3 2" xfId="14331"/>
    <cellStyle name="Normal 82 3 2 2" xfId="24582"/>
    <cellStyle name="Normal 82 3 3" xfId="10752"/>
    <cellStyle name="Normal 82 3 4" xfId="19575"/>
    <cellStyle name="Normal 82 4" xfId="2574"/>
    <cellStyle name="Normal 82 4 2" xfId="11939"/>
    <cellStyle name="Normal 82 4 3" xfId="21943"/>
    <cellStyle name="Normal 82 5" xfId="10769"/>
    <cellStyle name="Normal 82 5 2" xfId="20425"/>
    <cellStyle name="Normal 82 6" xfId="8510"/>
    <cellStyle name="Normal 82 7" xfId="16936"/>
    <cellStyle name="Normal 83" xfId="60"/>
    <cellStyle name="Normal 84" xfId="61"/>
    <cellStyle name="Normal 85" xfId="624"/>
    <cellStyle name="Normal 85 2" xfId="3110"/>
    <cellStyle name="Normal 85 2 2" xfId="12253"/>
    <cellStyle name="Normal 85 2 2 2" xfId="22471"/>
    <cellStyle name="Normal 85 2 3" xfId="8675"/>
    <cellStyle name="Normal 85 2 4" xfId="17464"/>
    <cellStyle name="Normal 85 3" xfId="5487"/>
    <cellStyle name="Normal 85 3 2" xfId="14324"/>
    <cellStyle name="Normal 85 3 2 2" xfId="24575"/>
    <cellStyle name="Normal 85 3 3" xfId="10745"/>
    <cellStyle name="Normal 85 3 4" xfId="19568"/>
    <cellStyle name="Normal 85 4" xfId="2219"/>
    <cellStyle name="Normal 85 4 2" xfId="11584"/>
    <cellStyle name="Normal 85 4 3" xfId="21588"/>
    <cellStyle name="Normal 85 5" xfId="10761"/>
    <cellStyle name="Normal 85 5 2" xfId="20070"/>
    <cellStyle name="Normal 85 6" xfId="8639"/>
    <cellStyle name="Normal 85 7" xfId="16581"/>
    <cellStyle name="Normal 86" xfId="62"/>
    <cellStyle name="Normal 87" xfId="620"/>
    <cellStyle name="Normal 87 2" xfId="3106"/>
    <cellStyle name="Normal 87 2 2" xfId="12249"/>
    <cellStyle name="Normal 87 2 2 2" xfId="22467"/>
    <cellStyle name="Normal 87 2 3" xfId="8671"/>
    <cellStyle name="Normal 87 2 4" xfId="17460"/>
    <cellStyle name="Normal 87 3" xfId="5496"/>
    <cellStyle name="Normal 87 3 2" xfId="14332"/>
    <cellStyle name="Normal 87 3 2 2" xfId="24583"/>
    <cellStyle name="Normal 87 3 3" xfId="10753"/>
    <cellStyle name="Normal 87 3 4" xfId="19576"/>
    <cellStyle name="Normal 87 4" xfId="2215"/>
    <cellStyle name="Normal 87 4 2" xfId="11580"/>
    <cellStyle name="Normal 87 4 3" xfId="21584"/>
    <cellStyle name="Normal 87 5" xfId="10757"/>
    <cellStyle name="Normal 87 5 2" xfId="20066"/>
    <cellStyle name="Normal 87 6" xfId="8598"/>
    <cellStyle name="Normal 87 7" xfId="16577"/>
    <cellStyle name="Normal 88" xfId="1044"/>
    <cellStyle name="Normal 89" xfId="4089"/>
    <cellStyle name="Normal 9" xfId="20"/>
    <cellStyle name="Normal 9 2" xfId="297"/>
    <cellStyle name="Normal 9 2 10" xfId="16083"/>
    <cellStyle name="Normal 9 2 2" xfId="617"/>
    <cellStyle name="Normal 9 2 2 2" xfId="3103"/>
    <cellStyle name="Normal 9 2 2 2 2" xfId="12246"/>
    <cellStyle name="Normal 9 2 2 2 2 2" xfId="22464"/>
    <cellStyle name="Normal 9 2 2 2 3" xfId="8668"/>
    <cellStyle name="Normal 9 2 2 2 4" xfId="17457"/>
    <cellStyle name="Normal 9 2 2 3" xfId="4788"/>
    <cellStyle name="Normal 9 2 2 3 2" xfId="13625"/>
    <cellStyle name="Normal 9 2 2 3 2 2" xfId="23876"/>
    <cellStyle name="Normal 9 2 2 3 3" xfId="10046"/>
    <cellStyle name="Normal 9 2 2 3 4" xfId="18869"/>
    <cellStyle name="Normal 9 2 2 4" xfId="2212"/>
    <cellStyle name="Normal 9 2 2 4 2" xfId="11577"/>
    <cellStyle name="Normal 9 2 2 4 3" xfId="21581"/>
    <cellStyle name="Normal 9 2 2 5" xfId="6243"/>
    <cellStyle name="Normal 9 2 2 5 2" xfId="15070"/>
    <cellStyle name="Normal 9 2 2 5 3" xfId="25321"/>
    <cellStyle name="Normal 9 2 2 6" xfId="7689"/>
    <cellStyle name="Normal 9 2 2 6 2" xfId="20063"/>
    <cellStyle name="Normal 9 2 2 7" xfId="16574"/>
    <cellStyle name="Normal 9 2 3" xfId="990"/>
    <cellStyle name="Normal 9 2 3 2" xfId="3466"/>
    <cellStyle name="Normal 9 2 3 2 2" xfId="12608"/>
    <cellStyle name="Normal 9 2 3 2 2 2" xfId="22827"/>
    <cellStyle name="Normal 9 2 3 2 3" xfId="9030"/>
    <cellStyle name="Normal 9 2 3 2 4" xfId="17820"/>
    <cellStyle name="Normal 9 2 3 3" xfId="5136"/>
    <cellStyle name="Normal 9 2 3 3 2" xfId="13973"/>
    <cellStyle name="Normal 9 2 3 3 2 2" xfId="24224"/>
    <cellStyle name="Normal 9 2 3 3 3" xfId="10394"/>
    <cellStyle name="Normal 9 2 3 3 4" xfId="19217"/>
    <cellStyle name="Normal 9 2 3 4" xfId="2575"/>
    <cellStyle name="Normal 9 2 3 4 2" xfId="11940"/>
    <cellStyle name="Normal 9 2 3 4 3" xfId="21944"/>
    <cellStyle name="Normal 9 2 3 5" xfId="6591"/>
    <cellStyle name="Normal 9 2 3 5 2" xfId="15418"/>
    <cellStyle name="Normal 9 2 3 5 3" xfId="25669"/>
    <cellStyle name="Normal 9 2 3 6" xfId="8037"/>
    <cellStyle name="Normal 9 2 3 6 2" xfId="20426"/>
    <cellStyle name="Normal 9 2 3 7" xfId="16937"/>
    <cellStyle name="Normal 9 2 4" xfId="1389"/>
    <cellStyle name="Normal 9 2 4 2" xfId="3818"/>
    <cellStyle name="Normal 9 2 4 2 2" xfId="12954"/>
    <cellStyle name="Normal 9 2 4 2 2 2" xfId="23173"/>
    <cellStyle name="Normal 9 2 4 2 3" xfId="9375"/>
    <cellStyle name="Normal 9 2 4 2 4" xfId="18166"/>
    <cellStyle name="Normal 9 2 4 3" xfId="5481"/>
    <cellStyle name="Normal 9 2 4 3 2" xfId="14318"/>
    <cellStyle name="Normal 9 2 4 3 2 2" xfId="24569"/>
    <cellStyle name="Normal 9 2 4 3 3" xfId="10739"/>
    <cellStyle name="Normal 9 2 4 3 4" xfId="19562"/>
    <cellStyle name="Normal 9 2 4 4" xfId="1893"/>
    <cellStyle name="Normal 9 2 4 4 2" xfId="11260"/>
    <cellStyle name="Normal 9 2 4 4 3" xfId="21264"/>
    <cellStyle name="Normal 9 2 4 5" xfId="6936"/>
    <cellStyle name="Normal 9 2 4 5 2" xfId="15763"/>
    <cellStyle name="Normal 9 2 4 5 3" xfId="26014"/>
    <cellStyle name="Normal 9 2 4 6" xfId="8382"/>
    <cellStyle name="Normal 9 2 4 6 2" xfId="20772"/>
    <cellStyle name="Normal 9 2 4 7" xfId="16257"/>
    <cellStyle name="Normal 9 2 5" xfId="2786"/>
    <cellStyle name="Normal 9 2 5 2" xfId="12103"/>
    <cellStyle name="Normal 9 2 5 2 2" xfId="22147"/>
    <cellStyle name="Normal 9 2 5 3" xfId="8428"/>
    <cellStyle name="Normal 9 2 5 4" xfId="17140"/>
    <cellStyle name="Normal 9 2 6" xfId="4437"/>
    <cellStyle name="Normal 9 2 6 2" xfId="13275"/>
    <cellStyle name="Normal 9 2 6 2 2" xfId="23526"/>
    <cellStyle name="Normal 9 2 6 3" xfId="9696"/>
    <cellStyle name="Normal 9 2 6 4" xfId="18519"/>
    <cellStyle name="Normal 9 2 7" xfId="1709"/>
    <cellStyle name="Normal 9 2 7 2" xfId="11086"/>
    <cellStyle name="Normal 9 2 7 3" xfId="21090"/>
    <cellStyle name="Normal 9 2 8" xfId="5893"/>
    <cellStyle name="Normal 9 2 8 2" xfId="14720"/>
    <cellStyle name="Normal 9 2 8 3" xfId="24971"/>
    <cellStyle name="Normal 9 2 9" xfId="7337"/>
    <cellStyle name="Normal 9 2 9 2" xfId="19746"/>
    <cellStyle name="Normal 9 2_Degree data" xfId="4088"/>
    <cellStyle name="Normal 90" xfId="4753"/>
    <cellStyle name="Normal 91" xfId="5490"/>
    <cellStyle name="Normal 92" xfId="1393"/>
    <cellStyle name="Normal 93" xfId="2577"/>
    <cellStyle name="Normal 94" xfId="5498"/>
    <cellStyle name="Normal 95" xfId="5497"/>
    <cellStyle name="Normal 96" xfId="5502"/>
    <cellStyle name="Normal 97" xfId="5503"/>
    <cellStyle name="Normal 98" xfId="63"/>
    <cellStyle name="Normal 99" xfId="5505"/>
    <cellStyle name="Normal_03SCH&amp;FTE05" xfId="26050"/>
    <cellStyle name="Normal_03TTA09mastersurvey" xfId="26"/>
    <cellStyle name="Normal_04SCH-FTE09mastersurvey" xfId="4"/>
    <cellStyle name="Normal_Degree02 Form 2" xfId="24"/>
    <cellStyle name="Normal_Degree02 Form 3" xfId="26048"/>
    <cellStyle name="Normal_Degrees02 Form" xfId="26046"/>
    <cellStyle name="Normal_Degrees02 Form 2" xfId="26047"/>
    <cellStyle name="Normal_Degrees02 Form 3" xfId="26067"/>
    <cellStyle name="Normal_Funding02 Form" xfId="26068"/>
    <cellStyle name="Normal_SCH&amp;FTE02 Form" xfId="5"/>
    <cellStyle name="Normal_SCH&amp;FTE03 Form" xfId="6"/>
    <cellStyle name="Normal_StProg01B" xfId="26062"/>
    <cellStyle name="Normal_StProg01B 2" xfId="27"/>
    <cellStyle name="Normal_StProg02 Form" xfId="26049"/>
    <cellStyle name="Normal_Tuition02 Form" xfId="26061"/>
    <cellStyle name="Note 2" xfId="991"/>
    <cellStyle name="Note 2 2" xfId="1031"/>
    <cellStyle name="Note 2 3" xfId="1038"/>
    <cellStyle name="Note 2 4" xfId="3467"/>
    <cellStyle name="Note 2 4 2" xfId="12609"/>
    <cellStyle name="Note 2 4 2 2" xfId="22828"/>
    <cellStyle name="Note 2 4 3" xfId="9031"/>
    <cellStyle name="Note 2 4 4" xfId="17821"/>
    <cellStyle name="Note 2 5" xfId="4166"/>
    <cellStyle name="Note 2 5 2" xfId="13004"/>
    <cellStyle name="Note 2 5 2 2" xfId="23255"/>
    <cellStyle name="Note 2 5 3" xfId="9425"/>
    <cellStyle name="Note 2 5 4" xfId="18248"/>
    <cellStyle name="Note 2 6" xfId="2576"/>
    <cellStyle name="Note 2 6 2" xfId="11941"/>
    <cellStyle name="Note 2 6 3" xfId="21945"/>
    <cellStyle name="Note 2 7" xfId="10770"/>
    <cellStyle name="Note 2 7 2" xfId="20427"/>
    <cellStyle name="Note 2 8" xfId="8633"/>
    <cellStyle name="Note 2 9" xfId="16938"/>
    <cellStyle name="Note 3" xfId="1030"/>
    <cellStyle name="Note 4" xfId="1039"/>
    <cellStyle name="Output 2" xfId="1032"/>
    <cellStyle name="Output 3" xfId="1042"/>
    <cellStyle name="Percent" xfId="7" builtinId="5"/>
    <cellStyle name="Percent 2" xfId="31"/>
    <cellStyle name="Percent 2 2" xfId="67"/>
    <cellStyle name="Percent 2 2 2" xfId="128"/>
    <cellStyle name="Percent 2 2 3" xfId="227"/>
    <cellStyle name="Percent 2 3" xfId="1034"/>
    <cellStyle name="Percent 3" xfId="32"/>
    <cellStyle name="Percent 4" xfId="36"/>
    <cellStyle name="Percent 5" xfId="116"/>
    <cellStyle name="Percent 6" xfId="1033"/>
    <cellStyle name="questionable" xfId="8"/>
    <cellStyle name="questionable 2" xfId="104"/>
    <cellStyle name="review" xfId="9"/>
    <cellStyle name="Title 2" xfId="1035"/>
    <cellStyle name="Total 2" xfId="1036"/>
    <cellStyle name="Total 3" xfId="1043"/>
    <cellStyle name="Warning Text 2" xfId="1037"/>
  </cellStyles>
  <dxfs count="2443">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ndense val="0"/>
        <extend val="0"/>
        <color indexed="10"/>
      </font>
    </dxf>
    <dxf>
      <font>
        <b/>
        <i val="0"/>
        <condense val="0"/>
        <extend val="0"/>
        <color indexed="10"/>
      </font>
    </dxf>
    <dxf>
      <font>
        <b/>
        <i val="0"/>
        <color rgb="FFFF0000"/>
      </font>
    </dxf>
    <dxf>
      <font>
        <b/>
        <i val="0"/>
        <color rgb="FFFF0000"/>
      </font>
    </dxf>
    <dxf>
      <font>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10"/>
      </font>
    </dxf>
    <dxf>
      <font>
        <b/>
        <i val="0"/>
        <condense val="0"/>
        <extend val="0"/>
        <color indexed="10"/>
      </font>
    </dxf>
    <dxf>
      <font>
        <b/>
        <i val="0"/>
        <color rgb="FFC00000"/>
      </font>
    </dxf>
    <dxf>
      <font>
        <b/>
        <i val="0"/>
        <color rgb="FFC00000"/>
      </font>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168" formatCode="0.0%"/>
    </dxf>
    <dxf>
      <numFmt numFmtId="168" formatCode="0.0%"/>
    </dxf>
    <dxf>
      <numFmt numFmtId="168" formatCode="0.0%"/>
    </dxf>
    <dxf>
      <numFmt numFmtId="168" formatCode="0.0%"/>
    </dxf>
    <dxf>
      <numFmt numFmtId="168" formatCode="0.0%"/>
    </dxf>
    <dxf>
      <numFmt numFmtId="168" formatCode="0.0%"/>
    </dxf>
    <dxf>
      <numFmt numFmtId="168" formatCode="0.0%"/>
    </dxf>
    <dxf>
      <numFmt numFmtId="168" formatCode="0.0%"/>
    </dxf>
    <dxf>
      <fill>
        <patternFill patternType="none">
          <bgColor auto="1"/>
        </patternFill>
      </fill>
    </dxf>
    <dxf>
      <fill>
        <patternFill patternType="none">
          <bgColor auto="1"/>
        </patternFill>
      </fill>
    </dxf>
    <dxf>
      <fill>
        <patternFill patternType="solid">
          <bgColor theme="0" tint="-0.249977111117893"/>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numFmt numFmtId="168" formatCode="0.0%"/>
    </dxf>
    <dxf>
      <numFmt numFmtId="168" formatCode="0.0%"/>
    </dxf>
    <dxf>
      <numFmt numFmtId="168" formatCode="0.0%"/>
    </dxf>
    <dxf>
      <numFmt numFmtId="168" formatCode="0.0%"/>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ill>
        <patternFill patternType="none">
          <bgColor auto="1"/>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numFmt numFmtId="14" formatCode="0.00%"/>
    </dxf>
    <dxf>
      <numFmt numFmtId="14" formatCode="0.00%"/>
    </dxf>
    <dxf>
      <numFmt numFmtId="14" formatCode="0.00%"/>
    </dxf>
    <dxf>
      <numFmt numFmtId="14" formatCode="0.00%"/>
    </dxf>
    <dxf>
      <font>
        <b/>
      </font>
    </dxf>
    <dxf>
      <font>
        <b/>
      </font>
    </dxf>
    <dxf>
      <font>
        <b/>
      </font>
    </dxf>
    <dxf>
      <font>
        <b/>
      </font>
    </dxf>
    <dxf>
      <font>
        <b/>
      </font>
    </dxf>
    <dxf>
      <font>
        <b/>
      </font>
    </dxf>
    <dxf>
      <font>
        <b/>
      </font>
    </dxf>
    <dxf>
      <font>
        <b/>
      </font>
      <numFmt numFmtId="168" formatCode="0.0%"/>
    </dxf>
    <dxf>
      <font>
        <b/>
      </font>
      <numFmt numFmtId="168" formatCode="0.0%"/>
    </dxf>
    <dxf>
      <font>
        <b/>
      </font>
    </dxf>
    <dxf>
      <numFmt numFmtId="168" formatCode="0.0%"/>
    </dxf>
    <dxf>
      <font>
        <b/>
        <sz val="10"/>
      </font>
      <numFmt numFmtId="168" formatCode="0.0%"/>
    </dxf>
    <dxf>
      <font>
        <b/>
        <sz val="10"/>
      </font>
      <numFmt numFmtId="168" formatCode="0.0%"/>
    </dxf>
    <dxf>
      <font>
        <sz val="10"/>
      </font>
    </dxf>
    <dxf>
      <font>
        <sz val="10"/>
      </font>
    </dxf>
    <dxf>
      <font>
        <b/>
      </font>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35" formatCode="_(* #,##0.00_);_(* \(#,##0.00\);_(* &quot;-&quot;??_);_(@_)"/>
    </dxf>
    <dxf>
      <numFmt numFmtId="35" formatCode="_(* #,##0.00_);_(* \(#,##0.00\);_(* &quot;-&quot;??_);_(@_)"/>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patternType="solid">
          <bgColor rgb="FFFFFF00"/>
        </patternFill>
      </fill>
    </dxf>
    <dxf>
      <fill>
        <patternFill patternType="solid">
          <bgColor theme="0" tint="-0.249977111117893"/>
        </patternFill>
      </fill>
    </dxf>
    <dxf>
      <fill>
        <patternFill patternType="solid">
          <bgColor theme="0" tint="-0.249977111117893"/>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font>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border>
        <bottom style="thin">
          <color indexed="64"/>
        </bottom>
      </border>
    </dxf>
    <dxf>
      <fill>
        <patternFill patternType="solid">
          <fgColor indexed="64"/>
          <bgColor theme="0" tint="-0.249977111117893"/>
        </patternFill>
      </fill>
    </dxf>
    <dxf>
      <fill>
        <patternFill patternType="none">
          <bgColor auto="1"/>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ill>
        <patternFill patternType="solid">
          <fgColor indexed="64"/>
          <bgColor theme="5" tint="0.79998168889431442"/>
        </patternFill>
      </fill>
    </dxf>
    <dxf>
      <fill>
        <patternFill patternType="solid">
          <fgColor indexed="64"/>
          <bgColor theme="5" tint="0.79998168889431442"/>
        </patternFill>
      </fill>
    </dxf>
    <dxf>
      <font>
        <b/>
      </font>
    </dxf>
    <dxf>
      <font>
        <b/>
      </font>
    </dxf>
    <dxf>
      <font>
        <b/>
      </font>
    </dxf>
    <dxf>
      <font>
        <b/>
      </font>
    </dxf>
    <dxf>
      <font>
        <b/>
      </font>
    </dxf>
    <dxf>
      <font>
        <b/>
      </font>
    </dxf>
    <dxf>
      <font>
        <b/>
      </font>
    </dxf>
    <dxf>
      <font>
        <b/>
      </font>
    </dxf>
    <dxf>
      <font>
        <b/>
      </font>
    </dxf>
    <dxf>
      <font>
        <b/>
      </font>
    </dxf>
    <dxf>
      <font>
        <b/>
      </font>
    </dxf>
    <dxf>
      <font>
        <b/>
      </font>
    </dxf>
    <dxf>
      <alignment wrapText="1" readingOrder="0"/>
    </dxf>
    <dxf>
      <alignment wrapText="1" readingOrder="0"/>
    </dxf>
    <dxf>
      <alignment wrapText="1" readingOrder="0"/>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ont>
        <b/>
      </font>
      <alignment horizontal="right" readingOrder="0"/>
    </dxf>
    <dxf>
      <border>
        <bottom style="thin">
          <color indexed="64"/>
        </bottom>
      </border>
    </dxf>
    <dxf>
      <border>
        <bottom style="thin">
          <color indexed="64"/>
        </bottom>
      </border>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indexed="49"/>
          <bgColor indexed="64"/>
        </patternFill>
      </fill>
    </dxf>
    <dxf>
      <border>
        <top style="thin">
          <color indexed="8"/>
        </top>
      </border>
    </dxf>
    <dxf>
      <border>
        <left style="thin">
          <color indexed="64"/>
        </left>
      </border>
    </dxf>
    <dxf>
      <border>
        <left/>
      </border>
    </dxf>
    <dxf>
      <border>
        <left style="thin">
          <color indexed="64"/>
        </left>
      </border>
    </dxf>
    <dxf>
      <fill>
        <patternFill patternType="none"/>
      </fill>
    </dxf>
    <dxf>
      <fill>
        <patternFill patternType="solid">
          <bgColor indexed="43"/>
        </patternFill>
      </fill>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border>
        <right style="thin">
          <color indexed="8"/>
        </right>
      </border>
    </dxf>
    <dxf>
      <alignment horizontal="general" readingOrder="0"/>
    </dxf>
    <dxf>
      <alignment horizontal="general" readingOrder="0"/>
    </dxf>
    <dxf>
      <alignment horizontal="general" readingOrder="0"/>
    </dxf>
    <dxf>
      <border>
        <bottom style="thin">
          <color indexed="64"/>
        </bottom>
      </border>
    </dxf>
    <dxf>
      <border>
        <bottom style="thin">
          <color indexed="64"/>
        </bottom>
      </border>
    </dxf>
    <dxf>
      <font>
        <sz val="10"/>
      </font>
    </dxf>
    <dxf>
      <alignment horizontal="right" readingOrder="0"/>
    </dxf>
    <dxf>
      <alignment horizontal="right" readingOrder="0"/>
    </dxf>
    <dxf>
      <alignment horizontal="right" readingOrder="0"/>
    </dxf>
    <dxf>
      <alignment horizontal="right" readingOrder="0"/>
    </dxf>
    <dxf>
      <alignment horizontal="right" readingOrder="0"/>
    </dxf>
    <dxf>
      <border>
        <right style="thin">
          <color indexed="8"/>
        </right>
      </border>
    </dxf>
    <dxf>
      <border>
        <right style="thin">
          <color indexed="8"/>
        </right>
      </border>
    </dxf>
    <dxf>
      <border>
        <right style="thin">
          <color indexed="8"/>
        </right>
      </border>
    </dxf>
    <dxf>
      <alignment horizontal="general" readingOrder="0"/>
    </dxf>
    <dxf>
      <alignment horizontal="right" readingOrder="0"/>
    </dxf>
    <dxf>
      <alignment horizontal="center" readingOrder="0"/>
    </dxf>
    <dxf>
      <alignment horizontal="left" readingOrder="0"/>
    </dxf>
    <dxf>
      <alignment horizontal="general" readingOrder="0"/>
    </dxf>
    <dxf>
      <alignment horizontal="right" readingOrder="0"/>
    </dxf>
    <dxf>
      <alignment horizontal="general" readingOrder="0"/>
    </dxf>
    <dxf>
      <alignment horizontal="right" readingOrder="0"/>
    </dxf>
    <dxf>
      <alignment horizontal="left" readingOrder="0"/>
    </dxf>
    <dxf>
      <alignment horizontal="right" readingOrder="0"/>
    </dxf>
    <dxf>
      <font>
        <b/>
      </font>
    </dxf>
    <dxf>
      <font>
        <b/>
      </font>
    </dxf>
    <dxf>
      <font>
        <b/>
      </font>
    </dxf>
    <dxf>
      <alignment horizontal="general" readingOrder="0"/>
    </dxf>
    <dxf>
      <alignment horizontal="right" readingOrder="0"/>
    </dxf>
    <dxf>
      <numFmt numFmtId="166" formatCode="#,##0.0"/>
    </dxf>
    <dxf>
      <font>
        <b/>
      </font>
    </dxf>
    <dxf>
      <fill>
        <patternFill patternType="solid">
          <bgColor indexed="22"/>
        </patternFill>
      </fill>
    </dxf>
    <dxf>
      <font>
        <b/>
      </font>
    </dxf>
    <dxf>
      <font>
        <b/>
      </font>
    </dxf>
    <dxf>
      <font>
        <b/>
      </font>
    </dxf>
    <dxf>
      <alignment horizontal="right" readingOrder="0"/>
    </dxf>
    <dxf>
      <alignment horizontal="right" readingOrder="0"/>
    </dxf>
    <dxf>
      <alignment horizontal="right" readingOrder="0"/>
    </dxf>
    <dxf>
      <numFmt numFmtId="165" formatCode="_(* #,##0_);_(* \(#,##0\);_(* &quot;-&quot;??_);_(@_)"/>
    </dxf>
    <dxf>
      <numFmt numFmtId="172" formatCode="_(* #,##0.0_);_(* \(#,##0.0\);_(* &quot;-&quot;??_);_(@_)"/>
    </dxf>
    <dxf>
      <numFmt numFmtId="35" formatCode="_(* #,##0.00_);_(* \(#,##0.00\);_(* &quot;-&quot;??_);_(@_)"/>
    </dxf>
    <dxf>
      <font>
        <name val="Arial"/>
        <scheme val="none"/>
      </font>
    </dxf>
  </dxfs>
  <tableStyles count="0" defaultTableStyle="TableStyleMedium9" defaultPivotStyle="PivotStyleLight16"/>
  <colors>
    <mruColors>
      <color rgb="FF0000FF"/>
      <color rgb="FF00FF00"/>
      <color rgb="FFCCFFCC"/>
      <color rgb="FF00FFFF"/>
      <color rgb="FFFFFFCC"/>
      <color rgb="FFB2A1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Lisa Cowan" refreshedDate="42772.691039004632" createdVersion="6" refreshedVersion="6" minRefreshableVersion="3" recordCount="676">
  <cacheSource type="worksheet">
    <worksheetSource ref="A6:BA682" sheet="SCH Data"/>
  </cacheSource>
  <cacheFields count="64">
    <cacheField name="State" numFmtId="49">
      <sharedItems count="16">
        <s v="AL"/>
        <s v="AR"/>
        <s v="DE"/>
        <s v="FL"/>
        <s v="GA"/>
        <s v="KY"/>
        <s v="LA"/>
        <s v="MD"/>
        <s v="MS"/>
        <s v="NC"/>
        <s v="OK"/>
        <s v="SC"/>
        <s v="TN"/>
        <s v="TX"/>
        <s v="VA"/>
        <s v="WV"/>
      </sharedItems>
    </cacheField>
    <cacheField name="Institution" numFmtId="0">
      <sharedItems containsBlank="1"/>
    </cacheField>
    <cacheField name="Note" numFmtId="0">
      <sharedItems containsBlank="1"/>
    </cacheField>
    <cacheField name="IPEDS ID #" numFmtId="0">
      <sharedItems containsBlank="1" containsMixedTypes="1" containsNumber="1" containsInteger="1" minValue="100654" maxValue="870501"/>
    </cacheField>
    <cacheField name="Category" numFmtId="0">
      <sharedItems containsMixedTypes="1" containsNumber="1" containsInteger="1" minValue="1" maxValue="99" count="19">
        <n v="1"/>
        <n v="2"/>
        <n v="3"/>
        <n v="4"/>
        <n v="5"/>
        <n v="6"/>
        <n v="9"/>
        <n v="8"/>
        <n v="10"/>
        <n v="12"/>
        <n v="13"/>
        <n v="7"/>
        <n v="11"/>
        <n v="99"/>
        <s v="08b"/>
        <s v="09b"/>
        <s v="10b"/>
        <n v="14" u="1"/>
        <n v="15" u="1"/>
      </sharedItems>
      <fieldGroup par="60"/>
    </cacheField>
    <cacheField name="Old-Term Code" numFmtId="165">
      <sharedItems containsBlank="1"/>
    </cacheField>
    <cacheField name="New-Term Code" numFmtId="0">
      <sharedItems containsBlank="1"/>
    </cacheField>
    <cacheField name="old-Winter Undg SCH" numFmtId="0">
      <sharedItems containsString="0" containsBlank="1" containsNumber="1" minValue="0" maxValue="558215"/>
    </cacheField>
    <cacheField name="new-Winter Undg SCH" numFmtId="0">
      <sharedItems containsString="0" containsBlank="1" containsNumber="1" minValue="0" maxValue="550686"/>
    </cacheField>
    <cacheField name="old-Spring Undg SCH" numFmtId="0">
      <sharedItems containsString="0" containsBlank="1" containsNumber="1" minValue="0" maxValue="1514250"/>
    </cacheField>
    <cacheField name="new-Spring Undg SCH" numFmtId="0">
      <sharedItems containsString="0" containsBlank="1" containsNumber="1" minValue="0" maxValue="1460345.5"/>
    </cacheField>
    <cacheField name="old-Summer Undg SCH" numFmtId="0">
      <sharedItems containsString="0" containsBlank="1" containsNumber="1" minValue="0" maxValue="478043"/>
    </cacheField>
    <cacheField name="new-Summer Undg SCH" numFmtId="0">
      <sharedItems containsString="0" containsBlank="1" containsNumber="1" minValue="0" maxValue="443495"/>
    </cacheField>
    <cacheField name="old-Fall Undg SCH" numFmtId="0">
      <sharedItems containsString="0" containsBlank="1" containsNumber="1" minValue="0" maxValue="1583631"/>
    </cacheField>
    <cacheField name="new-Fall Undg SCH" numFmtId="0">
      <sharedItems containsString="0" containsBlank="1" containsNumber="1" minValue="0" maxValue="1519453"/>
    </cacheField>
    <cacheField name="Old-Total Undg SCH" numFmtId="3">
      <sharedItems containsSemiMixedTypes="0" containsString="0" containsNumber="1" minValue="0" maxValue="3575924"/>
    </cacheField>
    <cacheField name="Old-Total Undg SCH FTE" numFmtId="3">
      <sharedItems containsSemiMixedTypes="0" containsString="0" containsNumber="1" minValue="0" maxValue="119197.46666666666"/>
    </cacheField>
    <cacheField name="New-Total Undg SCH" numFmtId="3">
      <sharedItems containsSemiMixedTypes="0" containsString="0" containsNumber="1" minValue="0" maxValue="3423293.5"/>
    </cacheField>
    <cacheField name="New-Total Undg SCH FTE" numFmtId="3">
      <sharedItems containsSemiMixedTypes="0" containsString="0" containsNumber="1" minValue="0" maxValue="114109.78333333334"/>
    </cacheField>
    <cacheField name="Old-Total HS SCH" numFmtId="0">
      <sharedItems containsString="0" containsBlank="1" containsNumber="1" minValue="0" maxValue="647312"/>
    </cacheField>
    <cacheField name="New-Total HS SCH" numFmtId="0">
      <sharedItems containsString="0" containsBlank="1" containsNumber="1" minValue="0" maxValue="693481"/>
    </cacheField>
    <cacheField name="Old-Total Undg SCH2" numFmtId="3">
      <sharedItems containsSemiMixedTypes="0" containsString="0" containsNumber="1" minValue="0" maxValue="3575924"/>
    </cacheField>
    <cacheField name="New-Total Undg SCH2" numFmtId="3">
      <sharedItems containsSemiMixedTypes="0" containsString="0" containsNumber="1" minValue="0" maxValue="3423293.5"/>
    </cacheField>
    <cacheField name="old-Winter Undg CH" numFmtId="0">
      <sharedItems containsString="0" containsBlank="1" containsNumber="1" containsInteger="1" minValue="0" maxValue="689363"/>
    </cacheField>
    <cacheField name="new-Winter Undg CH" numFmtId="0">
      <sharedItems containsString="0" containsBlank="1" containsNumber="1" containsInteger="1" minValue="0" maxValue="737303"/>
    </cacheField>
    <cacheField name="old-Spring Undg CH" numFmtId="0">
      <sharedItems containsString="0" containsBlank="1" containsNumber="1" containsInteger="1" minValue="0" maxValue="1036635"/>
    </cacheField>
    <cacheField name="new-Spring Undg CH" numFmtId="0">
      <sharedItems containsString="0" containsBlank="1" containsNumber="1" containsInteger="1" minValue="0" maxValue="1286127"/>
    </cacheField>
    <cacheField name="old-Summer Undg CH" numFmtId="0">
      <sharedItems containsString="0" containsBlank="1" containsNumber="1" minValue="0" maxValue="972658"/>
    </cacheField>
    <cacheField name="new-Summer Undg CH" numFmtId="0">
      <sharedItems containsString="0" containsBlank="1" containsNumber="1" containsInteger="1" minValue="0" maxValue="1112401"/>
    </cacheField>
    <cacheField name="old-Fall Undg CH" numFmtId="0">
      <sharedItems containsString="0" containsBlank="1" containsNumber="1" minValue="0" maxValue="1473299.25"/>
    </cacheField>
    <cacheField name="new-Fall Undg CH" numFmtId="0">
      <sharedItems containsString="0" containsBlank="1" containsNumber="1" minValue="0" maxValue="1635128.74"/>
    </cacheField>
    <cacheField name="Old-Total Undg CH" numFmtId="3">
      <sharedItems containsSemiMixedTypes="0" containsString="0" containsNumber="1" minValue="0" maxValue="3290129"/>
    </cacheField>
    <cacheField name="Old-Total Undg CH FTE" numFmtId="3">
      <sharedItems containsSemiMixedTypes="0" containsString="0" containsNumber="1" minValue="0" maxValue="3655.6988888888891"/>
    </cacheField>
    <cacheField name="New-Total Undg CH" numFmtId="3">
      <sharedItems containsSemiMixedTypes="0" containsString="0" containsNumber="1" minValue="0" maxValue="3663881"/>
    </cacheField>
    <cacheField name="New-Total Undg CH FTE" numFmtId="3">
      <sharedItems containsSemiMixedTypes="0" containsString="0" containsNumber="1" minValue="0" maxValue="4070.9788888888888"/>
    </cacheField>
    <cacheField name="Old-Total HS CH" numFmtId="0">
      <sharedItems containsString="0" containsBlank="1" containsNumber="1" containsInteger="1" minValue="0" maxValue="59201"/>
    </cacheField>
    <cacheField name="New-Total HS CH" numFmtId="0">
      <sharedItems containsString="0" containsBlank="1" containsNumber="1" containsInteger="1" minValue="0" maxValue="59870"/>
    </cacheField>
    <cacheField name="Old-Total Undg CH2" numFmtId="3">
      <sharedItems containsSemiMixedTypes="0" containsString="0" containsNumber="1" containsInteger="1" minValue="0" maxValue="3290129"/>
    </cacheField>
    <cacheField name="New-Total Undg CH2" numFmtId="3">
      <sharedItems containsSemiMixedTypes="0" containsString="0" containsNumber="1" containsInteger="1" minValue="0" maxValue="3663881"/>
    </cacheField>
    <cacheField name="old-Winter Grad SCH" numFmtId="0">
      <sharedItems containsBlank="1" containsMixedTypes="1" containsNumber="1" containsInteger="1" minValue="0" maxValue="7442"/>
    </cacheField>
    <cacheField name="new-Winter Grad SCH" numFmtId="0">
      <sharedItems containsString="0" containsBlank="1" containsNumber="1" minValue="0" maxValue="6939"/>
    </cacheField>
    <cacheField name="old-Spring Grad SCH" numFmtId="0">
      <sharedItems containsString="0" containsBlank="1" containsNumber="1" minValue="0" maxValue="159555"/>
    </cacheField>
    <cacheField name="new-Spring Grad SCH" numFmtId="0">
      <sharedItems containsString="0" containsBlank="1" containsNumber="1" minValue="0" maxValue="135541"/>
    </cacheField>
    <cacheField name="old-Summer Grad SCH" numFmtId="0">
      <sharedItems containsString="0" containsBlank="1" containsNumber="1" minValue="0" maxValue="68153"/>
    </cacheField>
    <cacheField name="new-Summer Grad SCH" numFmtId="0">
      <sharedItems containsString="0" containsBlank="1" containsNumber="1" minValue="0" maxValue="57724"/>
    </cacheField>
    <cacheField name="old-Fall Grad SCH" numFmtId="0">
      <sharedItems containsString="0" containsBlank="1" containsNumber="1" minValue="0" maxValue="168542"/>
    </cacheField>
    <cacheField name="new-Fall Grad SCH" numFmtId="0">
      <sharedItems containsString="0" containsBlank="1" containsNumber="1" minValue="0" maxValue="148385"/>
    </cacheField>
    <cacheField name="Old-Total Grad SCH" numFmtId="3">
      <sharedItems containsSemiMixedTypes="0" containsString="0" containsNumber="1" minValue="0" maxValue="396250"/>
    </cacheField>
    <cacheField name="Old-Total Grad FTE" numFmtId="3">
      <sharedItems containsSemiMixedTypes="0" containsString="0" containsNumber="1" minValue="0" maxValue="16510.416666666668"/>
    </cacheField>
    <cacheField name="New-Total Grad SCH" numFmtId="3">
      <sharedItems containsSemiMixedTypes="0" containsString="0" containsNumber="1" minValue="0" maxValue="341650"/>
    </cacheField>
    <cacheField name="New-Total Grad FTE" numFmtId="3">
      <sharedItems containsSemiMixedTypes="0" containsString="0" containsNumber="1" minValue="0" maxValue="14235.416666666666"/>
    </cacheField>
    <cacheField name="Old Grand Total FTE" numFmtId="3">
      <sharedItems containsSemiMixedTypes="0" containsString="0" containsNumber="1" minValue="33.304444444444442" maxValue="119197.46666666666"/>
    </cacheField>
    <cacheField name="New Grand Total FTE" numFmtId="3">
      <sharedItems containsSemiMixedTypes="0" containsString="0" containsNumber="1" minValue="30.996666666666666" maxValue="114109.78333333334"/>
    </cacheField>
    <cacheField name="% Change Undg SCH FTE" numFmtId="0" formula="IF('Old-Total Undg SCH FTE'&gt;0,((('New-Total Undg SCH FTE'-'Old-Total Undg SCH FTE')/'Old-Total Undg SCH FTE')))" databaseField="0"/>
    <cacheField name="% Change Grad FTE" numFmtId="0" formula="IF('Old-Total Grad FTE'&gt;0, ((('New-Total Grad FTE'-'Old-Total Grad FTE')/'Old-Total Grad FTE')))" databaseField="0"/>
    <cacheField name="% Change Undg CH FTE" numFmtId="0" formula="IF('Old-Total Undg CH FTE'&gt;0,((('New-Total Undg CH FTE'-'Old-Total Undg CH FTE')/'Old-Total Undg CH FTE')))" databaseField="0"/>
    <cacheField name="New-Total HSH" numFmtId="0" formula="'New-Total HS SCH'+'New-Total HS CH'" databaseField="0"/>
    <cacheField name="New-Total UGH" numFmtId="0" formula="'New-Total Undg SCH'+'New-Total Undg CH'" databaseField="0"/>
    <cacheField name="New-HS % of Total" numFmtId="0" formula="IF(#NAME?&gt;0,(#NAME?/#NAME?))" databaseField="0"/>
    <cacheField name="Old-HS % of Total" numFmtId="0" formula="IF('Old-Total HSH'&gt;0,('Old-Total HSH'/'Old-Total UGH'),)" databaseField="0"/>
    <cacheField name="Category2" numFmtId="0" databaseField="0">
      <fieldGroup base="4">
        <discretePr count="19">
          <x v="2"/>
          <x v="2"/>
          <x v="2"/>
          <x v="2"/>
          <x v="2"/>
          <x v="2"/>
          <x v="3"/>
          <x v="3"/>
          <x v="3"/>
          <x v="4"/>
          <x v="4"/>
          <x v="3"/>
          <x v="1"/>
          <x v="5"/>
          <x v="6"/>
          <x v="7"/>
          <x v="8"/>
          <x v="4"/>
          <x v="0"/>
        </discretePr>
        <groupItems count="9">
          <n v="15"/>
          <n v="11"/>
          <s v="Group1"/>
          <s v="Group2"/>
          <s v="Group3"/>
          <n v="99"/>
          <s v="08b"/>
          <s v="09b"/>
          <s v="10b"/>
        </groupItems>
      </fieldGroup>
    </cacheField>
    <cacheField name="% Change Total FTE" numFmtId="0" formula="IF('Old Grand Total FTE'&gt;0, ((('New Grand Total FTE'-'Old Grand Total FTE')/'Old Grand Total FTE')))" databaseField="0"/>
    <cacheField name="Old-Total UGH" numFmtId="0" formula="'Old-Total Undg SCH'+'Old-Total Undg CH'" databaseField="0"/>
    <cacheField name="Old-Total HSH" numFmtId="0" formula="'Old-Total HS SCH'+'Old-Total HS CH'"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Lisa Cowan" refreshedDate="42772.691782754628" createdVersion="6" refreshedVersion="6" minRefreshableVersion="3" recordCount="676">
  <cacheSource type="worksheet">
    <worksheetSource ref="A6:AM682" sheet="SCH Data"/>
  </cacheSource>
  <cacheFields count="47">
    <cacheField name="State" numFmtId="49">
      <sharedItems count="16">
        <s v="AL"/>
        <s v="AR"/>
        <s v="DE"/>
        <s v="FL"/>
        <s v="GA"/>
        <s v="KY"/>
        <s v="LA"/>
        <s v="MD"/>
        <s v="MS"/>
        <s v="NC"/>
        <s v="OK"/>
        <s v="SC"/>
        <s v="TN"/>
        <s v="TX"/>
        <s v="VA"/>
        <s v="WV"/>
      </sharedItems>
    </cacheField>
    <cacheField name="Institution" numFmtId="0">
      <sharedItems containsBlank="1"/>
    </cacheField>
    <cacheField name="Note" numFmtId="0">
      <sharedItems containsBlank="1"/>
    </cacheField>
    <cacheField name="IPEDS ID #" numFmtId="0">
      <sharedItems containsBlank="1" containsMixedTypes="1" containsNumber="1" containsInteger="1" minValue="100654" maxValue="870501"/>
    </cacheField>
    <cacheField name="Category" numFmtId="0">
      <sharedItems containsMixedTypes="1" containsNumber="1" containsInteger="1" minValue="1" maxValue="99" count="19">
        <n v="1"/>
        <n v="2"/>
        <n v="3"/>
        <n v="4"/>
        <n v="5"/>
        <n v="6"/>
        <n v="9"/>
        <n v="8"/>
        <n v="10"/>
        <n v="12"/>
        <n v="13"/>
        <n v="7"/>
        <n v="11"/>
        <n v="99"/>
        <s v="08b"/>
        <s v="09b"/>
        <s v="10b"/>
        <n v="14" u="1"/>
        <n v="15" u="1"/>
      </sharedItems>
      <fieldGroup par="43"/>
    </cacheField>
    <cacheField name="Old-Term Code" numFmtId="165">
      <sharedItems containsBlank="1"/>
    </cacheField>
    <cacheField name="New-Term Code" numFmtId="0">
      <sharedItems containsBlank="1"/>
    </cacheField>
    <cacheField name="old-Winter Undg SCH" numFmtId="0">
      <sharedItems containsString="0" containsBlank="1" containsNumber="1" minValue="0" maxValue="558215"/>
    </cacheField>
    <cacheField name="new-Winter Undg SCH" numFmtId="0">
      <sharedItems containsString="0" containsBlank="1" containsNumber="1" minValue="0" maxValue="550686"/>
    </cacheField>
    <cacheField name="old-Spring Undg SCH" numFmtId="0">
      <sharedItems containsString="0" containsBlank="1" containsNumber="1" minValue="0" maxValue="1514250"/>
    </cacheField>
    <cacheField name="new-Spring Undg SCH" numFmtId="0">
      <sharedItems containsString="0" containsBlank="1" containsNumber="1" minValue="0" maxValue="1460345.5"/>
    </cacheField>
    <cacheField name="old-Summer Undg SCH" numFmtId="0">
      <sharedItems containsString="0" containsBlank="1" containsNumber="1" minValue="0" maxValue="478043"/>
    </cacheField>
    <cacheField name="new-Summer Undg SCH" numFmtId="0">
      <sharedItems containsString="0" containsBlank="1" containsNumber="1" minValue="0" maxValue="443495"/>
    </cacheField>
    <cacheField name="old-Fall Undg SCH" numFmtId="0">
      <sharedItems containsString="0" containsBlank="1" containsNumber="1" minValue="0" maxValue="1583631"/>
    </cacheField>
    <cacheField name="new-Fall Undg SCH" numFmtId="0">
      <sharedItems containsString="0" containsBlank="1" containsNumber="1" minValue="0" maxValue="1519453"/>
    </cacheField>
    <cacheField name="Old-Total Undg SCH" numFmtId="3">
      <sharedItems containsSemiMixedTypes="0" containsString="0" containsNumber="1" minValue="0" maxValue="3575924"/>
    </cacheField>
    <cacheField name="Old-Total Undg SCH FTE" numFmtId="3">
      <sharedItems containsSemiMixedTypes="0" containsString="0" containsNumber="1" minValue="0" maxValue="119197.46666666666"/>
    </cacheField>
    <cacheField name="New-Total Undg SCH" numFmtId="3">
      <sharedItems containsSemiMixedTypes="0" containsString="0" containsNumber="1" minValue="0" maxValue="3423293.5"/>
    </cacheField>
    <cacheField name="New-Total Undg SCH FTE" numFmtId="3">
      <sharedItems containsSemiMixedTypes="0" containsString="0" containsNumber="1" minValue="0" maxValue="114109.78333333334"/>
    </cacheField>
    <cacheField name="Old-Total HS SCH" numFmtId="0">
      <sharedItems containsString="0" containsBlank="1" containsNumber="1" minValue="0" maxValue="647312"/>
    </cacheField>
    <cacheField name="New-Total HS SCH" numFmtId="0">
      <sharedItems containsString="0" containsBlank="1" containsNumber="1" minValue="0" maxValue="693481"/>
    </cacheField>
    <cacheField name="Old-Total Undg SCH2" numFmtId="3">
      <sharedItems containsSemiMixedTypes="0" containsString="0" containsNumber="1" minValue="0" maxValue="3575924"/>
    </cacheField>
    <cacheField name="New-Total Undg SCH2" numFmtId="3">
      <sharedItems containsSemiMixedTypes="0" containsString="0" containsNumber="1" minValue="0" maxValue="3423293.5"/>
    </cacheField>
    <cacheField name="old-Winter Undg CH" numFmtId="0">
      <sharedItems containsString="0" containsBlank="1" containsNumber="1" containsInteger="1" minValue="0" maxValue="689363"/>
    </cacheField>
    <cacheField name="new-Winter Undg CH" numFmtId="0">
      <sharedItems containsString="0" containsBlank="1" containsNumber="1" containsInteger="1" minValue="0" maxValue="737303"/>
    </cacheField>
    <cacheField name="old-Spring Undg CH" numFmtId="0">
      <sharedItems containsString="0" containsBlank="1" containsNumber="1" containsInteger="1" minValue="0" maxValue="1036635"/>
    </cacheField>
    <cacheField name="new-Spring Undg CH" numFmtId="0">
      <sharedItems containsString="0" containsBlank="1" containsNumber="1" containsInteger="1" minValue="0" maxValue="1286127"/>
    </cacheField>
    <cacheField name="old-Summer Undg CH" numFmtId="0">
      <sharedItems containsString="0" containsBlank="1" containsNumber="1" minValue="0" maxValue="972658"/>
    </cacheField>
    <cacheField name="new-Summer Undg CH" numFmtId="0">
      <sharedItems containsString="0" containsBlank="1" containsNumber="1" containsInteger="1" minValue="0" maxValue="1112401"/>
    </cacheField>
    <cacheField name="old-Fall Undg CH" numFmtId="0">
      <sharedItems containsString="0" containsBlank="1" containsNumber="1" minValue="0" maxValue="1473299.25"/>
    </cacheField>
    <cacheField name="new-Fall Undg CH" numFmtId="0">
      <sharedItems containsString="0" containsBlank="1" containsNumber="1" minValue="0" maxValue="1635128.74"/>
    </cacheField>
    <cacheField name="Old-Total Undg CH" numFmtId="3">
      <sharedItems containsSemiMixedTypes="0" containsString="0" containsNumber="1" minValue="0" maxValue="3290129"/>
    </cacheField>
    <cacheField name="Old-Total Undg CH FTE" numFmtId="3">
      <sharedItems containsSemiMixedTypes="0" containsString="0" containsNumber="1" minValue="0" maxValue="3655.6988888888891"/>
    </cacheField>
    <cacheField name="New-Total Undg CH" numFmtId="3">
      <sharedItems containsSemiMixedTypes="0" containsString="0" containsNumber="1" minValue="0" maxValue="3663881"/>
    </cacheField>
    <cacheField name="New-Total Undg CH FTE" numFmtId="3">
      <sharedItems containsSemiMixedTypes="0" containsString="0" containsNumber="1" minValue="0" maxValue="4070.9788888888888"/>
    </cacheField>
    <cacheField name="Old-Total HS CH" numFmtId="0">
      <sharedItems containsString="0" containsBlank="1" containsNumber="1" containsInteger="1" minValue="0" maxValue="59201"/>
    </cacheField>
    <cacheField name="New-Total HS CH" numFmtId="0">
      <sharedItems containsString="0" containsBlank="1" containsNumber="1" containsInteger="1" minValue="0" maxValue="59870"/>
    </cacheField>
    <cacheField name="Old-Total Undg CH2" numFmtId="3">
      <sharedItems containsSemiMixedTypes="0" containsString="0" containsNumber="1" containsInteger="1" minValue="0" maxValue="3290129"/>
    </cacheField>
    <cacheField name="New-Total Undg CH2" numFmtId="3">
      <sharedItems containsSemiMixedTypes="0" containsString="0" containsNumber="1" containsInteger="1" minValue="0" maxValue="3663881"/>
    </cacheField>
    <cacheField name="New-Total HSH" numFmtId="0" formula="'New-Total HS SCH'+'New-Total HS CH'" databaseField="0"/>
    <cacheField name="New-Total UGH" numFmtId="0" formula="'New-Total Undg SCH2'+'New-Total Undg CH2'" databaseField="0"/>
    <cacheField name="New-HS % of Total" numFmtId="0" formula="IF('New-Total UGH'&gt;0,('New-Total HSH'/'New-Total UGH'))" databaseField="0"/>
    <cacheField name="Old-HS % of Total" numFmtId="0" formula="IF('Old-Total UGH'&gt;0,('Old-Total HSH'/'Old-Total UGH'),)" databaseField="0"/>
    <cacheField name="Category2" numFmtId="0" databaseField="0">
      <fieldGroup base="4">
        <discretePr count="19">
          <x v="2"/>
          <x v="2"/>
          <x v="2"/>
          <x v="2"/>
          <x v="2"/>
          <x v="2"/>
          <x v="3"/>
          <x v="3"/>
          <x v="3"/>
          <x v="4"/>
          <x v="4"/>
          <x v="3"/>
          <x v="1"/>
          <x v="5"/>
          <x v="6"/>
          <x v="7"/>
          <x v="8"/>
          <x v="4"/>
          <x v="0"/>
        </discretePr>
        <groupItems count="9">
          <n v="15"/>
          <n v="11"/>
          <s v="Group1"/>
          <s v="Group2"/>
          <s v="Group3"/>
          <n v="99"/>
          <s v="08b"/>
          <s v="09b"/>
          <s v="10b"/>
        </groupItems>
      </fieldGroup>
    </cacheField>
    <cacheField name="Old-Total UGH" numFmtId="0" formula="'Old-Total Undg SCH2'+'Old-Total Undg CH2'" databaseField="0"/>
    <cacheField name="Old-Total HSH" numFmtId="0" formula="'Old-Total HS SCH'+'Old-Total HS CH'" databaseField="0"/>
    <cacheField name="HS % Change" numFmtId="0" formula="'New-HS % of Total'-'Old-HS % of Total'"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76">
  <r>
    <x v="0"/>
    <s v="Auburn University"/>
    <m/>
    <n v="100858"/>
    <x v="0"/>
    <s v="sem"/>
    <m/>
    <m/>
    <m/>
    <n v="255585"/>
    <n v="268440"/>
    <n v="49674"/>
    <n v="51741"/>
    <n v="287456"/>
    <n v="302489"/>
    <n v="592715"/>
    <n v="19757.166666666668"/>
    <n v="622670"/>
    <n v="20755.666666666668"/>
    <n v="17"/>
    <n v="61"/>
    <n v="592715"/>
    <n v="622670"/>
    <m/>
    <m/>
    <m/>
    <m/>
    <m/>
    <m/>
    <m/>
    <m/>
    <n v="0"/>
    <n v="0"/>
    <n v="0"/>
    <n v="0"/>
    <m/>
    <m/>
    <n v="0"/>
    <n v="0"/>
    <m/>
    <m/>
    <n v="37648"/>
    <n v="39459"/>
    <n v="19786"/>
    <n v="20650"/>
    <n v="40591"/>
    <n v="41441"/>
    <n v="98025"/>
    <n v="4084.375"/>
    <n v="101550"/>
    <n v="4231.25"/>
    <n v="23841.541666666668"/>
    <n v="24986.916666666668"/>
  </r>
  <r>
    <x v="0"/>
    <s v="University of Alabama "/>
    <m/>
    <n v="100751"/>
    <x v="0"/>
    <s v="sem"/>
    <m/>
    <m/>
    <m/>
    <n v="371355"/>
    <n v="386563"/>
    <n v="66238"/>
    <n v="67656"/>
    <n v="414095"/>
    <n v="430243"/>
    <n v="851688"/>
    <n v="28389.599999999999"/>
    <n v="884462"/>
    <n v="29482.066666666666"/>
    <n v="4494"/>
    <n v="5593"/>
    <n v="851688"/>
    <n v="884462"/>
    <m/>
    <m/>
    <m/>
    <m/>
    <m/>
    <m/>
    <m/>
    <m/>
    <n v="0"/>
    <n v="0"/>
    <n v="0"/>
    <n v="0"/>
    <m/>
    <m/>
    <n v="0"/>
    <n v="0"/>
    <m/>
    <m/>
    <n v="41723"/>
    <n v="42143"/>
    <n v="11252"/>
    <n v="11721"/>
    <n v="42401"/>
    <n v="43177"/>
    <n v="95376"/>
    <n v="3974"/>
    <n v="97041"/>
    <n v="4043.375"/>
    <n v="32363.599999999999"/>
    <n v="33525.441666666666"/>
  </r>
  <r>
    <x v="0"/>
    <s v="University of Alabama at Birmingham"/>
    <m/>
    <n v="100663"/>
    <x v="1"/>
    <s v="sem"/>
    <m/>
    <m/>
    <m/>
    <n v="112541"/>
    <n v="112991"/>
    <n v="26137"/>
    <n v="26100"/>
    <n v="126836"/>
    <n v="123892"/>
    <n v="265514"/>
    <n v="8850.4666666666672"/>
    <n v="262983"/>
    <n v="8766.1"/>
    <n v="86"/>
    <n v="31"/>
    <n v="265514"/>
    <n v="262983"/>
    <m/>
    <m/>
    <m/>
    <m/>
    <m/>
    <m/>
    <m/>
    <m/>
    <n v="0"/>
    <n v="0"/>
    <n v="0"/>
    <n v="0"/>
    <m/>
    <m/>
    <n v="0"/>
    <n v="0"/>
    <m/>
    <m/>
    <n v="16749"/>
    <n v="16232"/>
    <n v="11010"/>
    <n v="11030"/>
    <n v="16534"/>
    <n v="15886"/>
    <n v="44293"/>
    <n v="1845.5416666666667"/>
    <n v="43148"/>
    <n v="1797.8333333333333"/>
    <n v="10696.008333333333"/>
    <n v="10563.933333333334"/>
  </r>
  <r>
    <x v="0"/>
    <s v="University of Alabama in Huntsville"/>
    <m/>
    <n v="100706"/>
    <x v="1"/>
    <s v="sem"/>
    <m/>
    <m/>
    <m/>
    <n v="62273"/>
    <n v="64786"/>
    <n v="15030"/>
    <n v="13914"/>
    <n v="68590"/>
    <n v="75343"/>
    <n v="145893"/>
    <n v="4863.1000000000004"/>
    <n v="154043"/>
    <n v="5134.7666666666664"/>
    <n v="383"/>
    <n v="511"/>
    <n v="145893"/>
    <n v="154043"/>
    <m/>
    <m/>
    <m/>
    <m/>
    <m/>
    <m/>
    <m/>
    <m/>
    <n v="0"/>
    <n v="0"/>
    <n v="0"/>
    <n v="0"/>
    <m/>
    <m/>
    <n v="0"/>
    <n v="0"/>
    <m/>
    <m/>
    <n v="9372"/>
    <n v="10519"/>
    <n v="4429"/>
    <n v="4510"/>
    <n v="11496"/>
    <n v="12387"/>
    <n v="25297"/>
    <n v="1054.0416666666667"/>
    <n v="27416"/>
    <n v="1142.3333333333333"/>
    <n v="5917.1416666666673"/>
    <n v="6277.0999999999995"/>
  </r>
  <r>
    <x v="0"/>
    <s v="Alabama Agricultural &amp; Mechanical University"/>
    <m/>
    <n v="100654"/>
    <x v="2"/>
    <s v="sem"/>
    <m/>
    <m/>
    <m/>
    <n v="50080"/>
    <n v="48321"/>
    <n v="3606"/>
    <n v="4202"/>
    <n v="59631"/>
    <n v="65574"/>
    <n v="113317"/>
    <n v="3777.2333333333331"/>
    <n v="118097"/>
    <n v="3936.5666666666666"/>
    <n v="0"/>
    <n v="0"/>
    <n v="113317"/>
    <n v="118097"/>
    <m/>
    <m/>
    <m/>
    <m/>
    <m/>
    <m/>
    <m/>
    <m/>
    <n v="0"/>
    <n v="0"/>
    <n v="0"/>
    <n v="0"/>
    <m/>
    <m/>
    <n v="0"/>
    <n v="0"/>
    <m/>
    <m/>
    <n v="7729"/>
    <n v="8228"/>
    <n v="3210"/>
    <n v="3673"/>
    <n v="8931"/>
    <n v="9039"/>
    <n v="19870"/>
    <n v="827.91666666666663"/>
    <n v="20940"/>
    <n v="872.5"/>
    <n v="4605.1499999999996"/>
    <n v="4809.0666666666666"/>
  </r>
  <r>
    <x v="0"/>
    <s v="Jacksonville State University "/>
    <m/>
    <n v="101480"/>
    <x v="2"/>
    <s v="sem"/>
    <m/>
    <m/>
    <m/>
    <n v="84761"/>
    <n v="83498"/>
    <n v="18424"/>
    <n v="17065"/>
    <n v="91399"/>
    <n v="87002"/>
    <n v="194584"/>
    <n v="6486.1333333333332"/>
    <n v="187565"/>
    <n v="6252.166666666667"/>
    <n v="2485"/>
    <n v="3573"/>
    <n v="194584"/>
    <n v="187565"/>
    <m/>
    <m/>
    <m/>
    <m/>
    <m/>
    <m/>
    <m/>
    <m/>
    <n v="0"/>
    <n v="0"/>
    <n v="0"/>
    <n v="0"/>
    <m/>
    <m/>
    <n v="0"/>
    <n v="0"/>
    <m/>
    <m/>
    <n v="5723"/>
    <n v="5640"/>
    <n v="3956"/>
    <n v="3462"/>
    <n v="6198"/>
    <n v="5679"/>
    <n v="15877"/>
    <n v="661.54166666666663"/>
    <n v="14781"/>
    <n v="615.875"/>
    <n v="7147.6750000000002"/>
    <n v="6868.041666666667"/>
  </r>
  <r>
    <x v="0"/>
    <s v="Troy University"/>
    <m/>
    <n v="102368"/>
    <x v="2"/>
    <s v="sem"/>
    <m/>
    <m/>
    <m/>
    <n v="119213"/>
    <n v="116695"/>
    <n v="23071"/>
    <n v="20021"/>
    <n v="126675"/>
    <n v="127244"/>
    <n v="268959"/>
    <n v="8965.2999999999993"/>
    <n v="263960"/>
    <n v="8798.6666666666661"/>
    <n v="1164"/>
    <n v="1531"/>
    <n v="268959"/>
    <n v="263960"/>
    <m/>
    <m/>
    <m/>
    <m/>
    <m/>
    <m/>
    <m/>
    <m/>
    <n v="0"/>
    <n v="0"/>
    <n v="0"/>
    <n v="0"/>
    <m/>
    <m/>
    <n v="0"/>
    <n v="0"/>
    <m/>
    <m/>
    <n v="15159"/>
    <n v="14671"/>
    <n v="6037"/>
    <n v="5405"/>
    <n v="15091"/>
    <n v="15119"/>
    <n v="36287"/>
    <n v="1511.9583333333333"/>
    <n v="35195"/>
    <n v="1466.4583333333333"/>
    <n v="10477.258333333333"/>
    <n v="10265.125"/>
  </r>
  <r>
    <x v="0"/>
    <s v="University of South Alabama"/>
    <m/>
    <n v="102094"/>
    <x v="2"/>
    <s v="sem"/>
    <m/>
    <m/>
    <m/>
    <n v="116401"/>
    <n v="121008"/>
    <n v="22924"/>
    <n v="23609"/>
    <n v="132614"/>
    <n v="137096"/>
    <n v="271939"/>
    <n v="9064.6333333333332"/>
    <n v="281713"/>
    <n v="9390.4333333333325"/>
    <n v="193"/>
    <n v="712"/>
    <n v="271939"/>
    <n v="281713"/>
    <m/>
    <m/>
    <m/>
    <m/>
    <m/>
    <m/>
    <m/>
    <m/>
    <n v="0"/>
    <n v="0"/>
    <n v="0"/>
    <n v="0"/>
    <m/>
    <m/>
    <n v="0"/>
    <n v="0"/>
    <m/>
    <m/>
    <n v="6801"/>
    <n v="7822"/>
    <n v="4285"/>
    <n v="5043"/>
    <n v="7744"/>
    <n v="8032"/>
    <n v="18830"/>
    <n v="784.58333333333337"/>
    <n v="20897"/>
    <n v="870.70833333333337"/>
    <n v="9849.2166666666672"/>
    <n v="10261.141666666666"/>
  </r>
  <r>
    <x v="0"/>
    <s v="Alabama State University "/>
    <s v="Met the criteria for Four-Year 3 in 2015-16."/>
    <n v="100724"/>
    <x v="3"/>
    <s v="sem"/>
    <m/>
    <m/>
    <m/>
    <n v="70728"/>
    <n v="66828"/>
    <n v="10234"/>
    <n v="10100"/>
    <n v="71143"/>
    <n v="72910"/>
    <n v="152105"/>
    <n v="5070.166666666667"/>
    <n v="149838"/>
    <n v="4994.6000000000004"/>
    <n v="0"/>
    <n v="120"/>
    <n v="152105"/>
    <n v="149838"/>
    <m/>
    <m/>
    <m/>
    <m/>
    <m/>
    <m/>
    <m/>
    <m/>
    <n v="0"/>
    <n v="0"/>
    <n v="0"/>
    <n v="0"/>
    <m/>
    <m/>
    <n v="0"/>
    <n v="0"/>
    <m/>
    <m/>
    <n v="6115"/>
    <n v="6183"/>
    <n v="2731"/>
    <n v="2937"/>
    <n v="6392"/>
    <n v="5951"/>
    <n v="15238"/>
    <n v="634.91666666666663"/>
    <n v="15071"/>
    <n v="627.95833333333337"/>
    <n v="5705.0833333333339"/>
    <n v="5622.5583333333334"/>
  </r>
  <r>
    <x v="0"/>
    <s v="Auburn University at Montgomery"/>
    <m/>
    <n v="100830"/>
    <x v="3"/>
    <s v="sem"/>
    <m/>
    <m/>
    <m/>
    <n v="45742"/>
    <n v="45597"/>
    <n v="11430"/>
    <n v="10864"/>
    <n v="51015"/>
    <n v="50202"/>
    <n v="108187"/>
    <n v="3606.2333333333331"/>
    <n v="106663"/>
    <n v="3555.4333333333334"/>
    <n v="131"/>
    <n v="108"/>
    <n v="108187"/>
    <n v="106663"/>
    <m/>
    <m/>
    <m/>
    <m/>
    <m/>
    <m/>
    <m/>
    <m/>
    <n v="0"/>
    <n v="0"/>
    <n v="0"/>
    <n v="0"/>
    <m/>
    <m/>
    <n v="0"/>
    <n v="0"/>
    <m/>
    <m/>
    <n v="4370"/>
    <n v="4185"/>
    <n v="2078"/>
    <n v="2152"/>
    <n v="4644"/>
    <n v="4362"/>
    <n v="11092"/>
    <n v="462.16666666666669"/>
    <n v="10699"/>
    <n v="445.79166666666669"/>
    <n v="4068.3999999999996"/>
    <n v="4001.2249999999999"/>
  </r>
  <r>
    <x v="0"/>
    <s v="University of North Alabama"/>
    <s v="Met the criteria for Four-Year 3 in 2014-15 and 2015-16."/>
    <n v="101879"/>
    <x v="3"/>
    <s v="sem"/>
    <m/>
    <m/>
    <m/>
    <n v="67207"/>
    <n v="65539"/>
    <n v="11356"/>
    <n v="11357"/>
    <n v="71137"/>
    <n v="74779"/>
    <n v="149700"/>
    <n v="4990"/>
    <n v="151675"/>
    <n v="5055.833333333333"/>
    <n v="2048"/>
    <n v="1905"/>
    <n v="149700"/>
    <n v="151675"/>
    <m/>
    <m/>
    <m/>
    <m/>
    <m/>
    <m/>
    <m/>
    <m/>
    <n v="0"/>
    <n v="0"/>
    <n v="0"/>
    <n v="0"/>
    <m/>
    <m/>
    <n v="0"/>
    <n v="0"/>
    <m/>
    <m/>
    <n v="5078"/>
    <n v="5192"/>
    <n v="2572"/>
    <n v="3143"/>
    <n v="5371"/>
    <n v="5760"/>
    <n v="13021"/>
    <n v="542.54166666666663"/>
    <n v="14095"/>
    <n v="587.29166666666663"/>
    <n v="5532.541666666667"/>
    <n v="5643.125"/>
  </r>
  <r>
    <x v="0"/>
    <s v="University of Montevallo"/>
    <m/>
    <n v="101709"/>
    <x v="4"/>
    <s v="sem"/>
    <m/>
    <m/>
    <m/>
    <n v="32709"/>
    <n v="32692"/>
    <n v="5307"/>
    <n v="3960"/>
    <n v="36096"/>
    <n v="34467"/>
    <n v="74112"/>
    <n v="2470.4"/>
    <n v="71119"/>
    <n v="2370.6333333333332"/>
    <n v="91"/>
    <n v="79"/>
    <n v="74112"/>
    <n v="71119"/>
    <m/>
    <m/>
    <m/>
    <m/>
    <m/>
    <m/>
    <m/>
    <m/>
    <n v="0"/>
    <n v="0"/>
    <n v="0"/>
    <n v="0"/>
    <m/>
    <m/>
    <n v="0"/>
    <n v="0"/>
    <m/>
    <m/>
    <n v="2825"/>
    <n v="3015"/>
    <n v="1839"/>
    <n v="2003"/>
    <n v="2895"/>
    <n v="3451"/>
    <n v="7559"/>
    <n v="314.95833333333331"/>
    <n v="8469"/>
    <n v="352.875"/>
    <n v="2785.3583333333336"/>
    <n v="2723.5083333333332"/>
  </r>
  <r>
    <x v="0"/>
    <s v="University of West Alabama"/>
    <m/>
    <n v="101587"/>
    <x v="4"/>
    <s v="sem"/>
    <m/>
    <m/>
    <m/>
    <n v="23105"/>
    <n v="23194"/>
    <n v="3224"/>
    <n v="3417"/>
    <n v="25446"/>
    <n v="26347"/>
    <n v="51775"/>
    <n v="1725.8333333333333"/>
    <n v="52958"/>
    <n v="1765.2666666666667"/>
    <n v="677"/>
    <n v="538"/>
    <n v="51775"/>
    <n v="52958"/>
    <m/>
    <m/>
    <m/>
    <m/>
    <m/>
    <m/>
    <m/>
    <m/>
    <n v="0"/>
    <n v="0"/>
    <n v="0"/>
    <n v="0"/>
    <m/>
    <m/>
    <n v="0"/>
    <n v="0"/>
    <m/>
    <m/>
    <n v="13280"/>
    <n v="12677"/>
    <n v="6832"/>
    <n v="7202"/>
    <n v="12115"/>
    <n v="12664"/>
    <n v="32227"/>
    <n v="1342.7916666666667"/>
    <n v="32543"/>
    <n v="1355.9583333333333"/>
    <n v="3068.625"/>
    <n v="3121.2249999999999"/>
  </r>
  <r>
    <x v="0"/>
    <s v="Athens State University"/>
    <m/>
    <n v="100812"/>
    <x v="5"/>
    <s v="sem"/>
    <m/>
    <m/>
    <m/>
    <n v="28323"/>
    <n v="27909"/>
    <n v="15291"/>
    <n v="13925"/>
    <n v="29757"/>
    <n v="28582"/>
    <n v="73371"/>
    <n v="2445.6999999999998"/>
    <n v="70416"/>
    <n v="2347.1999999999998"/>
    <n v="0"/>
    <n v="0"/>
    <n v="73371"/>
    <n v="70416"/>
    <m/>
    <m/>
    <m/>
    <m/>
    <m/>
    <m/>
    <m/>
    <m/>
    <n v="0"/>
    <n v="0"/>
    <n v="0"/>
    <n v="0"/>
    <m/>
    <m/>
    <n v="0"/>
    <n v="0"/>
    <m/>
    <m/>
    <m/>
    <m/>
    <m/>
    <m/>
    <m/>
    <m/>
    <n v="0"/>
    <n v="0"/>
    <n v="0"/>
    <n v="0"/>
    <n v="2445.6999999999998"/>
    <n v="2347.1999999999998"/>
  </r>
  <r>
    <x v="0"/>
    <s v="Gadsden State Community College"/>
    <s v="Reclassified: Met the criteria for Two-Year 2 in 2013-14, 2014-15, and 2015-16."/>
    <n v="101240"/>
    <x v="6"/>
    <s v="sem"/>
    <m/>
    <m/>
    <m/>
    <n v="54827"/>
    <n v="48967"/>
    <n v="21213"/>
    <n v="19473"/>
    <n v="53904"/>
    <n v="50607"/>
    <n v="129944"/>
    <n v="4331.4666666666662"/>
    <n v="119047"/>
    <n v="3968.2333333333331"/>
    <n v="3006"/>
    <n v="3356"/>
    <n v="129944"/>
    <n v="119047"/>
    <m/>
    <m/>
    <m/>
    <m/>
    <m/>
    <m/>
    <m/>
    <m/>
    <n v="0"/>
    <n v="0"/>
    <n v="0"/>
    <n v="0"/>
    <m/>
    <m/>
    <n v="0"/>
    <n v="0"/>
    <m/>
    <m/>
    <m/>
    <m/>
    <m/>
    <m/>
    <m/>
    <m/>
    <n v="0"/>
    <n v="0"/>
    <n v="0"/>
    <n v="0"/>
    <n v="4331.4666666666662"/>
    <n v="3968.2333333333331"/>
  </r>
  <r>
    <x v="0"/>
    <s v="Jefferson State Community College"/>
    <m/>
    <n v="101505"/>
    <x v="7"/>
    <s v="sem"/>
    <m/>
    <m/>
    <m/>
    <n v="66537"/>
    <n v="63475"/>
    <n v="34490"/>
    <n v="34347"/>
    <n v="72450"/>
    <n v="72520"/>
    <n v="173477"/>
    <n v="5782.5666666666666"/>
    <n v="170342"/>
    <n v="5678.0666666666666"/>
    <n v="5360"/>
    <n v="8099"/>
    <n v="173477"/>
    <n v="170342"/>
    <m/>
    <m/>
    <m/>
    <m/>
    <m/>
    <m/>
    <m/>
    <m/>
    <n v="0"/>
    <n v="0"/>
    <n v="0"/>
    <n v="0"/>
    <m/>
    <m/>
    <n v="0"/>
    <n v="0"/>
    <m/>
    <m/>
    <m/>
    <m/>
    <m/>
    <m/>
    <m/>
    <m/>
    <n v="0"/>
    <n v="0"/>
    <n v="0"/>
    <n v="0"/>
    <n v="5782.5666666666666"/>
    <n v="5678.0666666666666"/>
  </r>
  <r>
    <x v="0"/>
    <s v="John C. Calhoun State Community College "/>
    <m/>
    <n v="101514"/>
    <x v="7"/>
    <s v="sem"/>
    <m/>
    <m/>
    <m/>
    <n v="94699"/>
    <n v="88381"/>
    <n v="38971"/>
    <n v="39190"/>
    <n v="97594"/>
    <n v="89515"/>
    <n v="231264"/>
    <n v="7708.8"/>
    <n v="217086"/>
    <n v="7236.2"/>
    <n v="8536"/>
    <n v="8700"/>
    <n v="231264"/>
    <n v="217086"/>
    <m/>
    <m/>
    <m/>
    <m/>
    <m/>
    <m/>
    <m/>
    <m/>
    <n v="0"/>
    <n v="0"/>
    <n v="0"/>
    <n v="0"/>
    <m/>
    <m/>
    <n v="0"/>
    <n v="0"/>
    <m/>
    <m/>
    <m/>
    <m/>
    <m/>
    <m/>
    <m/>
    <m/>
    <n v="0"/>
    <n v="0"/>
    <n v="0"/>
    <n v="0"/>
    <n v="7708.8"/>
    <n v="7236.2"/>
  </r>
  <r>
    <x v="0"/>
    <s v="Bevill State Community College"/>
    <m/>
    <n v="102429"/>
    <x v="6"/>
    <s v="sem"/>
    <m/>
    <m/>
    <m/>
    <n v="33058"/>
    <n v="33070"/>
    <n v="14164"/>
    <n v="15523"/>
    <n v="36646"/>
    <n v="35895"/>
    <n v="83868"/>
    <n v="2795.6"/>
    <n v="84488"/>
    <n v="2816.2666666666669"/>
    <n v="2942"/>
    <n v="4969"/>
    <n v="83868"/>
    <n v="84488"/>
    <m/>
    <m/>
    <m/>
    <m/>
    <m/>
    <m/>
    <m/>
    <m/>
    <n v="0"/>
    <n v="0"/>
    <n v="0"/>
    <n v="0"/>
    <m/>
    <m/>
    <n v="0"/>
    <n v="0"/>
    <m/>
    <m/>
    <m/>
    <m/>
    <m/>
    <m/>
    <m/>
    <m/>
    <n v="0"/>
    <n v="0"/>
    <n v="0"/>
    <n v="0"/>
    <n v="2795.6"/>
    <n v="2816.2666666666669"/>
  </r>
  <r>
    <x v="0"/>
    <s v="Bishop State Community College"/>
    <m/>
    <n v="102030"/>
    <x v="6"/>
    <s v="sem"/>
    <m/>
    <m/>
    <m/>
    <n v="34307"/>
    <n v="30950"/>
    <n v="12046"/>
    <n v="10858"/>
    <n v="33382"/>
    <n v="30316"/>
    <n v="79735"/>
    <n v="2657.8333333333335"/>
    <n v="72124"/>
    <n v="2404.1333333333332"/>
    <n v="2696"/>
    <n v="3022"/>
    <n v="79735"/>
    <n v="72124"/>
    <m/>
    <m/>
    <m/>
    <m/>
    <m/>
    <m/>
    <m/>
    <m/>
    <n v="0"/>
    <n v="0"/>
    <n v="0"/>
    <n v="0"/>
    <m/>
    <m/>
    <n v="0"/>
    <n v="0"/>
    <m/>
    <m/>
    <m/>
    <m/>
    <m/>
    <m/>
    <m/>
    <m/>
    <n v="0"/>
    <n v="0"/>
    <n v="0"/>
    <n v="0"/>
    <n v="2657.8333333333335"/>
    <n v="2404.1333333333332"/>
  </r>
  <r>
    <x v="0"/>
    <s v="Enterprise-Ozark Community College"/>
    <s v="Met the criteria for Two-Year 3 in 2014-15 and 2015-16."/>
    <n v="101143"/>
    <x v="6"/>
    <s v="sem"/>
    <m/>
    <m/>
    <m/>
    <n v="23096"/>
    <n v="18637"/>
    <n v="8376"/>
    <n v="6708"/>
    <n v="21177"/>
    <n v="19300"/>
    <n v="52649"/>
    <n v="1754.9666666666667"/>
    <n v="44645"/>
    <n v="1488.1666666666667"/>
    <n v="3513"/>
    <n v="3899"/>
    <n v="52649"/>
    <n v="44645"/>
    <m/>
    <m/>
    <m/>
    <m/>
    <m/>
    <m/>
    <m/>
    <m/>
    <n v="0"/>
    <n v="0"/>
    <n v="0"/>
    <n v="0"/>
    <m/>
    <m/>
    <n v="0"/>
    <n v="0"/>
    <m/>
    <m/>
    <m/>
    <m/>
    <m/>
    <m/>
    <m/>
    <m/>
    <n v="0"/>
    <n v="0"/>
    <n v="0"/>
    <n v="0"/>
    <n v="1754.9666666666667"/>
    <n v="1488.1666666666667"/>
  </r>
  <r>
    <x v="0"/>
    <s v="George C. Wallace State Community College - Dothan"/>
    <m/>
    <n v="101286"/>
    <x v="6"/>
    <s v="sem"/>
    <m/>
    <m/>
    <m/>
    <n v="42652"/>
    <n v="43238"/>
    <n v="20145"/>
    <n v="19161"/>
    <n v="46731"/>
    <n v="45555"/>
    <n v="109528"/>
    <n v="3650.9333333333334"/>
    <n v="107954"/>
    <n v="3598.4666666666667"/>
    <n v="4182"/>
    <n v="5240"/>
    <n v="109528"/>
    <n v="107954"/>
    <m/>
    <m/>
    <m/>
    <m/>
    <m/>
    <m/>
    <m/>
    <m/>
    <n v="0"/>
    <n v="0"/>
    <n v="0"/>
    <n v="0"/>
    <m/>
    <m/>
    <n v="0"/>
    <n v="0"/>
    <m/>
    <m/>
    <m/>
    <m/>
    <m/>
    <m/>
    <m/>
    <m/>
    <n v="0"/>
    <n v="0"/>
    <n v="0"/>
    <n v="0"/>
    <n v="3650.9333333333334"/>
    <n v="3598.4666666666667"/>
  </r>
  <r>
    <x v="0"/>
    <s v="James H. Faulkner State Community College"/>
    <m/>
    <n v="101161"/>
    <x v="6"/>
    <s v="sem"/>
    <m/>
    <m/>
    <m/>
    <n v="45068"/>
    <n v="45677"/>
    <n v="18604"/>
    <n v="19322"/>
    <n v="48558"/>
    <n v="49973"/>
    <n v="112230"/>
    <n v="3741"/>
    <n v="114972"/>
    <n v="3832.4"/>
    <n v="2628"/>
    <n v="3028"/>
    <n v="112230"/>
    <n v="114972"/>
    <m/>
    <m/>
    <m/>
    <m/>
    <m/>
    <m/>
    <m/>
    <m/>
    <n v="0"/>
    <n v="0"/>
    <n v="0"/>
    <n v="0"/>
    <m/>
    <m/>
    <n v="0"/>
    <n v="0"/>
    <m/>
    <m/>
    <m/>
    <m/>
    <m/>
    <m/>
    <m/>
    <m/>
    <n v="0"/>
    <n v="0"/>
    <n v="0"/>
    <n v="0"/>
    <n v="3741"/>
    <n v="3832.4"/>
  </r>
  <r>
    <x v="0"/>
    <s v="Lawson State Community College "/>
    <m/>
    <n v="101569"/>
    <x v="6"/>
    <s v="sem"/>
    <m/>
    <m/>
    <m/>
    <n v="29443"/>
    <n v="29363"/>
    <n v="11734"/>
    <n v="11150"/>
    <n v="32569"/>
    <n v="33450"/>
    <n v="73746"/>
    <n v="2458.1999999999998"/>
    <n v="73963"/>
    <n v="2465.4333333333334"/>
    <n v="1347"/>
    <n v="1283"/>
    <n v="73746"/>
    <n v="73963"/>
    <m/>
    <m/>
    <m/>
    <m/>
    <m/>
    <m/>
    <m/>
    <m/>
    <n v="0"/>
    <n v="0"/>
    <n v="0"/>
    <n v="0"/>
    <m/>
    <m/>
    <n v="0"/>
    <n v="0"/>
    <m/>
    <m/>
    <m/>
    <m/>
    <m/>
    <m/>
    <m/>
    <m/>
    <n v="0"/>
    <n v="0"/>
    <n v="0"/>
    <n v="0"/>
    <n v="2458.1999999999998"/>
    <n v="2465.4333333333334"/>
  </r>
  <r>
    <x v="0"/>
    <s v="Northeast Alabama State Community College "/>
    <s v="Met the criteria for Two-Year 3 in 2015-16."/>
    <n v="101897"/>
    <x v="6"/>
    <s v="sem"/>
    <m/>
    <m/>
    <m/>
    <n v="24805"/>
    <n v="22853"/>
    <n v="10426"/>
    <n v="9114"/>
    <n v="26093"/>
    <n v="25274"/>
    <n v="61324"/>
    <n v="2044.1333333333334"/>
    <n v="57241"/>
    <n v="1908.0333333333333"/>
    <n v="4312"/>
    <n v="5915"/>
    <n v="61324"/>
    <n v="57241"/>
    <m/>
    <m/>
    <m/>
    <m/>
    <m/>
    <m/>
    <m/>
    <m/>
    <n v="0"/>
    <n v="0"/>
    <n v="0"/>
    <n v="0"/>
    <m/>
    <m/>
    <n v="0"/>
    <n v="0"/>
    <m/>
    <m/>
    <m/>
    <m/>
    <m/>
    <m/>
    <m/>
    <m/>
    <n v="0"/>
    <n v="0"/>
    <n v="0"/>
    <n v="0"/>
    <n v="2044.1333333333334"/>
    <n v="1908.0333333333333"/>
  </r>
  <r>
    <x v="0"/>
    <s v="Northwest-Shoals Community College"/>
    <m/>
    <n v="101736"/>
    <x v="6"/>
    <s v="sem"/>
    <m/>
    <m/>
    <m/>
    <n v="32954"/>
    <n v="32099"/>
    <n v="13250"/>
    <n v="12217"/>
    <n v="36788"/>
    <n v="33729"/>
    <n v="82992"/>
    <n v="2766.4"/>
    <n v="78045"/>
    <n v="2601.5"/>
    <n v="4479"/>
    <n v="5282"/>
    <n v="82992"/>
    <n v="78045"/>
    <m/>
    <m/>
    <m/>
    <m/>
    <m/>
    <m/>
    <m/>
    <m/>
    <n v="0"/>
    <n v="0"/>
    <n v="0"/>
    <n v="0"/>
    <m/>
    <m/>
    <n v="0"/>
    <n v="0"/>
    <m/>
    <m/>
    <m/>
    <m/>
    <m/>
    <m/>
    <m/>
    <m/>
    <n v="0"/>
    <n v="0"/>
    <n v="0"/>
    <n v="0"/>
    <n v="2766.4"/>
    <n v="2601.5"/>
  </r>
  <r>
    <x v="0"/>
    <s v="Shelton State Community College"/>
    <m/>
    <n v="102067"/>
    <x v="6"/>
    <s v="sem"/>
    <m/>
    <m/>
    <m/>
    <n v="46609"/>
    <n v="43730"/>
    <n v="21771"/>
    <n v="20194"/>
    <n v="49557"/>
    <n v="47297"/>
    <n v="117937"/>
    <n v="3931.2333333333331"/>
    <n v="111221"/>
    <n v="3707.3666666666668"/>
    <n v="640"/>
    <n v="1713"/>
    <n v="117937"/>
    <n v="111221"/>
    <m/>
    <m/>
    <m/>
    <m/>
    <m/>
    <m/>
    <m/>
    <m/>
    <n v="0"/>
    <n v="0"/>
    <n v="0"/>
    <n v="0"/>
    <m/>
    <m/>
    <n v="0"/>
    <n v="0"/>
    <m/>
    <m/>
    <m/>
    <m/>
    <m/>
    <m/>
    <m/>
    <m/>
    <n v="0"/>
    <n v="0"/>
    <n v="0"/>
    <n v="0"/>
    <n v="3931.2333333333331"/>
    <n v="3707.3666666666668"/>
  </r>
  <r>
    <x v="0"/>
    <s v="Southern Union State Community College"/>
    <m/>
    <n v="251260"/>
    <x v="6"/>
    <s v="sem"/>
    <m/>
    <m/>
    <m/>
    <n v="46656"/>
    <n v="47479"/>
    <n v="20181"/>
    <n v="20187"/>
    <n v="50994"/>
    <n v="50250"/>
    <n v="117831"/>
    <n v="3927.7"/>
    <n v="117916"/>
    <n v="3930.5333333333333"/>
    <n v="990"/>
    <n v="1443"/>
    <n v="117831"/>
    <n v="117916"/>
    <m/>
    <m/>
    <m/>
    <m/>
    <m/>
    <m/>
    <m/>
    <m/>
    <n v="0"/>
    <n v="0"/>
    <n v="0"/>
    <n v="0"/>
    <m/>
    <m/>
    <n v="0"/>
    <n v="0"/>
    <m/>
    <m/>
    <m/>
    <m/>
    <m/>
    <m/>
    <m/>
    <m/>
    <n v="0"/>
    <n v="0"/>
    <n v="0"/>
    <n v="0"/>
    <n v="3927.7"/>
    <n v="3930.5333333333333"/>
  </r>
  <r>
    <x v="0"/>
    <s v="Wallace Community College - Hanceville"/>
    <m/>
    <n v="101295"/>
    <x v="6"/>
    <s v="sem"/>
    <m/>
    <m/>
    <m/>
    <n v="52648"/>
    <n v="51463"/>
    <n v="22292"/>
    <n v="21595"/>
    <n v="57482"/>
    <n v="56467"/>
    <n v="132422"/>
    <n v="4414.0666666666666"/>
    <n v="129525"/>
    <n v="4317.5"/>
    <n v="5332"/>
    <n v="7022"/>
    <n v="132422"/>
    <n v="129525"/>
    <m/>
    <m/>
    <m/>
    <m/>
    <m/>
    <m/>
    <m/>
    <m/>
    <n v="0"/>
    <n v="0"/>
    <n v="0"/>
    <n v="0"/>
    <m/>
    <m/>
    <n v="0"/>
    <n v="0"/>
    <m/>
    <m/>
    <m/>
    <m/>
    <m/>
    <m/>
    <m/>
    <m/>
    <n v="0"/>
    <n v="0"/>
    <n v="0"/>
    <n v="0"/>
    <n v="4414.0666666666666"/>
    <n v="4317.5"/>
  </r>
  <r>
    <x v="0"/>
    <s v="Alabama Southern Community College"/>
    <m/>
    <n v="101949"/>
    <x v="8"/>
    <s v="sem"/>
    <m/>
    <m/>
    <m/>
    <n v="14297"/>
    <n v="14544"/>
    <n v="4768"/>
    <n v="4295"/>
    <n v="15473"/>
    <n v="14742"/>
    <n v="34538"/>
    <n v="1151.2666666666667"/>
    <n v="33581"/>
    <n v="1119.3666666666666"/>
    <n v="1811"/>
    <n v="2127"/>
    <n v="34538"/>
    <n v="33581"/>
    <m/>
    <m/>
    <m/>
    <m/>
    <m/>
    <m/>
    <m/>
    <m/>
    <n v="0"/>
    <n v="0"/>
    <n v="0"/>
    <n v="0"/>
    <m/>
    <m/>
    <n v="0"/>
    <n v="0"/>
    <m/>
    <m/>
    <m/>
    <m/>
    <m/>
    <m/>
    <m/>
    <m/>
    <n v="0"/>
    <n v="0"/>
    <n v="0"/>
    <n v="0"/>
    <n v="1151.2666666666667"/>
    <n v="1119.3666666666666"/>
  </r>
  <r>
    <x v="0"/>
    <s v="Central Alabama Community College"/>
    <m/>
    <n v="100760"/>
    <x v="8"/>
    <s v="sem"/>
    <m/>
    <m/>
    <m/>
    <n v="16746"/>
    <n v="17716"/>
    <n v="6955"/>
    <n v="6577"/>
    <n v="17198"/>
    <n v="18575"/>
    <n v="40899"/>
    <n v="1363.3"/>
    <n v="42868"/>
    <n v="1428.9333333333334"/>
    <n v="1207"/>
    <n v="1489"/>
    <n v="40899"/>
    <n v="42868"/>
    <m/>
    <m/>
    <m/>
    <m/>
    <m/>
    <m/>
    <m/>
    <m/>
    <n v="0"/>
    <n v="0"/>
    <n v="0"/>
    <n v="0"/>
    <m/>
    <m/>
    <n v="0"/>
    <n v="0"/>
    <m/>
    <m/>
    <m/>
    <m/>
    <m/>
    <m/>
    <m/>
    <m/>
    <n v="0"/>
    <n v="0"/>
    <n v="0"/>
    <n v="0"/>
    <n v="1363.3"/>
    <n v="1428.9333333333334"/>
  </r>
  <r>
    <x v="0"/>
    <s v="Chattahoochee Valley State Community College "/>
    <m/>
    <n v="101028"/>
    <x v="8"/>
    <s v="sem"/>
    <m/>
    <m/>
    <m/>
    <n v="18905"/>
    <n v="17771"/>
    <n v="7101"/>
    <n v="6812"/>
    <n v="18704"/>
    <n v="17259"/>
    <n v="44710"/>
    <n v="1490.3333333333333"/>
    <n v="41842"/>
    <n v="1394.7333333333333"/>
    <n v="654"/>
    <n v="748"/>
    <n v="44710"/>
    <n v="41842"/>
    <m/>
    <m/>
    <m/>
    <m/>
    <m/>
    <m/>
    <m/>
    <m/>
    <n v="0"/>
    <n v="0"/>
    <n v="0"/>
    <n v="0"/>
    <m/>
    <m/>
    <n v="0"/>
    <n v="0"/>
    <m/>
    <m/>
    <m/>
    <m/>
    <m/>
    <m/>
    <m/>
    <m/>
    <n v="0"/>
    <n v="0"/>
    <n v="0"/>
    <n v="0"/>
    <n v="1490.3333333333333"/>
    <n v="1394.7333333333333"/>
  </r>
  <r>
    <x v="0"/>
    <s v="George Corley Wallace State Community College - Selma"/>
    <m/>
    <n v="101301"/>
    <x v="8"/>
    <s v="sem"/>
    <m/>
    <m/>
    <m/>
    <n v="16109"/>
    <n v="17041"/>
    <n v="9316"/>
    <n v="9634"/>
    <n v="17250"/>
    <n v="16887"/>
    <n v="42675"/>
    <n v="1422.5"/>
    <n v="43562"/>
    <n v="1452.0666666666666"/>
    <n v="1608"/>
    <n v="2893"/>
    <n v="42675"/>
    <n v="43562"/>
    <m/>
    <m/>
    <m/>
    <m/>
    <m/>
    <m/>
    <m/>
    <m/>
    <n v="0"/>
    <n v="0"/>
    <n v="0"/>
    <n v="0"/>
    <m/>
    <m/>
    <n v="0"/>
    <n v="0"/>
    <m/>
    <m/>
    <m/>
    <m/>
    <m/>
    <m/>
    <m/>
    <m/>
    <n v="0"/>
    <n v="0"/>
    <n v="0"/>
    <n v="0"/>
    <n v="1422.5"/>
    <n v="1452.0666666666666"/>
  </r>
  <r>
    <x v="0"/>
    <s v="Jefferson Davis Community College"/>
    <m/>
    <n v="101499"/>
    <x v="8"/>
    <s v="sem"/>
    <m/>
    <m/>
    <m/>
    <n v="11916"/>
    <n v="11210"/>
    <n v="4574"/>
    <n v="4765"/>
    <n v="11556"/>
    <n v="12093"/>
    <n v="28046"/>
    <n v="934.86666666666667"/>
    <n v="28068"/>
    <n v="935.6"/>
    <n v="362"/>
    <n v="376"/>
    <n v="28046"/>
    <n v="28068"/>
    <m/>
    <m/>
    <m/>
    <m/>
    <m/>
    <m/>
    <m/>
    <m/>
    <n v="0"/>
    <n v="0"/>
    <n v="0"/>
    <n v="0"/>
    <m/>
    <m/>
    <n v="0"/>
    <n v="0"/>
    <m/>
    <m/>
    <m/>
    <m/>
    <m/>
    <m/>
    <m/>
    <m/>
    <n v="0"/>
    <n v="0"/>
    <n v="0"/>
    <n v="0"/>
    <n v="934.86666666666667"/>
    <n v="935.6"/>
  </r>
  <r>
    <x v="0"/>
    <s v="Lurleen B. Wallace Community College "/>
    <m/>
    <n v="101602"/>
    <x v="8"/>
    <s v="sem"/>
    <m/>
    <m/>
    <m/>
    <n v="15359"/>
    <n v="14667"/>
    <n v="6927"/>
    <n v="7250"/>
    <n v="17384"/>
    <n v="17982"/>
    <n v="39670"/>
    <n v="1322.3333333333333"/>
    <n v="39899"/>
    <n v="1329.9666666666667"/>
    <n v="1809"/>
    <n v="2537"/>
    <n v="39670"/>
    <n v="39899"/>
    <m/>
    <m/>
    <m/>
    <m/>
    <m/>
    <m/>
    <m/>
    <m/>
    <n v="0"/>
    <n v="0"/>
    <n v="0"/>
    <n v="0"/>
    <m/>
    <m/>
    <n v="0"/>
    <n v="0"/>
    <m/>
    <m/>
    <m/>
    <m/>
    <m/>
    <m/>
    <m/>
    <m/>
    <n v="0"/>
    <n v="0"/>
    <n v="0"/>
    <n v="0"/>
    <n v="1322.3333333333333"/>
    <n v="1329.9666666666667"/>
  </r>
  <r>
    <x v="0"/>
    <s v="Snead State Community College "/>
    <s v="Met the criteria for Two-Year 2 in 2015-16."/>
    <n v="102076"/>
    <x v="8"/>
    <s v="sem"/>
    <m/>
    <m/>
    <m/>
    <n v="25070"/>
    <n v="25199"/>
    <n v="7635"/>
    <n v="8981"/>
    <n v="27127"/>
    <n v="28862"/>
    <n v="59832"/>
    <n v="1994.4"/>
    <n v="63042"/>
    <n v="2101.4"/>
    <n v="1424"/>
    <n v="2241"/>
    <n v="59832"/>
    <n v="63042"/>
    <m/>
    <m/>
    <m/>
    <m/>
    <m/>
    <m/>
    <m/>
    <m/>
    <n v="0"/>
    <n v="0"/>
    <n v="0"/>
    <n v="0"/>
    <m/>
    <m/>
    <n v="0"/>
    <n v="0"/>
    <m/>
    <m/>
    <m/>
    <m/>
    <m/>
    <m/>
    <m/>
    <m/>
    <n v="0"/>
    <n v="0"/>
    <n v="0"/>
    <n v="0"/>
    <n v="1994.4"/>
    <n v="2101.4"/>
  </r>
  <r>
    <x v="0"/>
    <s v="Trenholm State Technical College "/>
    <m/>
    <n v="102313"/>
    <x v="9"/>
    <s v="sem"/>
    <m/>
    <m/>
    <m/>
    <n v="13295"/>
    <n v="13213"/>
    <n v="8035"/>
    <n v="8511"/>
    <n v="13464"/>
    <n v="14363"/>
    <n v="34794"/>
    <n v="1159.8"/>
    <n v="36087"/>
    <n v="1202.9000000000001"/>
    <n v="671"/>
    <n v="1100"/>
    <n v="34794"/>
    <n v="36087"/>
    <m/>
    <m/>
    <m/>
    <m/>
    <m/>
    <m/>
    <m/>
    <m/>
    <n v="0"/>
    <n v="0"/>
    <n v="0"/>
    <n v="0"/>
    <m/>
    <m/>
    <n v="0"/>
    <n v="0"/>
    <m/>
    <m/>
    <m/>
    <m/>
    <m/>
    <m/>
    <m/>
    <m/>
    <n v="0"/>
    <n v="0"/>
    <n v="0"/>
    <n v="0"/>
    <n v="1159.8"/>
    <n v="1202.9000000000001"/>
  </r>
  <r>
    <x v="0"/>
    <s v="J.F. Drake State Technical College "/>
    <m/>
    <n v="101462"/>
    <x v="10"/>
    <s v="sem"/>
    <m/>
    <m/>
    <m/>
    <n v="10855"/>
    <n v="9324"/>
    <n v="5338"/>
    <n v="4358"/>
    <n v="10415"/>
    <n v="9187"/>
    <n v="26608"/>
    <n v="886.93333333333328"/>
    <n v="22869"/>
    <n v="762.3"/>
    <n v="945"/>
    <n v="974"/>
    <n v="26608"/>
    <n v="22869"/>
    <m/>
    <m/>
    <m/>
    <m/>
    <m/>
    <m/>
    <m/>
    <m/>
    <n v="0"/>
    <n v="0"/>
    <n v="0"/>
    <n v="0"/>
    <m/>
    <m/>
    <n v="0"/>
    <n v="0"/>
    <m/>
    <m/>
    <m/>
    <m/>
    <m/>
    <m/>
    <m/>
    <m/>
    <n v="0"/>
    <n v="0"/>
    <n v="0"/>
    <n v="0"/>
    <n v="886.93333333333328"/>
    <n v="762.3"/>
  </r>
  <r>
    <x v="0"/>
    <s v="J.F. Ingram State Technical College "/>
    <m/>
    <n v="101471"/>
    <x v="10"/>
    <s v="sem"/>
    <m/>
    <m/>
    <m/>
    <n v="6279"/>
    <n v="6408"/>
    <n v="5059"/>
    <n v="5621"/>
    <n v="6300"/>
    <n v="5555"/>
    <n v="17638"/>
    <n v="587.93333333333328"/>
    <n v="17584"/>
    <n v="586.13333333333333"/>
    <n v="0"/>
    <n v="0"/>
    <n v="17638"/>
    <n v="17584"/>
    <m/>
    <m/>
    <m/>
    <m/>
    <m/>
    <m/>
    <m/>
    <m/>
    <n v="0"/>
    <n v="0"/>
    <n v="0"/>
    <n v="0"/>
    <m/>
    <m/>
    <n v="0"/>
    <n v="0"/>
    <m/>
    <m/>
    <m/>
    <m/>
    <m/>
    <m/>
    <m/>
    <m/>
    <n v="0"/>
    <n v="0"/>
    <n v="0"/>
    <n v="0"/>
    <n v="587.93333333333328"/>
    <n v="586.13333333333333"/>
  </r>
  <r>
    <x v="0"/>
    <s v="Reid State Technical College "/>
    <m/>
    <n v="101994"/>
    <x v="10"/>
    <s v="sem"/>
    <m/>
    <m/>
    <m/>
    <n v="4779"/>
    <n v="4265"/>
    <n v="2665"/>
    <n v="3166"/>
    <n v="5556"/>
    <n v="5351"/>
    <n v="13000"/>
    <n v="433.33333333333331"/>
    <n v="12782"/>
    <n v="426.06666666666666"/>
    <n v="1532"/>
    <n v="1466"/>
    <n v="13000"/>
    <n v="12782"/>
    <m/>
    <m/>
    <m/>
    <m/>
    <m/>
    <m/>
    <m/>
    <m/>
    <n v="0"/>
    <n v="0"/>
    <n v="0"/>
    <n v="0"/>
    <m/>
    <m/>
    <n v="0"/>
    <n v="0"/>
    <m/>
    <m/>
    <m/>
    <m/>
    <m/>
    <m/>
    <m/>
    <m/>
    <n v="0"/>
    <n v="0"/>
    <n v="0"/>
    <n v="0"/>
    <n v="433.33333333333331"/>
    <n v="426.06666666666666"/>
  </r>
  <r>
    <x v="1"/>
    <s v="University of Arkansas, Fayetteville"/>
    <m/>
    <n v="106397"/>
    <x v="0"/>
    <s v="sem"/>
    <s v="sem"/>
    <m/>
    <m/>
    <n v="271117"/>
    <n v="278945"/>
    <n v="43884"/>
    <n v="42509"/>
    <n v="306376"/>
    <n v="307647"/>
    <n v="621377"/>
    <n v="20712.566666666666"/>
    <n v="629101"/>
    <n v="20970.033333333333"/>
    <n v="4407"/>
    <n v="4956"/>
    <n v="621377"/>
    <n v="629101"/>
    <m/>
    <m/>
    <m/>
    <m/>
    <m/>
    <m/>
    <m/>
    <m/>
    <n v="0"/>
    <n v="0"/>
    <n v="0"/>
    <n v="0"/>
    <m/>
    <m/>
    <n v="0"/>
    <n v="0"/>
    <m/>
    <m/>
    <n v="33181"/>
    <n v="33245"/>
    <n v="11487"/>
    <n v="11879"/>
    <n v="34866"/>
    <n v="35111"/>
    <n v="79534"/>
    <n v="3313.9166666666665"/>
    <n v="80235"/>
    <n v="3343.125"/>
    <n v="24026.483333333334"/>
    <n v="24313.158333333333"/>
  </r>
  <r>
    <x v="1"/>
    <s v="University of Arkansas at Little Rock"/>
    <m/>
    <n v="106245"/>
    <x v="1"/>
    <s v="sem"/>
    <s v="sem"/>
    <m/>
    <m/>
    <n v="94880"/>
    <n v="91192"/>
    <n v="20938"/>
    <n v="20591"/>
    <n v="100097"/>
    <n v="100883"/>
    <n v="215915"/>
    <n v="7197.166666666667"/>
    <n v="212666"/>
    <n v="7088.8666666666668"/>
    <n v="16521"/>
    <n v="18674"/>
    <n v="215915"/>
    <n v="212666"/>
    <m/>
    <m/>
    <m/>
    <m/>
    <m/>
    <m/>
    <m/>
    <m/>
    <n v="0"/>
    <n v="0"/>
    <n v="0"/>
    <n v="0"/>
    <m/>
    <m/>
    <n v="0"/>
    <n v="0"/>
    <m/>
    <m/>
    <n v="18502"/>
    <n v="18619"/>
    <n v="5225"/>
    <n v="5192"/>
    <n v="19010"/>
    <n v="19379"/>
    <n v="42737"/>
    <n v="1780.7083333333333"/>
    <n v="43190"/>
    <n v="1799.5833333333333"/>
    <n v="8977.875"/>
    <n v="8888.4500000000007"/>
  </r>
  <r>
    <x v="1"/>
    <s v="Arkansas State University"/>
    <m/>
    <n v="106458"/>
    <x v="2"/>
    <s v="sem"/>
    <s v="sem"/>
    <m/>
    <m/>
    <n v="120797"/>
    <n v="118647"/>
    <n v="22462"/>
    <n v="20368"/>
    <n v="128496"/>
    <n v="126257"/>
    <n v="271755"/>
    <n v="9058.5"/>
    <n v="265272"/>
    <n v="8842.4"/>
    <n v="4174"/>
    <n v="3769"/>
    <n v="271755"/>
    <n v="265272"/>
    <m/>
    <m/>
    <m/>
    <m/>
    <m/>
    <m/>
    <m/>
    <m/>
    <n v="0"/>
    <n v="0"/>
    <n v="0"/>
    <n v="0"/>
    <m/>
    <m/>
    <n v="0"/>
    <n v="0"/>
    <m/>
    <m/>
    <n v="26572"/>
    <n v="26764"/>
    <n v="20318"/>
    <n v="23767"/>
    <n v="25567"/>
    <n v="29652"/>
    <n v="72457"/>
    <n v="3019.0416666666665"/>
    <n v="80183"/>
    <n v="3340.9583333333335"/>
    <n v="12077.541666666666"/>
    <n v="12183.358333333334"/>
  </r>
  <r>
    <x v="1"/>
    <s v="Arkansas Tech University"/>
    <m/>
    <n v="106467"/>
    <x v="2"/>
    <s v="sem"/>
    <s v="sem"/>
    <m/>
    <m/>
    <n v="99842"/>
    <n v="103407"/>
    <n v="14549"/>
    <n v="12561"/>
    <n v="115219"/>
    <n v="114789"/>
    <n v="229610"/>
    <n v="7653.666666666667"/>
    <n v="230757"/>
    <n v="7691.9"/>
    <n v="9933"/>
    <n v="11586"/>
    <n v="229610"/>
    <n v="230757"/>
    <m/>
    <m/>
    <m/>
    <m/>
    <m/>
    <m/>
    <m/>
    <m/>
    <n v="0"/>
    <n v="0"/>
    <n v="0"/>
    <n v="0"/>
    <m/>
    <m/>
    <n v="0"/>
    <n v="0"/>
    <m/>
    <m/>
    <n v="5120"/>
    <n v="5162"/>
    <n v="4719"/>
    <n v="5718"/>
    <n v="5483"/>
    <n v="5193"/>
    <n v="15322"/>
    <n v="638.41666666666663"/>
    <n v="16073"/>
    <n v="669.70833333333337"/>
    <n v="8292.0833333333339"/>
    <n v="8361.6083333333336"/>
  </r>
  <r>
    <x v="1"/>
    <s v="University of Central Arkansas "/>
    <m/>
    <n v="106704"/>
    <x v="2"/>
    <s v="sem"/>
    <s v="sem"/>
    <m/>
    <m/>
    <n v="118621"/>
    <n v="120885"/>
    <n v="17043"/>
    <n v="17934"/>
    <n v="132406"/>
    <n v="134060"/>
    <n v="268070"/>
    <n v="8935.6666666666661"/>
    <n v="272879"/>
    <n v="9095.9666666666672"/>
    <n v="2339"/>
    <n v="2592"/>
    <n v="268070"/>
    <n v="272879"/>
    <m/>
    <m/>
    <m/>
    <m/>
    <m/>
    <m/>
    <m/>
    <m/>
    <n v="0"/>
    <n v="0"/>
    <n v="0"/>
    <n v="0"/>
    <m/>
    <m/>
    <n v="0"/>
    <n v="0"/>
    <m/>
    <m/>
    <n v="13909"/>
    <n v="13680"/>
    <n v="9386"/>
    <n v="9572"/>
    <n v="14329"/>
    <n v="14366"/>
    <n v="37624"/>
    <n v="1567.6666666666667"/>
    <n v="37618"/>
    <n v="1567.4166666666667"/>
    <n v="10503.333333333332"/>
    <n v="10663.383333333333"/>
  </r>
  <r>
    <x v="1"/>
    <s v="Henderson State University"/>
    <m/>
    <n v="107071"/>
    <x v="3"/>
    <s v="sem"/>
    <s v="sem"/>
    <m/>
    <m/>
    <n v="41227"/>
    <n v="40270"/>
    <n v="5354"/>
    <n v="5167"/>
    <n v="45570"/>
    <n v="43649"/>
    <n v="92151"/>
    <n v="3071.7"/>
    <n v="89086"/>
    <n v="2969.5333333333333"/>
    <n v="86"/>
    <n v="40"/>
    <n v="92151"/>
    <n v="89086"/>
    <m/>
    <m/>
    <m/>
    <m/>
    <m/>
    <m/>
    <m/>
    <m/>
    <n v="0"/>
    <n v="0"/>
    <n v="0"/>
    <n v="0"/>
    <m/>
    <m/>
    <n v="0"/>
    <n v="0"/>
    <m/>
    <m/>
    <n v="2328"/>
    <n v="2290"/>
    <n v="3549"/>
    <n v="1563"/>
    <n v="2311"/>
    <n v="2460"/>
    <n v="8188"/>
    <n v="341.16666666666669"/>
    <n v="6313"/>
    <n v="263.04166666666669"/>
    <n v="3412.8666666666663"/>
    <n v="3232.5749999999998"/>
  </r>
  <r>
    <x v="1"/>
    <s v="Southern Arkansas University"/>
    <m/>
    <n v="107983"/>
    <x v="3"/>
    <s v="sem"/>
    <s v="sem"/>
    <m/>
    <m/>
    <n v="36768"/>
    <n v="37408"/>
    <n v="4933"/>
    <n v="4817"/>
    <n v="42631"/>
    <n v="44073"/>
    <n v="84332"/>
    <n v="2811.0666666666666"/>
    <n v="86298"/>
    <n v="2876.6"/>
    <n v="1787"/>
    <n v="1276"/>
    <n v="84332"/>
    <n v="86298"/>
    <m/>
    <m/>
    <m/>
    <m/>
    <m/>
    <m/>
    <m/>
    <m/>
    <n v="0"/>
    <n v="0"/>
    <n v="0"/>
    <n v="0"/>
    <m/>
    <m/>
    <n v="0"/>
    <n v="0"/>
    <m/>
    <m/>
    <n v="2610"/>
    <n v="3831"/>
    <n v="2216"/>
    <n v="3639"/>
    <n v="2967"/>
    <n v="6519"/>
    <n v="7793"/>
    <n v="324.70833333333331"/>
    <n v="13989"/>
    <n v="582.875"/>
    <n v="3135.7750000000001"/>
    <n v="3459.4749999999999"/>
  </r>
  <r>
    <x v="1"/>
    <s v="University of Arkansas at Monticello"/>
    <m/>
    <n v="106485"/>
    <x v="4"/>
    <s v="sem"/>
    <s v="sem"/>
    <m/>
    <m/>
    <n v="29880"/>
    <n v="31377"/>
    <n v="3850"/>
    <n v="3838"/>
    <n v="35726"/>
    <n v="32940"/>
    <n v="69456"/>
    <n v="2315.1999999999998"/>
    <n v="68155"/>
    <n v="2271.8333333333335"/>
    <n v="5592"/>
    <n v="6126"/>
    <n v="69456"/>
    <n v="68155"/>
    <m/>
    <m/>
    <m/>
    <m/>
    <m/>
    <m/>
    <m/>
    <m/>
    <n v="0"/>
    <n v="0"/>
    <n v="0"/>
    <n v="0"/>
    <m/>
    <m/>
    <n v="0"/>
    <n v="0"/>
    <m/>
    <m/>
    <n v="1044"/>
    <n v="1076"/>
    <n v="1201"/>
    <n v="1276"/>
    <n v="1162"/>
    <n v="1158"/>
    <n v="3407"/>
    <n v="141.95833333333334"/>
    <n v="3510"/>
    <n v="146.25"/>
    <n v="2457.1583333333333"/>
    <n v="2418.0833333333335"/>
  </r>
  <r>
    <x v="1"/>
    <s v="University of Arkansas at Fort Smith"/>
    <m/>
    <n v="108092"/>
    <x v="5"/>
    <s v="sem"/>
    <s v="sem"/>
    <m/>
    <m/>
    <n v="78074"/>
    <n v="76417"/>
    <n v="10205"/>
    <n v="8422"/>
    <n v="83236"/>
    <n v="81335"/>
    <n v="171515"/>
    <n v="5717.166666666667"/>
    <n v="166174"/>
    <n v="5539.1333333333332"/>
    <n v="9851"/>
    <n v="11956"/>
    <n v="171515"/>
    <n v="166174"/>
    <m/>
    <m/>
    <m/>
    <m/>
    <m/>
    <m/>
    <m/>
    <m/>
    <n v="0"/>
    <n v="0"/>
    <n v="0"/>
    <n v="0"/>
    <m/>
    <m/>
    <n v="0"/>
    <n v="0"/>
    <m/>
    <m/>
    <n v="0"/>
    <n v="0"/>
    <n v="0"/>
    <n v="0"/>
    <n v="0"/>
    <n v="36"/>
    <n v="0"/>
    <n v="0"/>
    <n v="36"/>
    <n v="1.5"/>
    <n v="5717.166666666667"/>
    <n v="5540.6333333333332"/>
  </r>
  <r>
    <x v="1"/>
    <s v="University of Arkansas at Pine Bluff"/>
    <m/>
    <n v="106412"/>
    <x v="5"/>
    <s v="sem"/>
    <s v="sem"/>
    <m/>
    <m/>
    <n v="30951"/>
    <n v="29717"/>
    <n v="4637"/>
    <n v="5052"/>
    <n v="33607"/>
    <n v="36067"/>
    <n v="69195"/>
    <n v="2306.5"/>
    <n v="70836"/>
    <n v="2361.1999999999998"/>
    <n v="0"/>
    <n v="3"/>
    <n v="69195"/>
    <n v="70836"/>
    <m/>
    <m/>
    <m/>
    <m/>
    <m/>
    <m/>
    <m/>
    <m/>
    <n v="0"/>
    <n v="0"/>
    <n v="0"/>
    <n v="0"/>
    <m/>
    <m/>
    <n v="0"/>
    <n v="0"/>
    <m/>
    <m/>
    <n v="560"/>
    <n v="775"/>
    <n v="215"/>
    <n v="383"/>
    <n v="729"/>
    <n v="732"/>
    <n v="1504"/>
    <n v="62.666666666666664"/>
    <n v="1890"/>
    <n v="78.75"/>
    <n v="2369.1666666666665"/>
    <n v="2439.9499999999998"/>
  </r>
  <r>
    <x v="1"/>
    <s v="Northwest Arkansas Community College "/>
    <s v="Met the criteria for Two-Year 2 in 2015-16. "/>
    <n v="367459"/>
    <x v="7"/>
    <s v="sem"/>
    <s v="sem"/>
    <m/>
    <m/>
    <n v="68788"/>
    <n v="65320"/>
    <n v="14868"/>
    <n v="14583"/>
    <n v="73750"/>
    <n v="69268"/>
    <n v="157406"/>
    <n v="5246.8666666666668"/>
    <n v="149171"/>
    <n v="4972.3666666666668"/>
    <n v="11899"/>
    <n v="15089"/>
    <n v="157406"/>
    <n v="149171"/>
    <m/>
    <m/>
    <m/>
    <m/>
    <m/>
    <m/>
    <m/>
    <m/>
    <n v="0"/>
    <n v="0"/>
    <n v="0"/>
    <n v="0"/>
    <m/>
    <m/>
    <n v="0"/>
    <n v="0"/>
    <m/>
    <m/>
    <m/>
    <m/>
    <m/>
    <m/>
    <m/>
    <m/>
    <n v="0"/>
    <n v="0"/>
    <n v="0"/>
    <n v="0"/>
    <n v="5246.8666666666668"/>
    <n v="4972.3666666666668"/>
  </r>
  <r>
    <x v="1"/>
    <s v="Pulaski Technical College"/>
    <m/>
    <n v="107664"/>
    <x v="7"/>
    <s v="sem"/>
    <s v="sem"/>
    <m/>
    <m/>
    <n v="98192"/>
    <n v="81915"/>
    <n v="16046"/>
    <n v="14732"/>
    <n v="91685"/>
    <n v="73881"/>
    <n v="205923"/>
    <n v="6864.1"/>
    <n v="170528"/>
    <n v="5684.2666666666664"/>
    <n v="6034"/>
    <n v="5180"/>
    <n v="205923"/>
    <n v="170528"/>
    <m/>
    <m/>
    <m/>
    <m/>
    <m/>
    <m/>
    <m/>
    <m/>
    <n v="0"/>
    <n v="0"/>
    <n v="0"/>
    <n v="0"/>
    <m/>
    <m/>
    <n v="0"/>
    <n v="0"/>
    <m/>
    <m/>
    <m/>
    <m/>
    <m/>
    <m/>
    <m/>
    <m/>
    <n v="0"/>
    <n v="0"/>
    <n v="0"/>
    <n v="0"/>
    <n v="6864.1"/>
    <n v="5684.2666666666664"/>
  </r>
  <r>
    <x v="1"/>
    <s v="Arkansas State University-Beebe"/>
    <m/>
    <n v="106449"/>
    <x v="6"/>
    <s v="sem"/>
    <s v="sem"/>
    <m/>
    <m/>
    <n v="40126"/>
    <n v="39417"/>
    <n v="7930"/>
    <n v="8153"/>
    <n v="43358"/>
    <n v="41906"/>
    <n v="91414"/>
    <n v="3047.1333333333332"/>
    <n v="89476"/>
    <n v="2982.5333333333333"/>
    <n v="8366"/>
    <n v="8243"/>
    <n v="91414"/>
    <n v="89476"/>
    <m/>
    <m/>
    <m/>
    <m/>
    <m/>
    <m/>
    <m/>
    <m/>
    <n v="0"/>
    <n v="0"/>
    <n v="0"/>
    <n v="0"/>
    <m/>
    <m/>
    <n v="0"/>
    <n v="0"/>
    <m/>
    <m/>
    <m/>
    <m/>
    <m/>
    <m/>
    <m/>
    <m/>
    <n v="0"/>
    <n v="0"/>
    <n v="0"/>
    <n v="0"/>
    <n v="3047.1333333333332"/>
    <n v="2982.5333333333333"/>
  </r>
  <r>
    <x v="1"/>
    <s v="National Park College"/>
    <s v="Met the criteria for Two-Year 3 in 2015-16. "/>
    <n v="106980"/>
    <x v="6"/>
    <s v="sem"/>
    <s v="sem"/>
    <m/>
    <m/>
    <n v="28512"/>
    <n v="24727"/>
    <n v="4128"/>
    <n v="3677"/>
    <n v="29115"/>
    <n v="29680"/>
    <n v="61755"/>
    <n v="2058.5"/>
    <n v="58084"/>
    <n v="1936.1333333333334"/>
    <n v="5243"/>
    <n v="6979"/>
    <n v="61755"/>
    <n v="58084"/>
    <m/>
    <m/>
    <m/>
    <m/>
    <m/>
    <m/>
    <m/>
    <m/>
    <n v="0"/>
    <n v="0"/>
    <n v="0"/>
    <n v="0"/>
    <m/>
    <m/>
    <n v="0"/>
    <n v="0"/>
    <m/>
    <m/>
    <m/>
    <m/>
    <m/>
    <m/>
    <m/>
    <m/>
    <n v="0"/>
    <n v="0"/>
    <n v="0"/>
    <n v="0"/>
    <n v="2058.5"/>
    <n v="1936.1333333333334"/>
  </r>
  <r>
    <x v="1"/>
    <s v="Arkansas Northeastern College"/>
    <m/>
    <n v="107327"/>
    <x v="8"/>
    <s v="sem"/>
    <s v="sem"/>
    <m/>
    <m/>
    <n v="11975"/>
    <n v="12276"/>
    <n v="2120"/>
    <n v="2476"/>
    <n v="12893"/>
    <n v="12918"/>
    <n v="26988"/>
    <n v="899.6"/>
    <n v="27670"/>
    <n v="922.33333333333337"/>
    <n v="1683"/>
    <n v="2208"/>
    <n v="26988"/>
    <n v="27670"/>
    <m/>
    <m/>
    <m/>
    <m/>
    <m/>
    <m/>
    <m/>
    <m/>
    <n v="0"/>
    <n v="0"/>
    <n v="0"/>
    <n v="0"/>
    <m/>
    <m/>
    <n v="0"/>
    <n v="0"/>
    <m/>
    <m/>
    <m/>
    <m/>
    <m/>
    <m/>
    <m/>
    <m/>
    <n v="0"/>
    <n v="0"/>
    <n v="0"/>
    <n v="0"/>
    <n v="899.6"/>
    <n v="922.33333333333337"/>
  </r>
  <r>
    <x v="1"/>
    <s v="Arkansas State University Mid-South"/>
    <m/>
    <n v="107318"/>
    <x v="8"/>
    <s v="sem"/>
    <s v="sem"/>
    <m/>
    <m/>
    <n v="15629"/>
    <n v="13838"/>
    <n v="2373"/>
    <n v="2055"/>
    <n v="16218"/>
    <n v="15950"/>
    <n v="34220"/>
    <n v="1140.6666666666667"/>
    <n v="31843"/>
    <n v="1061.4333333333334"/>
    <n v="6268"/>
    <n v="8238"/>
    <n v="34220"/>
    <n v="31843"/>
    <m/>
    <m/>
    <m/>
    <m/>
    <m/>
    <m/>
    <m/>
    <m/>
    <n v="0"/>
    <n v="0"/>
    <n v="0"/>
    <n v="0"/>
    <m/>
    <m/>
    <n v="0"/>
    <n v="0"/>
    <m/>
    <m/>
    <m/>
    <m/>
    <m/>
    <m/>
    <m/>
    <m/>
    <n v="0"/>
    <n v="0"/>
    <n v="0"/>
    <n v="0"/>
    <n v="1140.6666666666667"/>
    <n v="1061.4333333333334"/>
  </r>
  <r>
    <x v="1"/>
    <s v="Arkansas State University Mountain Home"/>
    <m/>
    <n v="420538"/>
    <x v="8"/>
    <s v="sem"/>
    <s v="sem"/>
    <m/>
    <m/>
    <n v="15109"/>
    <n v="13873"/>
    <n v="2911"/>
    <n v="3161"/>
    <n v="15645"/>
    <n v="15539"/>
    <n v="33665"/>
    <n v="1122.1666666666667"/>
    <n v="32573"/>
    <n v="1085.7666666666667"/>
    <n v="818"/>
    <n v="1796"/>
    <n v="33665"/>
    <n v="32573"/>
    <m/>
    <m/>
    <m/>
    <m/>
    <m/>
    <m/>
    <m/>
    <m/>
    <n v="0"/>
    <n v="0"/>
    <n v="0"/>
    <n v="0"/>
    <m/>
    <m/>
    <n v="0"/>
    <n v="0"/>
    <m/>
    <m/>
    <m/>
    <m/>
    <m/>
    <m/>
    <m/>
    <m/>
    <n v="0"/>
    <n v="0"/>
    <n v="0"/>
    <n v="0"/>
    <n v="1122.1666666666667"/>
    <n v="1085.7666666666667"/>
  </r>
  <r>
    <x v="1"/>
    <s v="Arkansas State University-Newport"/>
    <m/>
    <n v="440402"/>
    <x v="8"/>
    <s v="sem"/>
    <s v="sem"/>
    <m/>
    <m/>
    <n v="19236"/>
    <n v="21194"/>
    <n v="7940"/>
    <n v="8845"/>
    <n v="21789"/>
    <n v="23364"/>
    <n v="48965"/>
    <n v="1632.1666666666667"/>
    <n v="53403"/>
    <n v="1780.1"/>
    <n v="10204"/>
    <n v="12939"/>
    <n v="48965"/>
    <n v="53403"/>
    <m/>
    <m/>
    <m/>
    <m/>
    <m/>
    <m/>
    <m/>
    <m/>
    <n v="0"/>
    <n v="0"/>
    <n v="0"/>
    <n v="0"/>
    <m/>
    <m/>
    <n v="0"/>
    <n v="0"/>
    <m/>
    <m/>
    <m/>
    <m/>
    <m/>
    <m/>
    <m/>
    <m/>
    <n v="0"/>
    <n v="0"/>
    <n v="0"/>
    <n v="0"/>
    <n v="1632.1666666666667"/>
    <n v="1780.1"/>
  </r>
  <r>
    <x v="1"/>
    <s v="Black River Technical College"/>
    <m/>
    <n v="106625"/>
    <x v="8"/>
    <s v="sem"/>
    <s v="sem"/>
    <m/>
    <m/>
    <n v="22303"/>
    <n v="19008"/>
    <n v="4568"/>
    <n v="2756"/>
    <n v="21953"/>
    <n v="18567"/>
    <n v="48824"/>
    <n v="1627.4666666666667"/>
    <n v="40331"/>
    <n v="1344.3666666666666"/>
    <n v="3980"/>
    <n v="4252"/>
    <n v="48824"/>
    <n v="40331"/>
    <m/>
    <m/>
    <m/>
    <m/>
    <m/>
    <m/>
    <m/>
    <m/>
    <n v="0"/>
    <n v="0"/>
    <n v="0"/>
    <n v="0"/>
    <m/>
    <m/>
    <n v="0"/>
    <n v="0"/>
    <m/>
    <m/>
    <m/>
    <m/>
    <m/>
    <m/>
    <m/>
    <m/>
    <n v="0"/>
    <n v="0"/>
    <n v="0"/>
    <n v="0"/>
    <n v="1627.4666666666667"/>
    <n v="1344.3666666666666"/>
  </r>
  <r>
    <x v="1"/>
    <s v="College of the Ouachitas"/>
    <m/>
    <n v="107521"/>
    <x v="8"/>
    <s v="sem"/>
    <s v="sem"/>
    <m/>
    <m/>
    <n v="12544"/>
    <n v="11830"/>
    <n v="2372"/>
    <n v="2925"/>
    <n v="12769"/>
    <n v="11110"/>
    <n v="27685"/>
    <n v="922.83333333333337"/>
    <n v="25865"/>
    <n v="862.16666666666663"/>
    <n v="6491"/>
    <n v="4796"/>
    <n v="27685"/>
    <n v="25865"/>
    <m/>
    <m/>
    <m/>
    <m/>
    <m/>
    <m/>
    <m/>
    <m/>
    <n v="0"/>
    <n v="0"/>
    <n v="0"/>
    <n v="0"/>
    <m/>
    <m/>
    <n v="0"/>
    <n v="0"/>
    <m/>
    <m/>
    <m/>
    <m/>
    <m/>
    <m/>
    <m/>
    <m/>
    <n v="0"/>
    <n v="0"/>
    <n v="0"/>
    <n v="0"/>
    <n v="922.83333333333337"/>
    <n v="862.16666666666663"/>
  </r>
  <r>
    <x v="1"/>
    <s v="Cossatot Community College of the University of Arkansas"/>
    <m/>
    <n v="106795"/>
    <x v="8"/>
    <s v="sem"/>
    <s v="sem"/>
    <m/>
    <m/>
    <n v="13750"/>
    <n v="12880"/>
    <n v="2481"/>
    <n v="2421"/>
    <n v="13569"/>
    <n v="13589"/>
    <n v="29800"/>
    <n v="993.33333333333337"/>
    <n v="28890"/>
    <n v="963"/>
    <n v="4529"/>
    <n v="5520"/>
    <n v="29800"/>
    <n v="28890"/>
    <m/>
    <m/>
    <m/>
    <m/>
    <m/>
    <m/>
    <m/>
    <m/>
    <n v="0"/>
    <n v="0"/>
    <n v="0"/>
    <n v="0"/>
    <m/>
    <m/>
    <n v="0"/>
    <n v="0"/>
    <m/>
    <m/>
    <m/>
    <m/>
    <m/>
    <m/>
    <m/>
    <m/>
    <n v="0"/>
    <n v="0"/>
    <n v="0"/>
    <n v="0"/>
    <n v="993.33333333333337"/>
    <n v="963"/>
  </r>
  <r>
    <x v="1"/>
    <s v="East Arkansas Community College "/>
    <m/>
    <n v="106883"/>
    <x v="8"/>
    <s v="sem"/>
    <s v="sem"/>
    <m/>
    <m/>
    <n v="10708"/>
    <n v="9915"/>
    <n v="2969"/>
    <n v="3224"/>
    <n v="10679"/>
    <n v="10351"/>
    <n v="24356"/>
    <n v="811.86666666666667"/>
    <n v="23490"/>
    <n v="783"/>
    <n v="3821"/>
    <n v="3669"/>
    <n v="24356"/>
    <n v="23490"/>
    <m/>
    <m/>
    <m/>
    <m/>
    <m/>
    <m/>
    <m/>
    <m/>
    <n v="0"/>
    <n v="0"/>
    <n v="0"/>
    <n v="0"/>
    <m/>
    <m/>
    <n v="0"/>
    <n v="0"/>
    <m/>
    <m/>
    <m/>
    <m/>
    <m/>
    <m/>
    <m/>
    <m/>
    <n v="0"/>
    <n v="0"/>
    <n v="0"/>
    <n v="0"/>
    <n v="811.86666666666667"/>
    <n v="783"/>
  </r>
  <r>
    <x v="1"/>
    <s v="North Arkansas College"/>
    <m/>
    <n v="107460"/>
    <x v="8"/>
    <s v="sem"/>
    <s v="sem"/>
    <m/>
    <m/>
    <n v="21413"/>
    <n v="19094"/>
    <n v="2427"/>
    <n v="2324"/>
    <n v="21439"/>
    <n v="19636"/>
    <n v="45279"/>
    <n v="1509.3"/>
    <n v="41054"/>
    <n v="1368.4666666666667"/>
    <n v="2490"/>
    <n v="2529"/>
    <n v="45279"/>
    <n v="41054"/>
    <m/>
    <m/>
    <m/>
    <m/>
    <m/>
    <m/>
    <m/>
    <m/>
    <n v="0"/>
    <n v="0"/>
    <n v="0"/>
    <n v="0"/>
    <m/>
    <m/>
    <n v="0"/>
    <n v="0"/>
    <m/>
    <m/>
    <m/>
    <m/>
    <m/>
    <m/>
    <m/>
    <m/>
    <n v="0"/>
    <n v="0"/>
    <n v="0"/>
    <n v="0"/>
    <n v="1509.3"/>
    <n v="1368.4666666666667"/>
  </r>
  <r>
    <x v="1"/>
    <s v="Ozarka College "/>
    <m/>
    <n v="107549"/>
    <x v="8"/>
    <s v="sem"/>
    <s v="sem"/>
    <m/>
    <m/>
    <n v="13498"/>
    <n v="11959"/>
    <n v="3020"/>
    <n v="2572"/>
    <n v="13358"/>
    <n v="11257"/>
    <n v="29876"/>
    <n v="995.86666666666667"/>
    <n v="25788"/>
    <n v="859.6"/>
    <n v="2401"/>
    <n v="2648"/>
    <n v="29876"/>
    <n v="25788"/>
    <m/>
    <m/>
    <m/>
    <m/>
    <m/>
    <m/>
    <m/>
    <m/>
    <n v="0"/>
    <n v="0"/>
    <n v="0"/>
    <n v="0"/>
    <m/>
    <m/>
    <n v="0"/>
    <n v="0"/>
    <m/>
    <m/>
    <m/>
    <m/>
    <m/>
    <m/>
    <m/>
    <m/>
    <n v="0"/>
    <n v="0"/>
    <n v="0"/>
    <n v="0"/>
    <n v="995.86666666666667"/>
    <n v="859.6"/>
  </r>
  <r>
    <x v="1"/>
    <s v="Phillips Community College of the Univ of Arkansas"/>
    <m/>
    <n v="107619"/>
    <x v="8"/>
    <s v="sem"/>
    <s v="sem"/>
    <m/>
    <m/>
    <n v="14432"/>
    <n v="12722"/>
    <n v="2036"/>
    <n v="1941"/>
    <n v="14870"/>
    <n v="13850"/>
    <n v="31338"/>
    <n v="1044.5999999999999"/>
    <n v="28513"/>
    <n v="950.43333333333328"/>
    <n v="7639"/>
    <n v="7344"/>
    <n v="31338"/>
    <n v="28513"/>
    <m/>
    <m/>
    <m/>
    <m/>
    <m/>
    <m/>
    <m/>
    <m/>
    <n v="0"/>
    <n v="0"/>
    <n v="0"/>
    <n v="0"/>
    <m/>
    <m/>
    <n v="0"/>
    <n v="0"/>
    <m/>
    <m/>
    <m/>
    <m/>
    <m/>
    <m/>
    <m/>
    <m/>
    <n v="0"/>
    <n v="0"/>
    <n v="0"/>
    <n v="0"/>
    <n v="1044.5999999999999"/>
    <n v="950.43333333333328"/>
  </r>
  <r>
    <x v="1"/>
    <s v="Rich Mountain Community College "/>
    <m/>
    <n v="107743"/>
    <x v="8"/>
    <s v="sem"/>
    <s v="sem"/>
    <m/>
    <m/>
    <n v="7873"/>
    <n v="7084"/>
    <n v="1626"/>
    <n v="1390"/>
    <n v="8389"/>
    <n v="7943"/>
    <n v="17888"/>
    <n v="596.26666666666665"/>
    <n v="16417"/>
    <n v="547.23333333333335"/>
    <n v="2897"/>
    <n v="2973"/>
    <n v="17888"/>
    <n v="16417"/>
    <m/>
    <m/>
    <m/>
    <m/>
    <m/>
    <m/>
    <m/>
    <m/>
    <n v="0"/>
    <n v="0"/>
    <n v="0"/>
    <n v="0"/>
    <m/>
    <m/>
    <n v="0"/>
    <n v="0"/>
    <m/>
    <m/>
    <m/>
    <m/>
    <m/>
    <m/>
    <m/>
    <m/>
    <n v="0"/>
    <n v="0"/>
    <n v="0"/>
    <n v="0"/>
    <n v="596.26666666666665"/>
    <n v="547.23333333333335"/>
  </r>
  <r>
    <x v="1"/>
    <s v="South Arkansas Community College"/>
    <m/>
    <n v="107974"/>
    <x v="8"/>
    <s v="sem"/>
    <s v="sem"/>
    <m/>
    <m/>
    <n v="16020"/>
    <n v="14359"/>
    <n v="4749"/>
    <n v="5007"/>
    <n v="16017"/>
    <n v="14458"/>
    <n v="36786"/>
    <n v="1226.2"/>
    <n v="33824"/>
    <n v="1127.4666666666667"/>
    <n v="2682"/>
    <n v="2742"/>
    <n v="36786"/>
    <n v="33824"/>
    <m/>
    <m/>
    <m/>
    <m/>
    <m/>
    <m/>
    <m/>
    <m/>
    <n v="0"/>
    <n v="0"/>
    <n v="0"/>
    <n v="0"/>
    <m/>
    <m/>
    <n v="0"/>
    <n v="0"/>
    <m/>
    <m/>
    <m/>
    <m/>
    <m/>
    <m/>
    <m/>
    <m/>
    <n v="0"/>
    <n v="0"/>
    <n v="0"/>
    <n v="0"/>
    <n v="1226.2"/>
    <n v="1127.4666666666667"/>
  </r>
  <r>
    <x v="1"/>
    <s v="Southeast Arkansas College"/>
    <m/>
    <n v="107637"/>
    <x v="8"/>
    <s v="sem"/>
    <s v="sem"/>
    <m/>
    <m/>
    <n v="15635"/>
    <n v="13275"/>
    <n v="3526"/>
    <n v="3755"/>
    <n v="14463"/>
    <n v="14298"/>
    <n v="33624"/>
    <n v="1120.8"/>
    <n v="31328"/>
    <n v="1044.2666666666667"/>
    <n v="716"/>
    <n v="814"/>
    <n v="33624"/>
    <n v="31328"/>
    <m/>
    <m/>
    <m/>
    <m/>
    <m/>
    <m/>
    <m/>
    <m/>
    <n v="0"/>
    <n v="0"/>
    <n v="0"/>
    <n v="0"/>
    <m/>
    <m/>
    <n v="0"/>
    <n v="0"/>
    <m/>
    <m/>
    <m/>
    <m/>
    <m/>
    <m/>
    <m/>
    <m/>
    <n v="0"/>
    <n v="0"/>
    <n v="0"/>
    <n v="0"/>
    <n v="1120.8"/>
    <n v="1044.2666666666667"/>
  </r>
  <r>
    <x v="1"/>
    <s v="Southern Arkansas University Tech"/>
    <m/>
    <n v="107992"/>
    <x v="8"/>
    <s v="sem"/>
    <s v="sem"/>
    <m/>
    <m/>
    <n v="19098"/>
    <n v="15991"/>
    <n v="4304"/>
    <n v="4977"/>
    <n v="13171"/>
    <n v="13000"/>
    <n v="36573"/>
    <n v="1219.0999999999999"/>
    <n v="33968"/>
    <n v="1132.2666666666667"/>
    <n v="9473"/>
    <n v="9741"/>
    <n v="36573"/>
    <n v="33968"/>
    <m/>
    <m/>
    <m/>
    <m/>
    <m/>
    <m/>
    <m/>
    <m/>
    <n v="0"/>
    <n v="0"/>
    <n v="0"/>
    <n v="0"/>
    <m/>
    <m/>
    <n v="0"/>
    <n v="0"/>
    <m/>
    <m/>
    <m/>
    <m/>
    <m/>
    <m/>
    <m/>
    <m/>
    <n v="0"/>
    <n v="0"/>
    <n v="0"/>
    <n v="0"/>
    <n v="1219.0999999999999"/>
    <n v="1132.2666666666667"/>
  </r>
  <r>
    <x v="1"/>
    <s v="University of Arkansas Community College at Batesville"/>
    <m/>
    <n v="106999"/>
    <x v="8"/>
    <s v="sem"/>
    <s v="sem"/>
    <m/>
    <m/>
    <n v="12175"/>
    <n v="12008"/>
    <n v="2644"/>
    <n v="2471"/>
    <n v="13757"/>
    <n v="14299"/>
    <n v="28576"/>
    <n v="952.5333333333333"/>
    <n v="28778"/>
    <n v="959.26666666666665"/>
    <n v="1537"/>
    <n v="2226"/>
    <n v="28576"/>
    <n v="28778"/>
    <m/>
    <m/>
    <m/>
    <m/>
    <m/>
    <m/>
    <m/>
    <m/>
    <n v="0"/>
    <n v="0"/>
    <n v="0"/>
    <n v="0"/>
    <m/>
    <m/>
    <n v="0"/>
    <n v="0"/>
    <m/>
    <m/>
    <m/>
    <m/>
    <m/>
    <m/>
    <m/>
    <m/>
    <n v="0"/>
    <n v="0"/>
    <n v="0"/>
    <n v="0"/>
    <n v="952.5333333333333"/>
    <n v="959.26666666666665"/>
  </r>
  <r>
    <x v="1"/>
    <s v="University of Arkansas Community College at Hope"/>
    <m/>
    <n v="107725"/>
    <x v="8"/>
    <s v="sem"/>
    <s v="sem"/>
    <m/>
    <m/>
    <n v="13275"/>
    <n v="11897"/>
    <n v="1890"/>
    <n v="2150"/>
    <n v="13359"/>
    <n v="13359"/>
    <n v="28524"/>
    <n v="950.8"/>
    <n v="27406"/>
    <n v="913.5333333333333"/>
    <n v="2499"/>
    <n v="2830"/>
    <n v="28524"/>
    <n v="27406"/>
    <m/>
    <m/>
    <m/>
    <m/>
    <m/>
    <m/>
    <m/>
    <m/>
    <n v="0"/>
    <n v="0"/>
    <n v="0"/>
    <n v="0"/>
    <m/>
    <m/>
    <n v="0"/>
    <n v="0"/>
    <m/>
    <m/>
    <m/>
    <m/>
    <m/>
    <m/>
    <m/>
    <m/>
    <n v="0"/>
    <n v="0"/>
    <n v="0"/>
    <n v="0"/>
    <n v="950.8"/>
    <n v="913.5333333333333"/>
  </r>
  <r>
    <x v="1"/>
    <s v="University of Arkansas Community College at Morrilton"/>
    <m/>
    <n v="107585"/>
    <x v="8"/>
    <s v="sem"/>
    <s v="sem"/>
    <m/>
    <m/>
    <n v="21550"/>
    <n v="19624"/>
    <n v="3971"/>
    <n v="3565"/>
    <n v="22450"/>
    <n v="23090"/>
    <n v="47971"/>
    <n v="1599.0333333333333"/>
    <n v="46279"/>
    <n v="1542.6333333333334"/>
    <n v="1055"/>
    <n v="1033"/>
    <n v="47971"/>
    <n v="46279"/>
    <m/>
    <m/>
    <m/>
    <m/>
    <m/>
    <m/>
    <m/>
    <m/>
    <n v="0"/>
    <n v="0"/>
    <n v="0"/>
    <n v="0"/>
    <m/>
    <m/>
    <n v="0"/>
    <n v="0"/>
    <m/>
    <m/>
    <m/>
    <m/>
    <m/>
    <m/>
    <m/>
    <m/>
    <n v="0"/>
    <n v="0"/>
    <n v="0"/>
    <n v="0"/>
    <n v="1599.0333333333333"/>
    <n v="1542.6333333333334"/>
  </r>
  <r>
    <x v="2"/>
    <s v="University of Delaware"/>
    <m/>
    <n v="130943"/>
    <x v="0"/>
    <s v="sem"/>
    <m/>
    <n v="31286"/>
    <n v="32196"/>
    <n v="242880"/>
    <n v="251621"/>
    <n v="9953"/>
    <n v="12918"/>
    <n v="269452"/>
    <n v="270598"/>
    <n v="553571"/>
    <n v="18452.366666666665"/>
    <n v="567333"/>
    <n v="18911.099999999999"/>
    <m/>
    <m/>
    <n v="0"/>
    <n v="0"/>
    <m/>
    <m/>
    <m/>
    <m/>
    <m/>
    <m/>
    <m/>
    <m/>
    <n v="0"/>
    <n v="0"/>
    <n v="0"/>
    <n v="0"/>
    <m/>
    <m/>
    <n v="0"/>
    <n v="0"/>
    <n v="1562"/>
    <n v="1769"/>
    <n v="21244"/>
    <n v="21892"/>
    <n v="2533"/>
    <n v="5261"/>
    <n v="22906"/>
    <n v="25185"/>
    <n v="48245"/>
    <n v="2010.2083333333333"/>
    <n v="54107"/>
    <n v="2254.4583333333335"/>
    <n v="20462.574999999997"/>
    <n v="21165.558333333331"/>
  </r>
  <r>
    <x v="2"/>
    <s v="Delaware State University"/>
    <m/>
    <n v="130934"/>
    <x v="2"/>
    <s v="sem"/>
    <m/>
    <m/>
    <m/>
    <n v="52239"/>
    <n v="54611"/>
    <n v="6119"/>
    <n v="7146"/>
    <n v="57216"/>
    <n v="60195"/>
    <n v="115574"/>
    <n v="3852.4666666666667"/>
    <n v="121952"/>
    <n v="4065.0666666666666"/>
    <m/>
    <m/>
    <n v="0"/>
    <n v="0"/>
    <m/>
    <m/>
    <m/>
    <m/>
    <m/>
    <m/>
    <m/>
    <m/>
    <n v="0"/>
    <n v="0"/>
    <n v="0"/>
    <n v="0"/>
    <m/>
    <m/>
    <n v="0"/>
    <n v="0"/>
    <m/>
    <m/>
    <n v="2735"/>
    <n v="2394"/>
    <n v="609"/>
    <n v="461"/>
    <n v="2649"/>
    <n v="2622"/>
    <n v="5993"/>
    <n v="249.70833333333334"/>
    <n v="5477"/>
    <n v="228.20833333333334"/>
    <n v="4102.1750000000002"/>
    <n v="4293.2749999999996"/>
  </r>
  <r>
    <x v="2"/>
    <s v="Delaware Technical and Community College--Terry"/>
    <s v="Met the criteria for Two-Year 1 in 2015-16. "/>
    <n v="130907"/>
    <x v="6"/>
    <s v="sem"/>
    <m/>
    <m/>
    <m/>
    <n v="130801"/>
    <n v="116621"/>
    <n v="29157"/>
    <n v="30852"/>
    <n v="137450"/>
    <n v="125587"/>
    <n v="297408"/>
    <n v="9913.6"/>
    <n v="273060"/>
    <n v="9102"/>
    <m/>
    <m/>
    <n v="0"/>
    <n v="0"/>
    <m/>
    <m/>
    <m/>
    <m/>
    <m/>
    <m/>
    <m/>
    <m/>
    <n v="0"/>
    <n v="0"/>
    <n v="0"/>
    <n v="0"/>
    <m/>
    <m/>
    <n v="0"/>
    <n v="0"/>
    <m/>
    <m/>
    <m/>
    <m/>
    <m/>
    <m/>
    <m/>
    <m/>
    <n v="0"/>
    <n v="0"/>
    <n v="0"/>
    <n v="0"/>
    <n v="9913.6"/>
    <n v="9102"/>
  </r>
  <r>
    <x v="3"/>
    <s v="Florida Atlantic University "/>
    <m/>
    <n v="133669"/>
    <x v="0"/>
    <s v="sem"/>
    <s v="sem"/>
    <m/>
    <m/>
    <n v="257105"/>
    <n v="254455"/>
    <n v="94611"/>
    <n v="98605"/>
    <n v="274377"/>
    <n v="278849"/>
    <n v="626093"/>
    <n v="20869.766666666666"/>
    <n v="631909"/>
    <n v="21063.633333333335"/>
    <n v="13328"/>
    <n v="15337"/>
    <n v="626093"/>
    <n v="631909"/>
    <m/>
    <m/>
    <m/>
    <m/>
    <m/>
    <m/>
    <m/>
    <m/>
    <n v="0"/>
    <n v="0"/>
    <n v="0"/>
    <n v="0"/>
    <m/>
    <m/>
    <n v="0"/>
    <n v="0"/>
    <m/>
    <m/>
    <n v="37661"/>
    <n v="29597.5"/>
    <n v="15111"/>
    <n v="15341"/>
    <n v="30482"/>
    <n v="30907.4"/>
    <n v="83254"/>
    <n v="3468.9166666666665"/>
    <n v="75845.899999999994"/>
    <n v="3160.2458333333329"/>
    <n v="24338.683333333334"/>
    <n v="24223.879166666669"/>
  </r>
  <r>
    <x v="3"/>
    <s v="Florida International University"/>
    <m/>
    <n v="133951"/>
    <x v="0"/>
    <s v="sem"/>
    <s v="sem"/>
    <m/>
    <m/>
    <n v="431636"/>
    <n v="440310"/>
    <n v="178125"/>
    <n v="184125"/>
    <n v="469277"/>
    <n v="470100"/>
    <n v="1079038"/>
    <n v="35967.933333333334"/>
    <n v="1094535"/>
    <n v="36484.5"/>
    <n v="40871"/>
    <n v="37000"/>
    <n v="1079038"/>
    <n v="1094535"/>
    <m/>
    <m/>
    <m/>
    <m/>
    <m/>
    <m/>
    <m/>
    <m/>
    <n v="0"/>
    <n v="0"/>
    <n v="0"/>
    <n v="0"/>
    <m/>
    <m/>
    <n v="0"/>
    <n v="0"/>
    <m/>
    <m/>
    <n v="78306"/>
    <n v="75305"/>
    <n v="47166"/>
    <n v="40460"/>
    <n v="85464"/>
    <n v="78081"/>
    <n v="210936"/>
    <n v="8789"/>
    <n v="193846"/>
    <n v="8076.916666666667"/>
    <n v="44756.933333333334"/>
    <n v="44561.416666666664"/>
  </r>
  <r>
    <x v="3"/>
    <s v="Florida State University "/>
    <m/>
    <n v="134097"/>
    <x v="0"/>
    <s v="sem"/>
    <s v="sem"/>
    <m/>
    <m/>
    <n v="402742"/>
    <n v="404136"/>
    <n v="122656.5"/>
    <n v="126209"/>
    <n v="420125"/>
    <n v="418565"/>
    <n v="945523.5"/>
    <n v="31517.45"/>
    <n v="948910"/>
    <n v="31630.333333333332"/>
    <n v="491"/>
    <n v="503"/>
    <n v="945523.5"/>
    <n v="948910"/>
    <m/>
    <m/>
    <m/>
    <m/>
    <m/>
    <m/>
    <m/>
    <m/>
    <n v="0"/>
    <n v="0"/>
    <n v="0"/>
    <n v="0"/>
    <m/>
    <m/>
    <n v="0"/>
    <n v="0"/>
    <m/>
    <m/>
    <n v="78207"/>
    <n v="67849"/>
    <n v="41915"/>
    <n v="37003"/>
    <n v="78442"/>
    <n v="69790"/>
    <n v="198564"/>
    <n v="8273.5"/>
    <n v="174642"/>
    <n v="7276.75"/>
    <n v="39790.949999999997"/>
    <n v="38907.083333333328"/>
  </r>
  <r>
    <x v="3"/>
    <s v="University of Central Florida "/>
    <m/>
    <n v="132903"/>
    <x v="0"/>
    <s v="sem"/>
    <s v="sem"/>
    <m/>
    <m/>
    <n v="567478"/>
    <n v="578497"/>
    <n v="198642"/>
    <n v="207206"/>
    <n v="596735"/>
    <n v="618644"/>
    <n v="1362855"/>
    <n v="45428.5"/>
    <n v="1404347"/>
    <n v="46811.566666666666"/>
    <n v="598"/>
    <n v="433"/>
    <n v="1362855"/>
    <n v="1404347"/>
    <m/>
    <m/>
    <m/>
    <m/>
    <m/>
    <m/>
    <m/>
    <m/>
    <n v="0"/>
    <n v="0"/>
    <n v="0"/>
    <n v="0"/>
    <m/>
    <m/>
    <n v="0"/>
    <n v="0"/>
    <m/>
    <m/>
    <n v="51959"/>
    <n v="51108"/>
    <n v="27028.5"/>
    <n v="26259"/>
    <n v="54288"/>
    <n v="54914.5"/>
    <n v="133275.5"/>
    <n v="5553.145833333333"/>
    <n v="132281.5"/>
    <n v="5511.729166666667"/>
    <n v="50981.645833333336"/>
    <n v="52323.29583333333"/>
  </r>
  <r>
    <x v="3"/>
    <s v="University of Florida"/>
    <m/>
    <n v="134130"/>
    <x v="0"/>
    <s v="sem"/>
    <s v="sem"/>
    <m/>
    <m/>
    <n v="423206"/>
    <n v="422884"/>
    <n v="120945"/>
    <n v="126853"/>
    <n v="436104"/>
    <n v="448638"/>
    <n v="980255"/>
    <n v="32675.166666666668"/>
    <n v="998375"/>
    <n v="33279.166666666664"/>
    <n v="1207"/>
    <n v="1899"/>
    <n v="980255"/>
    <n v="998375"/>
    <m/>
    <m/>
    <m/>
    <m/>
    <m/>
    <m/>
    <m/>
    <m/>
    <n v="0"/>
    <n v="0"/>
    <n v="0"/>
    <n v="0"/>
    <m/>
    <m/>
    <n v="0"/>
    <n v="0"/>
    <m/>
    <m/>
    <n v="159555"/>
    <n v="135541"/>
    <n v="68153"/>
    <n v="57724"/>
    <n v="168542"/>
    <n v="148385"/>
    <n v="396250"/>
    <n v="16510.416666666668"/>
    <n v="341650"/>
    <n v="14235.416666666666"/>
    <n v="49185.583333333336"/>
    <n v="47514.583333333328"/>
  </r>
  <r>
    <x v="3"/>
    <s v="University of South Florida "/>
    <m/>
    <n v="137351"/>
    <x v="0"/>
    <s v="sem"/>
    <s v="sem"/>
    <m/>
    <m/>
    <n v="418708"/>
    <n v="415901"/>
    <n v="151898"/>
    <n v="153949"/>
    <n v="442613"/>
    <n v="446747"/>
    <n v="1013219"/>
    <n v="33773.966666666667"/>
    <n v="1016597"/>
    <n v="33886.566666666666"/>
    <n v="274"/>
    <n v="204"/>
    <n v="1013219"/>
    <n v="1016597"/>
    <m/>
    <m/>
    <m/>
    <m/>
    <m/>
    <m/>
    <m/>
    <m/>
    <n v="0"/>
    <n v="0"/>
    <n v="0"/>
    <n v="0"/>
    <m/>
    <m/>
    <n v="0"/>
    <n v="0"/>
    <m/>
    <m/>
    <n v="79017"/>
    <n v="82356"/>
    <n v="37984"/>
    <n v="37180"/>
    <n v="84984"/>
    <n v="86973"/>
    <n v="201985"/>
    <n v="8416.0416666666661"/>
    <n v="206509"/>
    <n v="8604.5416666666661"/>
    <n v="42190.008333333331"/>
    <n v="42491.10833333333"/>
  </r>
  <r>
    <x v="3"/>
    <s v="Florida Agricultural &amp; Mechanical University "/>
    <s v="Met the criteria for Four-Year 2 in 2015-16."/>
    <n v="133650"/>
    <x v="2"/>
    <s v="sem"/>
    <s v="sem"/>
    <m/>
    <m/>
    <n v="109738"/>
    <n v="102835"/>
    <n v="27161"/>
    <n v="25481"/>
    <n v="112809"/>
    <n v="109153"/>
    <n v="249708"/>
    <n v="8323.6"/>
    <n v="237469"/>
    <n v="7915.6333333333332"/>
    <n v="36"/>
    <n v="2775"/>
    <n v="249708"/>
    <n v="237469"/>
    <m/>
    <m/>
    <m/>
    <m/>
    <m/>
    <m/>
    <m/>
    <m/>
    <n v="0"/>
    <n v="0"/>
    <n v="0"/>
    <n v="0"/>
    <m/>
    <m/>
    <n v="0"/>
    <n v="0"/>
    <m/>
    <m/>
    <n v="18066"/>
    <n v="17422"/>
    <n v="7221"/>
    <n v="7155"/>
    <n v="18469"/>
    <n v="18931"/>
    <n v="43756"/>
    <n v="1823.1666666666667"/>
    <n v="43508"/>
    <n v="1812.8333333333333"/>
    <n v="10146.766666666666"/>
    <n v="9728.4666666666672"/>
  </r>
  <r>
    <x v="3"/>
    <s v="University of North Florida"/>
    <m/>
    <n v="136172"/>
    <x v="2"/>
    <s v="sem"/>
    <s v="sem"/>
    <m/>
    <m/>
    <n v="154107"/>
    <n v="152285"/>
    <n v="53992"/>
    <n v="53345"/>
    <n v="162794"/>
    <n v="158874"/>
    <n v="370893"/>
    <n v="12363.1"/>
    <n v="364504"/>
    <n v="12150.133333333333"/>
    <n v="442"/>
    <n v="127"/>
    <n v="370893"/>
    <n v="364504"/>
    <m/>
    <m/>
    <m/>
    <m/>
    <m/>
    <m/>
    <m/>
    <m/>
    <n v="0"/>
    <n v="0"/>
    <n v="0"/>
    <n v="0"/>
    <m/>
    <m/>
    <n v="0"/>
    <n v="0"/>
    <m/>
    <m/>
    <n v="11624"/>
    <n v="12219"/>
    <n v="6938"/>
    <n v="7311"/>
    <n v="13581"/>
    <n v="13671"/>
    <n v="32143"/>
    <n v="1339.2916666666667"/>
    <n v="33201"/>
    <n v="1383.375"/>
    <n v="13702.391666666666"/>
    <n v="13533.508333333333"/>
  </r>
  <r>
    <x v="3"/>
    <s v="University of West Florida"/>
    <m/>
    <n v="138354"/>
    <x v="2"/>
    <s v="sem"/>
    <s v="sem"/>
    <m/>
    <m/>
    <n v="107929"/>
    <n v="106681"/>
    <n v="33221"/>
    <n v="34065"/>
    <n v="115589"/>
    <n v="114385"/>
    <n v="256739"/>
    <n v="8557.9666666666672"/>
    <n v="255131"/>
    <n v="8504.3666666666668"/>
    <n v="651"/>
    <n v="929"/>
    <n v="256739"/>
    <n v="255131"/>
    <m/>
    <m/>
    <m/>
    <m/>
    <m/>
    <m/>
    <m/>
    <m/>
    <n v="0"/>
    <n v="0"/>
    <n v="0"/>
    <n v="0"/>
    <m/>
    <m/>
    <n v="0"/>
    <n v="0"/>
    <m/>
    <m/>
    <n v="14173.5"/>
    <n v="14054"/>
    <n v="10543.5"/>
    <n v="9510.5"/>
    <n v="14599"/>
    <n v="14854.5"/>
    <n v="39316"/>
    <n v="1638.1666666666667"/>
    <n v="38419"/>
    <n v="1600.7916666666667"/>
    <n v="10196.133333333333"/>
    <n v="10105.158333333333"/>
  </r>
  <r>
    <x v="3"/>
    <s v="Florida Gulf Coast University"/>
    <m/>
    <n v="433660"/>
    <x v="3"/>
    <s v="sem"/>
    <s v="sem"/>
    <m/>
    <m/>
    <n v="143424"/>
    <n v="149831"/>
    <n v="32641"/>
    <n v="33283"/>
    <n v="160448"/>
    <n v="165828"/>
    <n v="336513"/>
    <n v="11217.1"/>
    <n v="348942"/>
    <n v="11631.4"/>
    <n v="338"/>
    <n v="457"/>
    <n v="336513"/>
    <n v="348942"/>
    <m/>
    <m/>
    <m/>
    <m/>
    <m/>
    <m/>
    <m/>
    <m/>
    <n v="0"/>
    <n v="0"/>
    <n v="0"/>
    <n v="0"/>
    <m/>
    <m/>
    <n v="0"/>
    <n v="0"/>
    <m/>
    <m/>
    <n v="8229"/>
    <n v="7821"/>
    <n v="4164"/>
    <n v="4069"/>
    <n v="8097"/>
    <n v="7922"/>
    <n v="20490"/>
    <n v="853.75"/>
    <n v="19812"/>
    <n v="825.5"/>
    <n v="12070.85"/>
    <n v="12456.9"/>
  </r>
  <r>
    <x v="3"/>
    <s v="New College of Florida"/>
    <m/>
    <n v="262129"/>
    <x v="5"/>
    <s v="sem"/>
    <s v="sem"/>
    <m/>
    <m/>
    <n v="11744"/>
    <n v="12800"/>
    <m/>
    <m/>
    <n v="15896"/>
    <n v="16447.999999999996"/>
    <n v="27640"/>
    <n v="921.33333333333337"/>
    <n v="29247.999999999996"/>
    <n v="974.93333333333317"/>
    <m/>
    <m/>
    <n v="0"/>
    <n v="0"/>
    <m/>
    <m/>
    <m/>
    <m/>
    <m/>
    <m/>
    <m/>
    <m/>
    <n v="0"/>
    <n v="0"/>
    <n v="0"/>
    <n v="0"/>
    <m/>
    <m/>
    <n v="0"/>
    <n v="0"/>
    <m/>
    <m/>
    <m/>
    <m/>
    <m/>
    <m/>
    <m/>
    <m/>
    <n v="0"/>
    <n v="0"/>
    <n v="0"/>
    <n v="0"/>
    <n v="921.33333333333337"/>
    <n v="974.93333333333317"/>
  </r>
  <r>
    <x v="3"/>
    <s v="Broward College "/>
    <m/>
    <n v="132709"/>
    <x v="11"/>
    <s v="sem"/>
    <s v="sem"/>
    <m/>
    <m/>
    <n v="352534"/>
    <n v="342870"/>
    <n v="173136"/>
    <n v="165391"/>
    <n v="372724"/>
    <n v="352881"/>
    <n v="898394"/>
    <n v="29946.466666666667"/>
    <n v="861142"/>
    <n v="28704.733333333334"/>
    <n v="43443"/>
    <n v="42346"/>
    <n v="898394"/>
    <n v="861142"/>
    <m/>
    <m/>
    <n v="160719"/>
    <n v="175851"/>
    <n v="113680"/>
    <n v="74492"/>
    <n v="177088"/>
    <n v="164023"/>
    <n v="451487"/>
    <n v="501.65222222222224"/>
    <n v="414366"/>
    <n v="460.40666666666669"/>
    <n v="0"/>
    <n v="0"/>
    <n v="451487"/>
    <n v="414366"/>
    <m/>
    <m/>
    <m/>
    <m/>
    <m/>
    <m/>
    <m/>
    <m/>
    <n v="0"/>
    <n v="0"/>
    <n v="0"/>
    <n v="0"/>
    <n v="30448.11888888889"/>
    <n v="29165.14"/>
  </r>
  <r>
    <x v="3"/>
    <s v="Chipola College "/>
    <m/>
    <n v="133021"/>
    <x v="11"/>
    <s v="sem"/>
    <s v="sem"/>
    <m/>
    <m/>
    <n v="17096"/>
    <n v="16453"/>
    <n v="4631"/>
    <n v="5253"/>
    <n v="18223"/>
    <n v="18483"/>
    <n v="39950"/>
    <n v="1331.6666666666667"/>
    <n v="40189"/>
    <n v="1339.6333333333334"/>
    <n v="5970"/>
    <n v="6225"/>
    <n v="39950"/>
    <n v="40189"/>
    <m/>
    <m/>
    <n v="46983"/>
    <n v="39717"/>
    <n v="21069"/>
    <n v="17334"/>
    <n v="49122"/>
    <n v="38961"/>
    <n v="117174"/>
    <n v="130.19333333333333"/>
    <n v="96012"/>
    <n v="106.68"/>
    <n v="900"/>
    <n v="240"/>
    <n v="117174"/>
    <n v="96012"/>
    <m/>
    <m/>
    <m/>
    <m/>
    <m/>
    <m/>
    <m/>
    <m/>
    <n v="0"/>
    <n v="0"/>
    <n v="0"/>
    <n v="0"/>
    <n v="1461.8600000000001"/>
    <n v="1446.3133333333335"/>
  </r>
  <r>
    <x v="3"/>
    <s v="Daytona State College "/>
    <m/>
    <n v="133386"/>
    <x v="11"/>
    <s v="sem"/>
    <s v="sem"/>
    <m/>
    <m/>
    <n v="124627"/>
    <n v="119818"/>
    <n v="37186"/>
    <n v="43624"/>
    <n v="129465"/>
    <n v="131403"/>
    <n v="291278"/>
    <n v="9709.2666666666664"/>
    <n v="294845"/>
    <n v="9828.1666666666661"/>
    <n v="22291"/>
    <n v="30118"/>
    <n v="291278"/>
    <n v="294845"/>
    <m/>
    <m/>
    <n v="757782"/>
    <n v="803574"/>
    <n v="371833"/>
    <n v="371776"/>
    <n v="783058"/>
    <n v="669019"/>
    <n v="1912673"/>
    <n v="2125.1922222222224"/>
    <n v="1844369"/>
    <n v="2049.298888888889"/>
    <n v="755"/>
    <n v="510"/>
    <n v="1912673"/>
    <n v="1844369"/>
    <m/>
    <m/>
    <m/>
    <m/>
    <m/>
    <m/>
    <m/>
    <m/>
    <n v="0"/>
    <n v="0"/>
    <n v="0"/>
    <n v="0"/>
    <n v="11834.458888888888"/>
    <n v="11877.465555555555"/>
  </r>
  <r>
    <x v="3"/>
    <s v="Florida SouthWestern State College"/>
    <m/>
    <n v="133508"/>
    <x v="11"/>
    <s v="sem"/>
    <s v="sem"/>
    <m/>
    <m/>
    <n v="122556"/>
    <n v="124821"/>
    <n v="46091"/>
    <n v="43376"/>
    <n v="129117"/>
    <n v="138212"/>
    <n v="297764"/>
    <n v="9925.4666666666672"/>
    <n v="306409"/>
    <n v="10213.633333333333"/>
    <n v="26983"/>
    <n v="38559"/>
    <n v="297764"/>
    <n v="306409"/>
    <m/>
    <m/>
    <n v="6090"/>
    <n v="3570"/>
    <n v="9918"/>
    <n v="7380"/>
    <n v="3840"/>
    <n v="3600"/>
    <n v="19848"/>
    <n v="22.053333333333335"/>
    <n v="14550"/>
    <n v="16.166666666666668"/>
    <n v="0"/>
    <n v="0"/>
    <n v="19848"/>
    <n v="14550"/>
    <m/>
    <m/>
    <m/>
    <m/>
    <m/>
    <m/>
    <m/>
    <m/>
    <n v="0"/>
    <n v="0"/>
    <n v="0"/>
    <n v="0"/>
    <n v="9947.52"/>
    <n v="10229.799999999999"/>
  </r>
  <r>
    <x v="3"/>
    <s v="Florida State College at Jacksonville"/>
    <m/>
    <n v="133702"/>
    <x v="11"/>
    <s v="sem"/>
    <s v="sem"/>
    <m/>
    <m/>
    <n v="227819"/>
    <n v="216565"/>
    <n v="111535"/>
    <n v="115792"/>
    <n v="221080"/>
    <n v="214555"/>
    <n v="560434"/>
    <n v="18681.133333333335"/>
    <n v="546912"/>
    <n v="18230.400000000001"/>
    <n v="35054"/>
    <n v="34852"/>
    <n v="560434"/>
    <n v="546912"/>
    <m/>
    <m/>
    <n v="721394"/>
    <n v="636537"/>
    <n v="425924"/>
    <n v="503133"/>
    <n v="733308"/>
    <n v="514381"/>
    <n v="1880626"/>
    <n v="2089.5844444444447"/>
    <n v="1654051"/>
    <n v="1837.8344444444444"/>
    <n v="13504"/>
    <n v="8042"/>
    <n v="1880626"/>
    <n v="1654051"/>
    <m/>
    <m/>
    <m/>
    <m/>
    <m/>
    <m/>
    <m/>
    <m/>
    <n v="0"/>
    <n v="0"/>
    <n v="0"/>
    <n v="0"/>
    <n v="20770.71777777778"/>
    <n v="20068.234444444446"/>
  </r>
  <r>
    <x v="3"/>
    <s v="Gulf Coast State College "/>
    <m/>
    <n v="134343"/>
    <x v="11"/>
    <s v="sem"/>
    <s v="sem"/>
    <m/>
    <m/>
    <n v="52499"/>
    <n v="48288"/>
    <n v="13477"/>
    <n v="13709"/>
    <n v="53685"/>
    <n v="50913"/>
    <n v="119661"/>
    <n v="3988.7"/>
    <n v="112910"/>
    <n v="3763.6666666666665"/>
    <n v="13203"/>
    <n v="13881"/>
    <n v="119661"/>
    <n v="112910"/>
    <m/>
    <m/>
    <n v="56225"/>
    <n v="54022"/>
    <n v="34706"/>
    <n v="39604"/>
    <n v="38596"/>
    <n v="48809"/>
    <n v="129527"/>
    <n v="143.91888888888889"/>
    <n v="142435"/>
    <n v="158.26111111111112"/>
    <n v="0"/>
    <n v="0"/>
    <n v="129527"/>
    <n v="142435"/>
    <m/>
    <m/>
    <m/>
    <m/>
    <m/>
    <m/>
    <m/>
    <m/>
    <n v="0"/>
    <n v="0"/>
    <n v="0"/>
    <n v="0"/>
    <n v="4132.6188888888883"/>
    <n v="3921.9277777777775"/>
  </r>
  <r>
    <x v="3"/>
    <s v="Indian River State College "/>
    <m/>
    <n v="134608"/>
    <x v="11"/>
    <s v="sem"/>
    <s v="sem"/>
    <m/>
    <m/>
    <n v="129720"/>
    <n v="132017"/>
    <n v="56608"/>
    <n v="62131"/>
    <n v="143840"/>
    <n v="146582"/>
    <n v="330168"/>
    <n v="11005.6"/>
    <n v="340730"/>
    <n v="11357.666666666666"/>
    <n v="47208"/>
    <n v="55499"/>
    <n v="330168"/>
    <n v="340730"/>
    <m/>
    <m/>
    <n v="696028"/>
    <n v="731271"/>
    <n v="504941"/>
    <n v="541249"/>
    <n v="775836"/>
    <n v="764207"/>
    <n v="1976805"/>
    <n v="2196.4499999999998"/>
    <n v="2036727"/>
    <n v="2263.0300000000002"/>
    <n v="16957"/>
    <n v="19307"/>
    <n v="1976805"/>
    <n v="2036727"/>
    <m/>
    <m/>
    <m/>
    <m/>
    <m/>
    <m/>
    <m/>
    <m/>
    <n v="0"/>
    <n v="0"/>
    <n v="0"/>
    <n v="0"/>
    <n v="13202.05"/>
    <n v="13620.696666666667"/>
  </r>
  <r>
    <x v="3"/>
    <s v="Miami Dade College "/>
    <m/>
    <n v="135717"/>
    <x v="11"/>
    <s v="sem"/>
    <s v="sem"/>
    <m/>
    <m/>
    <n v="612247"/>
    <n v="593082"/>
    <n v="263505"/>
    <n v="259832"/>
    <n v="637903"/>
    <n v="603926"/>
    <n v="1513655"/>
    <n v="50455.166666666664"/>
    <n v="1456840"/>
    <n v="48561.333333333336"/>
    <n v="43212"/>
    <n v="42954"/>
    <n v="1513655"/>
    <n v="1456840"/>
    <m/>
    <m/>
    <n v="1036635"/>
    <n v="1286127"/>
    <n v="972658"/>
    <n v="1112401"/>
    <n v="1280836"/>
    <n v="1265353"/>
    <n v="3290129"/>
    <n v="3655.6988888888891"/>
    <n v="3663881"/>
    <n v="4070.9788888888888"/>
    <n v="0"/>
    <n v="0"/>
    <n v="3290129"/>
    <n v="3663881"/>
    <m/>
    <m/>
    <m/>
    <m/>
    <m/>
    <m/>
    <m/>
    <m/>
    <n v="0"/>
    <n v="0"/>
    <n v="0"/>
    <n v="0"/>
    <n v="54110.865555555552"/>
    <n v="52632.312222222223"/>
  </r>
  <r>
    <x v="3"/>
    <s v="Northwest Florida State College"/>
    <m/>
    <n v="136233"/>
    <x v="11"/>
    <s v="sem"/>
    <s v="sem"/>
    <m/>
    <m/>
    <n v="56201"/>
    <n v="54351"/>
    <n v="21869"/>
    <n v="22853"/>
    <n v="57535"/>
    <n v="50987"/>
    <n v="135605"/>
    <n v="4520.166666666667"/>
    <n v="128191"/>
    <n v="4273.0333333333338"/>
    <n v="10819"/>
    <n v="12354"/>
    <n v="135605"/>
    <n v="128191"/>
    <m/>
    <m/>
    <n v="89855"/>
    <n v="135077"/>
    <n v="38869"/>
    <n v="51528"/>
    <n v="119579"/>
    <n v="117697"/>
    <n v="248303"/>
    <n v="275.89222222222224"/>
    <n v="304302"/>
    <n v="338.11333333333334"/>
    <n v="0"/>
    <n v="0"/>
    <n v="248303"/>
    <n v="304302"/>
    <m/>
    <m/>
    <m/>
    <m/>
    <m/>
    <m/>
    <m/>
    <m/>
    <n v="0"/>
    <n v="0"/>
    <n v="0"/>
    <n v="0"/>
    <n v="4796.0588888888888"/>
    <n v="4611.1466666666674"/>
  </r>
  <r>
    <x v="3"/>
    <s v="Palm Beach State College "/>
    <m/>
    <n v="136358"/>
    <x v="11"/>
    <s v="sem"/>
    <s v="sem"/>
    <m/>
    <m/>
    <n v="227944"/>
    <n v="222195"/>
    <n v="91490"/>
    <n v="95699"/>
    <n v="240298"/>
    <n v="241752"/>
    <n v="559732"/>
    <n v="18657.733333333334"/>
    <n v="559646"/>
    <n v="18654.866666666665"/>
    <n v="24074"/>
    <n v="23176"/>
    <n v="559732"/>
    <n v="559646"/>
    <m/>
    <m/>
    <n v="542660"/>
    <n v="516465"/>
    <n v="305288"/>
    <n v="284670"/>
    <n v="546377"/>
    <n v="526949"/>
    <n v="1394325"/>
    <n v="1549.25"/>
    <n v="1328084"/>
    <n v="1475.6488888888889"/>
    <n v="3600"/>
    <n v="0"/>
    <n v="1394325"/>
    <n v="1328084"/>
    <m/>
    <m/>
    <m/>
    <m/>
    <m/>
    <m/>
    <m/>
    <m/>
    <n v="0"/>
    <n v="0"/>
    <n v="0"/>
    <n v="0"/>
    <n v="20206.983333333334"/>
    <n v="20130.515555555554"/>
  </r>
  <r>
    <x v="3"/>
    <s v="Pensacola State College "/>
    <m/>
    <n v="136473"/>
    <x v="11"/>
    <s v="sem"/>
    <s v="sem"/>
    <m/>
    <m/>
    <n v="91131"/>
    <n v="81860"/>
    <n v="32960"/>
    <n v="30511"/>
    <n v="89414"/>
    <n v="81997"/>
    <n v="213505"/>
    <n v="7116.833333333333"/>
    <n v="194368"/>
    <n v="6478.9333333333334"/>
    <n v="25150"/>
    <n v="22935"/>
    <n v="213505"/>
    <n v="194368"/>
    <m/>
    <m/>
    <n v="288565"/>
    <n v="297005"/>
    <n v="168161"/>
    <n v="156156"/>
    <n v="293760"/>
    <n v="286915"/>
    <n v="750486"/>
    <n v="833.87333333333333"/>
    <n v="740076"/>
    <n v="822.30666666666662"/>
    <n v="300"/>
    <n v="0"/>
    <n v="750486"/>
    <n v="740076"/>
    <m/>
    <m/>
    <m/>
    <m/>
    <m/>
    <m/>
    <m/>
    <m/>
    <n v="0"/>
    <n v="0"/>
    <n v="0"/>
    <n v="0"/>
    <n v="7950.706666666666"/>
    <n v="7301.24"/>
  </r>
  <r>
    <x v="3"/>
    <s v="Polk State College "/>
    <m/>
    <n v="136516"/>
    <x v="11"/>
    <s v="sem"/>
    <s v="sem"/>
    <m/>
    <m/>
    <n v="98120"/>
    <n v="91347"/>
    <n v="33025"/>
    <n v="31414"/>
    <n v="98063"/>
    <n v="93794"/>
    <n v="229208"/>
    <n v="7640.2666666666664"/>
    <n v="216555"/>
    <n v="7218.5"/>
    <n v="33207"/>
    <n v="34600"/>
    <n v="229208"/>
    <n v="216555"/>
    <m/>
    <m/>
    <n v="26422"/>
    <n v="33882"/>
    <n v="13456"/>
    <n v="22002"/>
    <n v="29228"/>
    <n v="26050"/>
    <n v="69106"/>
    <n v="76.784444444444446"/>
    <n v="81934"/>
    <n v="91.037777777777777"/>
    <n v="0"/>
    <n v="0"/>
    <n v="69106"/>
    <n v="81934"/>
    <m/>
    <m/>
    <m/>
    <m/>
    <m/>
    <m/>
    <m/>
    <m/>
    <n v="0"/>
    <n v="0"/>
    <n v="0"/>
    <n v="0"/>
    <n v="7717.0511111111109"/>
    <n v="7309.5377777777776"/>
  </r>
  <r>
    <x v="3"/>
    <s v="Santa Fe College "/>
    <m/>
    <n v="137096"/>
    <x v="11"/>
    <s v="sem"/>
    <s v="sem"/>
    <m/>
    <m/>
    <n v="128541"/>
    <n v="124028"/>
    <n v="54761"/>
    <n v="53581"/>
    <n v="139935"/>
    <n v="135101"/>
    <n v="323237"/>
    <n v="10774.566666666668"/>
    <n v="312710"/>
    <n v="10423.666666666666"/>
    <n v="15690"/>
    <n v="15516"/>
    <n v="323237"/>
    <n v="312710"/>
    <m/>
    <m/>
    <n v="198498"/>
    <n v="199512"/>
    <n v="144360"/>
    <n v="142883"/>
    <n v="206828"/>
    <n v="267081"/>
    <n v="549686"/>
    <n v="610.76222222222225"/>
    <n v="609476"/>
    <n v="677.19555555555553"/>
    <n v="3126"/>
    <n v="3666"/>
    <n v="549686"/>
    <n v="609476"/>
    <m/>
    <m/>
    <m/>
    <m/>
    <m/>
    <m/>
    <m/>
    <m/>
    <n v="0"/>
    <n v="0"/>
    <n v="0"/>
    <n v="0"/>
    <n v="11385.328888888889"/>
    <n v="11100.862222222222"/>
  </r>
  <r>
    <x v="3"/>
    <s v="Seminole State College of Florida"/>
    <m/>
    <n v="137209"/>
    <x v="11"/>
    <s v="sem"/>
    <s v="sem"/>
    <m/>
    <m/>
    <n v="148690"/>
    <n v="140599"/>
    <n v="58806"/>
    <n v="57678"/>
    <n v="156106"/>
    <n v="147834"/>
    <n v="363602"/>
    <n v="12120.066666666668"/>
    <n v="346111"/>
    <n v="11537.033333333333"/>
    <n v="9386"/>
    <n v="10613"/>
    <n v="363602"/>
    <n v="346111"/>
    <m/>
    <m/>
    <n v="480552"/>
    <n v="459501"/>
    <n v="296919"/>
    <n v="284434"/>
    <n v="485720"/>
    <n v="476727"/>
    <n v="1263191"/>
    <n v="1403.5455555555557"/>
    <n v="1220662"/>
    <n v="1356.2911111111111"/>
    <n v="6840"/>
    <n v="4013"/>
    <n v="1263191"/>
    <n v="1220662"/>
    <m/>
    <m/>
    <m/>
    <m/>
    <m/>
    <m/>
    <m/>
    <m/>
    <n v="0"/>
    <n v="0"/>
    <n v="0"/>
    <n v="0"/>
    <n v="13523.612222222224"/>
    <n v="12893.324444444444"/>
  </r>
  <r>
    <x v="3"/>
    <s v="St. Johns River State College "/>
    <m/>
    <n v="137281"/>
    <x v="11"/>
    <s v="sem"/>
    <s v="sem"/>
    <m/>
    <m/>
    <n v="56125"/>
    <n v="55459"/>
    <n v="20894"/>
    <n v="20424"/>
    <n v="59344"/>
    <n v="58232"/>
    <n v="136363"/>
    <n v="4545.4333333333334"/>
    <n v="134115"/>
    <n v="4470.5"/>
    <n v="20198"/>
    <n v="22539"/>
    <n v="136363"/>
    <n v="134115"/>
    <m/>
    <m/>
    <n v="71582"/>
    <n v="80088"/>
    <n v="43779"/>
    <n v="38340"/>
    <n v="105666"/>
    <n v="75728"/>
    <n v="221027"/>
    <n v="245.58555555555554"/>
    <n v="194156"/>
    <n v="215.72888888888889"/>
    <n v="0"/>
    <n v="0"/>
    <n v="221027"/>
    <n v="194156"/>
    <m/>
    <m/>
    <m/>
    <m/>
    <m/>
    <m/>
    <m/>
    <m/>
    <n v="0"/>
    <n v="0"/>
    <n v="0"/>
    <n v="0"/>
    <n v="4791.0188888888888"/>
    <n v="4686.2288888888888"/>
  </r>
  <r>
    <x v="3"/>
    <s v="St. Petersburg College "/>
    <m/>
    <n v="137078"/>
    <x v="11"/>
    <s v="sem"/>
    <s v="sem"/>
    <m/>
    <m/>
    <n v="256407"/>
    <n v="259243"/>
    <n v="87945"/>
    <n v="87666"/>
    <n v="272956"/>
    <n v="263336"/>
    <n v="617308"/>
    <n v="20576.933333333334"/>
    <n v="610245"/>
    <n v="20341.5"/>
    <n v="38713"/>
    <n v="37922"/>
    <n v="617308"/>
    <n v="610245"/>
    <m/>
    <m/>
    <n v="68235"/>
    <n v="63812"/>
    <n v="30004"/>
    <n v="27956"/>
    <n v="79782"/>
    <n v="50394"/>
    <n v="178021"/>
    <n v="197.80111111111111"/>
    <n v="142162"/>
    <n v="157.95777777777778"/>
    <n v="0"/>
    <n v="0"/>
    <n v="178021"/>
    <n v="142162"/>
    <m/>
    <m/>
    <m/>
    <m/>
    <m/>
    <m/>
    <m/>
    <m/>
    <n v="0"/>
    <n v="0"/>
    <n v="0"/>
    <n v="0"/>
    <n v="20774.734444444446"/>
    <n v="20499.457777777778"/>
  </r>
  <r>
    <x v="3"/>
    <s v="State College of Florida, Manatee-Sarasota"/>
    <m/>
    <n v="135391"/>
    <x v="11"/>
    <s v="sem"/>
    <s v="sem"/>
    <m/>
    <m/>
    <n v="94765"/>
    <n v="94868"/>
    <n v="30275"/>
    <n v="29945"/>
    <n v="101317"/>
    <n v="99308"/>
    <n v="226357"/>
    <n v="7545.2333333333336"/>
    <n v="224121"/>
    <n v="7470.7"/>
    <n v="19071"/>
    <n v="22271"/>
    <n v="226357"/>
    <n v="224121"/>
    <m/>
    <m/>
    <n v="0"/>
    <n v="0"/>
    <n v="0"/>
    <n v="0"/>
    <n v="0"/>
    <n v="0"/>
    <n v="0"/>
    <n v="0"/>
    <n v="0"/>
    <n v="0"/>
    <n v="0"/>
    <n v="0"/>
    <n v="0"/>
    <n v="0"/>
    <m/>
    <m/>
    <m/>
    <m/>
    <m/>
    <m/>
    <m/>
    <m/>
    <n v="0"/>
    <n v="0"/>
    <n v="0"/>
    <n v="0"/>
    <n v="7545.2333333333336"/>
    <n v="7470.7"/>
  </r>
  <r>
    <x v="3"/>
    <s v="College of Central Florida"/>
    <s v="Reclassified: Met the criteria for Two-Year with Bachelor's in 2013-14, 2014-15, and 2015-16."/>
    <n v="132851"/>
    <x v="11"/>
    <s v="sem"/>
    <s v="sem"/>
    <m/>
    <m/>
    <n v="69938"/>
    <n v="71601"/>
    <n v="23187"/>
    <n v="23846"/>
    <n v="72954"/>
    <n v="67274"/>
    <n v="166079"/>
    <n v="5535.9666666666662"/>
    <n v="162721"/>
    <n v="5424.0333333333338"/>
    <n v="14897"/>
    <n v="16442"/>
    <n v="166079"/>
    <n v="162721"/>
    <m/>
    <m/>
    <n v="73277"/>
    <n v="68992"/>
    <n v="44293"/>
    <n v="35499"/>
    <n v="59116"/>
    <n v="80553"/>
    <n v="176686"/>
    <n v="196.31777777777779"/>
    <n v="185044"/>
    <n v="205.60444444444445"/>
    <n v="2820"/>
    <n v="5310"/>
    <n v="176686"/>
    <n v="185044"/>
    <m/>
    <m/>
    <m/>
    <m/>
    <m/>
    <m/>
    <m/>
    <m/>
    <n v="0"/>
    <n v="0"/>
    <n v="0"/>
    <n v="0"/>
    <n v="5732.2844444444436"/>
    <n v="5629.637777777778"/>
  </r>
  <r>
    <x v="3"/>
    <s v="Eastern Florida State College"/>
    <s v="Met the criteria for Two-Year with Bachelor's in 2015-16. "/>
    <n v="132693"/>
    <x v="7"/>
    <s v="sem"/>
    <s v="sem"/>
    <m/>
    <m/>
    <n v="133258"/>
    <n v="126412"/>
    <n v="46701"/>
    <n v="42722"/>
    <n v="136976"/>
    <n v="135242"/>
    <n v="316935"/>
    <n v="10564.5"/>
    <n v="304376"/>
    <n v="10145.866666666667"/>
    <n v="53200"/>
    <n v="49607"/>
    <n v="316935"/>
    <n v="304376"/>
    <m/>
    <m/>
    <n v="255828"/>
    <n v="280902"/>
    <n v="63134"/>
    <n v="34806"/>
    <n v="347115"/>
    <n v="157443"/>
    <n v="666077"/>
    <n v="740.08555555555552"/>
    <n v="473151"/>
    <n v="525.72333333333336"/>
    <n v="58233"/>
    <n v="37522"/>
    <n v="666077"/>
    <n v="473151"/>
    <m/>
    <m/>
    <m/>
    <m/>
    <m/>
    <m/>
    <m/>
    <m/>
    <n v="0"/>
    <n v="0"/>
    <n v="0"/>
    <n v="0"/>
    <n v="11304.585555555555"/>
    <n v="10671.59"/>
  </r>
  <r>
    <x v="3"/>
    <s v="Hillsborough Community College "/>
    <m/>
    <n v="134495"/>
    <x v="7"/>
    <s v="sem"/>
    <s v="sem"/>
    <m/>
    <m/>
    <n v="232883"/>
    <n v="230530"/>
    <n v="82337"/>
    <n v="82496"/>
    <n v="243820"/>
    <n v="238404"/>
    <n v="559040"/>
    <n v="18634.666666666668"/>
    <n v="551430"/>
    <n v="18381"/>
    <n v="24491"/>
    <n v="29835"/>
    <n v="559040"/>
    <n v="551430"/>
    <m/>
    <m/>
    <n v="652925"/>
    <n v="739004"/>
    <n v="159530"/>
    <n v="143088"/>
    <n v="727808"/>
    <n v="807136"/>
    <n v="1540263"/>
    <n v="1711.4033333333334"/>
    <n v="1689228"/>
    <n v="1876.92"/>
    <n v="0"/>
    <n v="0"/>
    <n v="1540263"/>
    <n v="1689228"/>
    <m/>
    <m/>
    <m/>
    <m/>
    <m/>
    <m/>
    <m/>
    <m/>
    <n v="0"/>
    <n v="0"/>
    <n v="0"/>
    <n v="0"/>
    <n v="20346.07"/>
    <n v="20257.919999999998"/>
  </r>
  <r>
    <x v="3"/>
    <s v="Pasco-Hernando State College "/>
    <m/>
    <n v="136400"/>
    <x v="7"/>
    <s v="sem"/>
    <s v="sem"/>
    <m/>
    <m/>
    <n v="86294"/>
    <n v="93520"/>
    <n v="26116"/>
    <n v="28196"/>
    <n v="100757"/>
    <n v="100624"/>
    <n v="213167"/>
    <n v="7105.5666666666666"/>
    <n v="222340"/>
    <n v="7411.333333333333"/>
    <n v="21267"/>
    <n v="23423"/>
    <n v="213167"/>
    <n v="222340"/>
    <m/>
    <m/>
    <n v="139631"/>
    <n v="167173"/>
    <n v="72383"/>
    <n v="80330"/>
    <n v="127716"/>
    <n v="132546"/>
    <n v="339730"/>
    <n v="377.47777777777776"/>
    <n v="380049"/>
    <n v="422.27666666666664"/>
    <n v="90"/>
    <n v="445"/>
    <n v="339730"/>
    <n v="380049"/>
    <m/>
    <m/>
    <m/>
    <m/>
    <m/>
    <m/>
    <m/>
    <m/>
    <n v="0"/>
    <n v="0"/>
    <n v="0"/>
    <n v="0"/>
    <n v="7483.0444444444447"/>
    <n v="7833.61"/>
  </r>
  <r>
    <x v="3"/>
    <s v="Tallahassee Community College "/>
    <m/>
    <n v="137759"/>
    <x v="7"/>
    <s v="sem"/>
    <s v="sem"/>
    <m/>
    <m/>
    <n v="112724"/>
    <n v="108414"/>
    <n v="49783"/>
    <n v="45031"/>
    <n v="123546"/>
    <n v="117184"/>
    <n v="286053"/>
    <n v="9535.1"/>
    <n v="270629"/>
    <n v="9020.9666666666672"/>
    <n v="7028"/>
    <n v="6545"/>
    <n v="286053"/>
    <n v="270629"/>
    <m/>
    <m/>
    <n v="180639"/>
    <n v="134840"/>
    <n v="32052"/>
    <n v="43398"/>
    <n v="162652"/>
    <n v="141124"/>
    <n v="375343"/>
    <n v="417.04777777777775"/>
    <n v="319362"/>
    <n v="354.84666666666669"/>
    <n v="0"/>
    <n v="0"/>
    <n v="375343"/>
    <n v="319362"/>
    <m/>
    <m/>
    <m/>
    <m/>
    <m/>
    <m/>
    <m/>
    <m/>
    <n v="0"/>
    <n v="0"/>
    <n v="0"/>
    <n v="0"/>
    <n v="9952.1477777777782"/>
    <n v="9375.8133333333335"/>
  </r>
  <r>
    <x v="3"/>
    <s v="Valencia College "/>
    <s v="Reclassified: Met the criteria for Two-Year with Bachelor's in 2013-14, 2014-15, and 2015-16."/>
    <n v="138187"/>
    <x v="11"/>
    <s v="sem"/>
    <s v="sem"/>
    <m/>
    <m/>
    <n v="348545"/>
    <n v="351731"/>
    <n v="157519"/>
    <n v="156432"/>
    <n v="383334"/>
    <n v="386381"/>
    <n v="889398"/>
    <n v="29646.6"/>
    <n v="894544"/>
    <n v="29818.133333333335"/>
    <n v="34125"/>
    <n v="38054"/>
    <n v="889398"/>
    <n v="894544"/>
    <m/>
    <m/>
    <n v="137435"/>
    <n v="125458"/>
    <n v="55834"/>
    <n v="66883"/>
    <n v="51221"/>
    <n v="69339"/>
    <n v="244490"/>
    <n v="271.65555555555557"/>
    <n v="261680"/>
    <n v="290.75555555555553"/>
    <n v="0"/>
    <n v="0"/>
    <n v="244490"/>
    <n v="261680"/>
    <m/>
    <m/>
    <m/>
    <m/>
    <m/>
    <m/>
    <m/>
    <m/>
    <n v="0"/>
    <n v="0"/>
    <n v="0"/>
    <n v="0"/>
    <n v="29918.255555555555"/>
    <n v="30108.888888888891"/>
  </r>
  <r>
    <x v="3"/>
    <s v="Florida Gateway College"/>
    <s v="Met the criteria for Two-Year with Bachelor's in 2014-15 and 2015-16."/>
    <n v="135160"/>
    <x v="6"/>
    <s v="sem"/>
    <s v="sem"/>
    <m/>
    <m/>
    <n v="22510"/>
    <n v="20165"/>
    <n v="8554"/>
    <n v="8312"/>
    <n v="22328"/>
    <n v="21586"/>
    <n v="53392"/>
    <n v="1779.7333333333333"/>
    <n v="50063"/>
    <n v="1668.7666666666667"/>
    <n v="11606"/>
    <n v="13042"/>
    <n v="53392"/>
    <n v="50063"/>
    <m/>
    <m/>
    <n v="69944"/>
    <n v="81314"/>
    <n v="53104"/>
    <n v="53049"/>
    <n v="88126"/>
    <n v="94578"/>
    <n v="211174"/>
    <n v="234.63777777777779"/>
    <n v="228941"/>
    <n v="254.37888888888889"/>
    <n v="8795"/>
    <n v="12417"/>
    <n v="211174"/>
    <n v="228941"/>
    <m/>
    <m/>
    <m/>
    <m/>
    <m/>
    <m/>
    <m/>
    <m/>
    <n v="0"/>
    <n v="0"/>
    <n v="0"/>
    <n v="0"/>
    <n v="2014.3711111111111"/>
    <n v="1923.1455555555556"/>
  </r>
  <r>
    <x v="3"/>
    <s v="Lake-Sumter State College "/>
    <s v="Met the criteria for Two-Year with Bachelor's in 2015-16. "/>
    <n v="135188"/>
    <x v="6"/>
    <s v="sem"/>
    <s v="sem"/>
    <m/>
    <m/>
    <n v="34405"/>
    <n v="34488"/>
    <n v="11630"/>
    <n v="12581"/>
    <n v="37474"/>
    <n v="38919"/>
    <n v="83509"/>
    <n v="2783.6333333333332"/>
    <n v="85988"/>
    <n v="2866.2666666666669"/>
    <n v="8037"/>
    <n v="9386"/>
    <n v="83509"/>
    <n v="85988"/>
    <m/>
    <m/>
    <n v="972"/>
    <n v="904"/>
    <n v="0"/>
    <n v="0"/>
    <n v="750"/>
    <n v="634"/>
    <n v="1722"/>
    <n v="1.9133333333333333"/>
    <n v="1538"/>
    <n v="1.7088888888888889"/>
    <n v="0"/>
    <n v="0"/>
    <n v="1722"/>
    <n v="1538"/>
    <m/>
    <m/>
    <m/>
    <m/>
    <m/>
    <m/>
    <m/>
    <m/>
    <n v="0"/>
    <n v="0"/>
    <n v="0"/>
    <n v="0"/>
    <n v="2785.5466666666666"/>
    <n v="2867.9755555555557"/>
  </r>
  <r>
    <x v="3"/>
    <s v="South Florida State College "/>
    <s v="Met the criteria for Two-Year with Bachelor's in 2015-16. "/>
    <n v="137315"/>
    <x v="6"/>
    <s v="sem"/>
    <s v="sem"/>
    <m/>
    <m/>
    <n v="18877"/>
    <n v="19280"/>
    <n v="6158"/>
    <n v="5827"/>
    <n v="21664"/>
    <n v="20766"/>
    <n v="46699"/>
    <n v="1556.6333333333334"/>
    <n v="45873"/>
    <n v="1529.1"/>
    <n v="5632"/>
    <n v="5961"/>
    <n v="46699"/>
    <n v="45873"/>
    <m/>
    <m/>
    <n v="233510"/>
    <n v="231671"/>
    <n v="109386"/>
    <n v="104101"/>
    <n v="277688"/>
    <n v="272714"/>
    <n v="620584"/>
    <n v="689.53777777777782"/>
    <n v="608486"/>
    <n v="676.09555555555551"/>
    <n v="59201"/>
    <n v="59870"/>
    <n v="620584"/>
    <n v="608486"/>
    <m/>
    <m/>
    <m/>
    <m/>
    <m/>
    <m/>
    <m/>
    <m/>
    <n v="0"/>
    <n v="0"/>
    <n v="0"/>
    <n v="0"/>
    <n v="2246.1711111111113"/>
    <n v="2205.1955555555555"/>
  </r>
  <r>
    <x v="3"/>
    <s v="Florida Keys Community College "/>
    <m/>
    <n v="133960"/>
    <x v="8"/>
    <s v="sem"/>
    <s v="sem"/>
    <m/>
    <m/>
    <n v="8930"/>
    <n v="8179"/>
    <n v="2890"/>
    <n v="2984"/>
    <n v="9193"/>
    <n v="9083"/>
    <n v="21013"/>
    <n v="700.43333333333328"/>
    <n v="20246"/>
    <n v="674.86666666666667"/>
    <n v="1268"/>
    <n v="1296"/>
    <n v="21013"/>
    <n v="20246"/>
    <m/>
    <m/>
    <n v="5880"/>
    <n v="12642"/>
    <n v="5279"/>
    <n v="6406"/>
    <n v="10355"/>
    <n v="15156"/>
    <n v="21514"/>
    <n v="23.904444444444444"/>
    <n v="34204"/>
    <n v="38.004444444444445"/>
    <n v="0"/>
    <n v="0"/>
    <n v="21514"/>
    <n v="34204"/>
    <m/>
    <m/>
    <m/>
    <m/>
    <m/>
    <m/>
    <m/>
    <m/>
    <n v="0"/>
    <n v="0"/>
    <n v="0"/>
    <n v="0"/>
    <n v="724.33777777777777"/>
    <n v="712.87111111111108"/>
  </r>
  <r>
    <x v="3"/>
    <s v="North Florida Community College "/>
    <m/>
    <n v="136145"/>
    <x v="8"/>
    <s v="sem"/>
    <s v="sem"/>
    <m/>
    <m/>
    <n v="8398"/>
    <n v="8579"/>
    <n v="2795"/>
    <n v="3067"/>
    <n v="10084"/>
    <n v="9358"/>
    <n v="21277"/>
    <n v="709.23333333333335"/>
    <n v="21004"/>
    <n v="700.13333333333333"/>
    <n v="4292"/>
    <n v="4984"/>
    <n v="21277"/>
    <n v="21004"/>
    <m/>
    <m/>
    <n v="39520"/>
    <n v="41802"/>
    <n v="14385"/>
    <n v="14160"/>
    <n v="28734"/>
    <n v="50642"/>
    <n v="82639"/>
    <n v="91.821111111111108"/>
    <n v="106604"/>
    <n v="118.44888888888889"/>
    <n v="0"/>
    <n v="0"/>
    <n v="82639"/>
    <n v="106604"/>
    <m/>
    <m/>
    <m/>
    <m/>
    <m/>
    <m/>
    <m/>
    <m/>
    <n v="0"/>
    <n v="0"/>
    <n v="0"/>
    <n v="0"/>
    <n v="801.05444444444447"/>
    <n v="818.58222222222219"/>
  </r>
  <r>
    <x v="4"/>
    <s v="Georgia State University "/>
    <m/>
    <n v="139940"/>
    <x v="0"/>
    <s v="sem"/>
    <s v="sem"/>
    <m/>
    <m/>
    <n v="287654.5"/>
    <n v="289080.5"/>
    <n v="66425"/>
    <n v="67683"/>
    <n v="311306.5"/>
    <n v="310230.5"/>
    <n v="665386"/>
    <n v="22179.533333333333"/>
    <n v="666994"/>
    <n v="22233.133333333335"/>
    <n v="2676"/>
    <n v="3088"/>
    <n v="665386"/>
    <n v="666994"/>
    <m/>
    <m/>
    <m/>
    <m/>
    <m/>
    <m/>
    <m/>
    <m/>
    <n v="0"/>
    <n v="0"/>
    <n v="0"/>
    <n v="0"/>
    <m/>
    <m/>
    <n v="0"/>
    <n v="0"/>
    <m/>
    <m/>
    <n v="87414"/>
    <n v="88486"/>
    <n v="49024"/>
    <n v="48777"/>
    <n v="92295"/>
    <n v="90132"/>
    <n v="228733"/>
    <n v="9530.5416666666661"/>
    <n v="227395"/>
    <n v="9474.7916666666661"/>
    <n v="31710.074999999997"/>
    <n v="31707.925000000003"/>
  </r>
  <r>
    <x v="4"/>
    <s v="University of Georgia"/>
    <m/>
    <n v="139959"/>
    <x v="0"/>
    <s v="sem"/>
    <s v="sem"/>
    <m/>
    <m/>
    <n v="344464.5"/>
    <n v="354588.5"/>
    <n v="50672"/>
    <n v="54676"/>
    <n v="365947"/>
    <n v="365990"/>
    <n v="761083.5"/>
    <n v="25369.45"/>
    <n v="775254.5"/>
    <n v="25841.816666666666"/>
    <n v="523"/>
    <n v="512"/>
    <n v="761083.5"/>
    <n v="775254.5"/>
    <m/>
    <m/>
    <m/>
    <m/>
    <m/>
    <m/>
    <m/>
    <m/>
    <n v="0"/>
    <n v="0"/>
    <n v="0"/>
    <n v="0"/>
    <m/>
    <m/>
    <n v="0"/>
    <n v="0"/>
    <m/>
    <m/>
    <n v="102794"/>
    <n v="102207"/>
    <n v="38585"/>
    <n v="40915.199999999997"/>
    <n v="103118"/>
    <n v="108858"/>
    <n v="244497"/>
    <n v="10187.375"/>
    <n v="251980.2"/>
    <n v="10499.175000000001"/>
    <n v="35556.824999999997"/>
    <n v="36340.991666666669"/>
  </r>
  <r>
    <x v="4"/>
    <s v="Georgia Institute of Technology"/>
    <m/>
    <n v="139755"/>
    <x v="1"/>
    <s v="sem"/>
    <s v="sem"/>
    <m/>
    <m/>
    <n v="184907"/>
    <n v="185478.33"/>
    <n v="43398"/>
    <n v="43114"/>
    <n v="200546"/>
    <n v="205026.66"/>
    <n v="428851"/>
    <n v="14295.033333333333"/>
    <n v="433618.99"/>
    <n v="14453.966333333334"/>
    <n v="3198"/>
    <n v="3637"/>
    <n v="428851"/>
    <n v="433618.99"/>
    <m/>
    <m/>
    <m/>
    <m/>
    <m/>
    <m/>
    <m/>
    <m/>
    <n v="0"/>
    <n v="0"/>
    <n v="0"/>
    <n v="0"/>
    <m/>
    <m/>
    <n v="0"/>
    <n v="0"/>
    <m/>
    <m/>
    <n v="92829"/>
    <n v="104184.14"/>
    <n v="42775"/>
    <n v="46005"/>
    <n v="107142"/>
    <n v="112239"/>
    <n v="242746"/>
    <n v="10114.416666666666"/>
    <n v="262428.14"/>
    <n v="10934.505833333335"/>
    <n v="24409.449999999997"/>
    <n v="25388.472166666666"/>
  </r>
  <r>
    <x v="4"/>
    <s v="Georgia Southern University"/>
    <m/>
    <n v="139931"/>
    <x v="2"/>
    <s v="sem"/>
    <s v="sem"/>
    <m/>
    <m/>
    <n v="219069"/>
    <n v="218486"/>
    <n v="57381"/>
    <n v="57466"/>
    <n v="237835"/>
    <n v="238084"/>
    <n v="514285"/>
    <n v="17142.833333333332"/>
    <n v="514036"/>
    <n v="17134.533333333333"/>
    <n v="2238"/>
    <n v="2946"/>
    <n v="514285"/>
    <n v="514036"/>
    <m/>
    <m/>
    <m/>
    <m/>
    <m/>
    <m/>
    <m/>
    <m/>
    <n v="0"/>
    <n v="0"/>
    <n v="0"/>
    <n v="0"/>
    <m/>
    <m/>
    <n v="0"/>
    <n v="0"/>
    <m/>
    <m/>
    <n v="16567"/>
    <n v="16110"/>
    <n v="10597"/>
    <n v="10390"/>
    <n v="17458"/>
    <n v="17301"/>
    <n v="44622"/>
    <n v="1859.25"/>
    <n v="43801"/>
    <n v="1825.0416666666667"/>
    <n v="19002.083333333332"/>
    <n v="18959.575000000001"/>
  </r>
  <r>
    <x v="4"/>
    <s v="Kennesaw State University"/>
    <m/>
    <n v="140164"/>
    <x v="2"/>
    <s v="sem"/>
    <s v="sem"/>
    <m/>
    <m/>
    <n v="322936"/>
    <n v="338269"/>
    <n v="75000"/>
    <n v="78439"/>
    <n v="315470"/>
    <n v="371171"/>
    <n v="713406"/>
    <n v="23780.2"/>
    <n v="787879"/>
    <n v="26262.633333333335"/>
    <n v="6504"/>
    <n v="7615"/>
    <n v="713406"/>
    <n v="787879"/>
    <m/>
    <m/>
    <m/>
    <m/>
    <m/>
    <m/>
    <m/>
    <m/>
    <n v="0"/>
    <n v="0"/>
    <n v="0"/>
    <n v="0"/>
    <m/>
    <m/>
    <n v="0"/>
    <n v="0"/>
    <m/>
    <m/>
    <n v="18851"/>
    <n v="19225"/>
    <n v="13074"/>
    <n v="12942"/>
    <n v="20757.5"/>
    <n v="19794"/>
    <n v="52682.5"/>
    <n v="2195.1041666666665"/>
    <n v="51961"/>
    <n v="2165.0416666666665"/>
    <n v="25975.304166666669"/>
    <n v="28427.675000000003"/>
  </r>
  <r>
    <x v="4"/>
    <s v="University of West Georgia"/>
    <m/>
    <n v="141334"/>
    <x v="2"/>
    <s v="sem"/>
    <s v="sem"/>
    <m/>
    <m/>
    <n v="120604"/>
    <n v="122644"/>
    <n v="23321"/>
    <n v="24552"/>
    <n v="133141"/>
    <n v="139253"/>
    <n v="277066"/>
    <n v="9235.5333333333328"/>
    <n v="286449"/>
    <n v="9548.2999999999993"/>
    <n v="3126"/>
    <n v="4895"/>
    <n v="277066"/>
    <n v="286449"/>
    <m/>
    <m/>
    <m/>
    <m/>
    <m/>
    <m/>
    <m/>
    <m/>
    <n v="0"/>
    <n v="0"/>
    <n v="0"/>
    <n v="0"/>
    <m/>
    <m/>
    <n v="0"/>
    <n v="0"/>
    <m/>
    <m/>
    <n v="12261"/>
    <n v="12574"/>
    <n v="7580"/>
    <n v="8862"/>
    <n v="13103"/>
    <n v="13872"/>
    <n v="32944"/>
    <n v="1372.6666666666667"/>
    <n v="35308"/>
    <n v="1471.1666666666667"/>
    <n v="10608.199999999999"/>
    <n v="11019.466666666665"/>
  </r>
  <r>
    <x v="4"/>
    <s v="Valdosta State University "/>
    <m/>
    <n v="141264"/>
    <x v="2"/>
    <s v="sem"/>
    <s v="sem"/>
    <m/>
    <m/>
    <n v="118336"/>
    <n v="111907"/>
    <n v="21026"/>
    <n v="21211"/>
    <n v="120106"/>
    <n v="112712"/>
    <n v="259468"/>
    <n v="8648.9333333333325"/>
    <n v="245830"/>
    <n v="8194.3333333333339"/>
    <n v="384"/>
    <n v="529"/>
    <n v="259468"/>
    <n v="245830"/>
    <m/>
    <m/>
    <m/>
    <m/>
    <m/>
    <m/>
    <m/>
    <m/>
    <n v="0"/>
    <n v="0"/>
    <n v="0"/>
    <n v="0"/>
    <m/>
    <m/>
    <n v="0"/>
    <n v="0"/>
    <m/>
    <m/>
    <n v="14669"/>
    <n v="15128"/>
    <n v="10391"/>
    <n v="11346"/>
    <n v="15201"/>
    <n v="17197"/>
    <n v="40261"/>
    <n v="1677.5416666666667"/>
    <n v="43671"/>
    <n v="1819.625"/>
    <n v="10326.474999999999"/>
    <n v="10013.958333333334"/>
  </r>
  <r>
    <x v="4"/>
    <s v="Albany State University "/>
    <m/>
    <n v="138716"/>
    <x v="3"/>
    <s v="sem"/>
    <s v="sem"/>
    <m/>
    <m/>
    <n v="42487"/>
    <n v="39934"/>
    <n v="7125"/>
    <n v="6486"/>
    <n v="43030"/>
    <n v="39613"/>
    <n v="92642"/>
    <n v="3088.0666666666666"/>
    <n v="86033"/>
    <n v="2867.7666666666669"/>
    <n v="532"/>
    <n v="527"/>
    <n v="92642"/>
    <n v="86033"/>
    <m/>
    <m/>
    <m/>
    <m/>
    <m/>
    <m/>
    <m/>
    <m/>
    <n v="0"/>
    <n v="0"/>
    <n v="0"/>
    <n v="0"/>
    <m/>
    <m/>
    <n v="0"/>
    <n v="0"/>
    <m/>
    <m/>
    <n v="3996"/>
    <n v="3658"/>
    <n v="2055"/>
    <n v="1640"/>
    <n v="4157"/>
    <n v="3470"/>
    <n v="10208"/>
    <n v="425.33333333333331"/>
    <n v="8768"/>
    <n v="365.33333333333331"/>
    <n v="3513.4"/>
    <n v="3233.1000000000004"/>
  </r>
  <r>
    <x v="4"/>
    <s v="Armstrong State University"/>
    <m/>
    <n v="138789"/>
    <x v="3"/>
    <s v="sem"/>
    <s v="sem"/>
    <m/>
    <m/>
    <n v="72571"/>
    <n v="71814"/>
    <n v="17843"/>
    <n v="16602"/>
    <n v="77544"/>
    <n v="77062"/>
    <n v="167958"/>
    <n v="5598.6"/>
    <n v="165478"/>
    <n v="5515.9333333333334"/>
    <n v="872"/>
    <n v="843"/>
    <n v="167958"/>
    <n v="165478"/>
    <m/>
    <m/>
    <m/>
    <m/>
    <m/>
    <m/>
    <m/>
    <m/>
    <n v="0"/>
    <n v="0"/>
    <n v="0"/>
    <n v="0"/>
    <m/>
    <m/>
    <n v="0"/>
    <n v="0"/>
    <m/>
    <m/>
    <n v="5343"/>
    <n v="5628"/>
    <n v="3679"/>
    <n v="3519"/>
    <n v="5758"/>
    <n v="6075"/>
    <n v="14780"/>
    <n v="615.83333333333337"/>
    <n v="15222"/>
    <n v="634.25"/>
    <n v="6214.4333333333334"/>
    <n v="6150.1833333333334"/>
  </r>
  <r>
    <x v="4"/>
    <s v="Clayton State University"/>
    <m/>
    <n v="139311"/>
    <x v="3"/>
    <s v="sem"/>
    <s v="sem"/>
    <m/>
    <m/>
    <n v="70450"/>
    <n v="67632"/>
    <n v="17863"/>
    <n v="16106"/>
    <n v="70461"/>
    <n v="70234"/>
    <n v="158774"/>
    <n v="5292.4666666666662"/>
    <n v="153972"/>
    <n v="5132.3999999999996"/>
    <n v="7214"/>
    <n v="8272"/>
    <n v="158774"/>
    <n v="153972"/>
    <m/>
    <m/>
    <m/>
    <m/>
    <m/>
    <m/>
    <m/>
    <m/>
    <n v="0"/>
    <n v="0"/>
    <n v="0"/>
    <n v="0"/>
    <m/>
    <m/>
    <n v="0"/>
    <n v="0"/>
    <m/>
    <m/>
    <n v="2799"/>
    <n v="2927"/>
    <n v="1372"/>
    <n v="1544"/>
    <n v="2650"/>
    <n v="2808"/>
    <n v="6821"/>
    <n v="284.20833333333331"/>
    <n v="7279"/>
    <n v="303.29166666666669"/>
    <n v="5576.6749999999993"/>
    <n v="5435.6916666666666"/>
  </r>
  <r>
    <x v="4"/>
    <s v="Columbus State University"/>
    <s v="Met the criteria for Four-Year 3 in 2015-16."/>
    <n v="139366"/>
    <x v="3"/>
    <s v="sem"/>
    <s v="sem"/>
    <m/>
    <m/>
    <n v="79533"/>
    <n v="78134"/>
    <n v="18330"/>
    <n v="17339"/>
    <n v="82382"/>
    <n v="83882"/>
    <n v="180245"/>
    <n v="6008.166666666667"/>
    <n v="179355"/>
    <n v="5978.5"/>
    <n v="2146"/>
    <n v="2413"/>
    <n v="180245"/>
    <n v="179355"/>
    <m/>
    <m/>
    <m/>
    <m/>
    <m/>
    <m/>
    <m/>
    <m/>
    <n v="0"/>
    <n v="0"/>
    <n v="0"/>
    <n v="0"/>
    <m/>
    <m/>
    <n v="0"/>
    <n v="0"/>
    <m/>
    <m/>
    <n v="8157"/>
    <n v="9151"/>
    <n v="4558"/>
    <n v="5327"/>
    <n v="8830"/>
    <n v="10184"/>
    <n v="21545"/>
    <n v="897.70833333333337"/>
    <n v="24662"/>
    <n v="1027.5833333333333"/>
    <n v="6905.875"/>
    <n v="7006.083333333333"/>
  </r>
  <r>
    <x v="4"/>
    <s v="Georgia College and State University"/>
    <m/>
    <n v="139861"/>
    <x v="3"/>
    <s v="sem"/>
    <s v="sem"/>
    <m/>
    <m/>
    <n v="75752"/>
    <n v="78683.5"/>
    <n v="16081.5"/>
    <n v="16730"/>
    <n v="82811.5"/>
    <n v="84128.5"/>
    <n v="174645"/>
    <n v="5821.5"/>
    <n v="179542"/>
    <n v="5984.7333333333336"/>
    <n v="688"/>
    <n v="835"/>
    <n v="174645"/>
    <n v="179542"/>
    <m/>
    <m/>
    <m/>
    <m/>
    <m/>
    <m/>
    <m/>
    <m/>
    <n v="0"/>
    <n v="0"/>
    <n v="0"/>
    <n v="0"/>
    <m/>
    <m/>
    <n v="0"/>
    <n v="0"/>
    <m/>
    <m/>
    <n v="6240"/>
    <n v="6267"/>
    <n v="4690"/>
    <n v="4774"/>
    <n v="6450"/>
    <n v="6594"/>
    <n v="17380"/>
    <n v="724.16666666666663"/>
    <n v="17635"/>
    <n v="734.79166666666663"/>
    <n v="6545.666666666667"/>
    <n v="6719.5250000000005"/>
  </r>
  <r>
    <x v="4"/>
    <s v="Georgia Regents University"/>
    <m/>
    <n v="482149"/>
    <x v="3"/>
    <s v="sem"/>
    <s v="sem"/>
    <m/>
    <m/>
    <n v="63907"/>
    <n v="60688"/>
    <n v="12966"/>
    <n v="10675"/>
    <n v="67163"/>
    <n v="65189"/>
    <n v="144036"/>
    <n v="4801.2"/>
    <n v="136552"/>
    <n v="4551.7333333333336"/>
    <n v="1268"/>
    <n v="1594"/>
    <n v="144036"/>
    <n v="136552"/>
    <m/>
    <m/>
    <m/>
    <m/>
    <m/>
    <m/>
    <m/>
    <m/>
    <n v="0"/>
    <n v="0"/>
    <n v="0"/>
    <n v="0"/>
    <m/>
    <m/>
    <n v="0"/>
    <n v="0"/>
    <m/>
    <m/>
    <n v="15348"/>
    <n v="14743"/>
    <n v="11732"/>
    <n v="11416"/>
    <n v="16793"/>
    <n v="16856"/>
    <n v="43873"/>
    <n v="1828.0416666666667"/>
    <n v="43015"/>
    <n v="1792.2916666666667"/>
    <n v="6629.2416666666668"/>
    <n v="6344.0250000000005"/>
  </r>
  <r>
    <x v="4"/>
    <s v="University of North Georgia"/>
    <m/>
    <n v="482680"/>
    <x v="3"/>
    <s v="sem"/>
    <s v="sem"/>
    <m/>
    <m/>
    <n v="164003"/>
    <n v="170466"/>
    <n v="31242"/>
    <n v="34179"/>
    <n v="181517"/>
    <n v="197268"/>
    <n v="376762"/>
    <n v="12558.733333333334"/>
    <n v="401913"/>
    <n v="13397.1"/>
    <n v="5548"/>
    <n v="8632"/>
    <n v="376762"/>
    <n v="401913"/>
    <m/>
    <m/>
    <m/>
    <m/>
    <m/>
    <m/>
    <m/>
    <m/>
    <n v="0"/>
    <n v="0"/>
    <n v="0"/>
    <n v="0"/>
    <m/>
    <m/>
    <n v="0"/>
    <n v="0"/>
    <m/>
    <m/>
    <n v="4321"/>
    <n v="4196"/>
    <n v="3471"/>
    <n v="3053"/>
    <n v="3893"/>
    <n v="3777"/>
    <n v="11685"/>
    <n v="486.875"/>
    <n v="11026"/>
    <n v="459.41666666666669"/>
    <n v="13045.608333333334"/>
    <n v="13856.516666666666"/>
  </r>
  <r>
    <x v="4"/>
    <s v="Fort Valley State University"/>
    <s v="Reclassified: Met the criteria for Four-Year 4 in 2013-14, 2014-15, and 2015-16."/>
    <n v="139719"/>
    <x v="3"/>
    <s v="sem"/>
    <s v="sem"/>
    <m/>
    <m/>
    <n v="33884"/>
    <n v="28532"/>
    <n v="4746"/>
    <n v="5295"/>
    <n v="30009"/>
    <n v="30970"/>
    <n v="68639"/>
    <n v="2287.9666666666667"/>
    <n v="64797"/>
    <n v="2159.9"/>
    <n v="414"/>
    <n v="461"/>
    <n v="68639"/>
    <n v="64797"/>
    <m/>
    <m/>
    <m/>
    <m/>
    <m/>
    <m/>
    <m/>
    <m/>
    <n v="0"/>
    <n v="0"/>
    <n v="0"/>
    <n v="0"/>
    <m/>
    <m/>
    <n v="0"/>
    <n v="0"/>
    <m/>
    <m/>
    <n v="2383"/>
    <n v="2833"/>
    <n v="824"/>
    <n v="1235"/>
    <n v="2274"/>
    <n v="2909"/>
    <n v="5481"/>
    <n v="228.375"/>
    <n v="6977"/>
    <n v="290.70833333333331"/>
    <n v="2516.3416666666667"/>
    <n v="2450.6083333333336"/>
  </r>
  <r>
    <x v="4"/>
    <s v="Georgia Southwestern State University"/>
    <s v="Met the criteria for Four-Year 4 in 2015-16."/>
    <n v="139764"/>
    <x v="4"/>
    <s v="sem"/>
    <s v="sem"/>
    <m/>
    <m/>
    <n v="28061"/>
    <n v="26530"/>
    <n v="8460"/>
    <n v="7816"/>
    <n v="29552"/>
    <n v="28529"/>
    <n v="66073"/>
    <n v="2202.4333333333334"/>
    <n v="62875"/>
    <n v="2095.8333333333335"/>
    <n v="401"/>
    <n v="706"/>
    <n v="66073"/>
    <n v="62875"/>
    <m/>
    <m/>
    <m/>
    <m/>
    <m/>
    <m/>
    <m/>
    <m/>
    <n v="0"/>
    <n v="0"/>
    <n v="0"/>
    <n v="0"/>
    <m/>
    <m/>
    <n v="0"/>
    <n v="0"/>
    <m/>
    <m/>
    <n v="959"/>
    <n v="789"/>
    <n v="1257"/>
    <n v="2436"/>
    <n v="967"/>
    <n v="2529"/>
    <n v="3183"/>
    <n v="132.625"/>
    <n v="5754"/>
    <n v="239.75"/>
    <n v="2335.0583333333334"/>
    <n v="2335.5833333333335"/>
  </r>
  <r>
    <x v="4"/>
    <s v="Savannah State University"/>
    <m/>
    <n v="140960"/>
    <x v="4"/>
    <s v="sem"/>
    <s v="sem"/>
    <m/>
    <m/>
    <n v="60277"/>
    <n v="58201"/>
    <n v="6961"/>
    <n v="6851"/>
    <n v="65038"/>
    <n v="63250"/>
    <n v="132276"/>
    <n v="4409.2"/>
    <n v="128302"/>
    <n v="4276.7333333333336"/>
    <n v="1382"/>
    <n v="1299"/>
    <n v="132276"/>
    <n v="128302"/>
    <m/>
    <m/>
    <m/>
    <m/>
    <m/>
    <m/>
    <m/>
    <m/>
    <n v="0"/>
    <n v="0"/>
    <n v="0"/>
    <n v="0"/>
    <m/>
    <m/>
    <n v="0"/>
    <n v="0"/>
    <m/>
    <m/>
    <n v="1696"/>
    <n v="1682"/>
    <n v="456"/>
    <n v="366"/>
    <n v="1556"/>
    <n v="1641"/>
    <n v="3708"/>
    <n v="154.5"/>
    <n v="3689"/>
    <n v="153.70833333333334"/>
    <n v="4563.7"/>
    <n v="4430.4416666666666"/>
  </r>
  <r>
    <x v="4"/>
    <s v="Dalton State College "/>
    <m/>
    <n v="139463"/>
    <x v="5"/>
    <s v="sem"/>
    <s v="sem"/>
    <m/>
    <m/>
    <n v="48936"/>
    <n v="49654"/>
    <n v="9599"/>
    <n v="9428"/>
    <n v="53232"/>
    <n v="57481"/>
    <n v="111767"/>
    <n v="3725.5666666666666"/>
    <n v="116563"/>
    <n v="3885.4333333333334"/>
    <n v="2164"/>
    <n v="3119"/>
    <n v="111767"/>
    <n v="116563"/>
    <m/>
    <m/>
    <m/>
    <m/>
    <m/>
    <m/>
    <m/>
    <m/>
    <n v="0"/>
    <n v="0"/>
    <n v="0"/>
    <n v="0"/>
    <m/>
    <m/>
    <n v="0"/>
    <n v="0"/>
    <m/>
    <m/>
    <m/>
    <m/>
    <m/>
    <m/>
    <m/>
    <m/>
    <n v="0"/>
    <n v="0"/>
    <n v="0"/>
    <n v="0"/>
    <n v="3725.5666666666666"/>
    <n v="3885.4333333333334"/>
  </r>
  <r>
    <x v="4"/>
    <s v="Georgia Gwinnett College"/>
    <m/>
    <n v="447689"/>
    <x v="5"/>
    <s v="sem"/>
    <s v="sem"/>
    <m/>
    <m/>
    <n v="115003"/>
    <n v="125461"/>
    <n v="21622"/>
    <n v="22310"/>
    <n v="126718"/>
    <n v="133169"/>
    <n v="263343"/>
    <n v="8778.1"/>
    <n v="280940"/>
    <n v="9364.6666666666661"/>
    <n v="6034"/>
    <n v="6465"/>
    <n v="263343"/>
    <n v="280940"/>
    <m/>
    <m/>
    <m/>
    <m/>
    <m/>
    <m/>
    <m/>
    <m/>
    <n v="0"/>
    <n v="0"/>
    <n v="0"/>
    <n v="0"/>
    <m/>
    <m/>
    <n v="0"/>
    <n v="0"/>
    <m/>
    <m/>
    <m/>
    <m/>
    <m/>
    <m/>
    <m/>
    <m/>
    <n v="0"/>
    <n v="0"/>
    <n v="0"/>
    <n v="0"/>
    <n v="8778.1"/>
    <n v="9364.6666666666661"/>
  </r>
  <r>
    <x v="4"/>
    <s v="Middle Georgia State College"/>
    <m/>
    <n v="482158"/>
    <x v="5"/>
    <s v="sem"/>
    <s v="sem"/>
    <m/>
    <m/>
    <n v="84947"/>
    <n v="78770"/>
    <n v="20284"/>
    <n v="19627"/>
    <n v="86803"/>
    <n v="84658"/>
    <n v="192034"/>
    <n v="6401.1333333333332"/>
    <n v="183055"/>
    <n v="6101.833333333333"/>
    <n v="5315"/>
    <n v="5156"/>
    <n v="192034"/>
    <n v="183055"/>
    <m/>
    <m/>
    <m/>
    <m/>
    <m/>
    <m/>
    <m/>
    <m/>
    <n v="0"/>
    <n v="0"/>
    <n v="0"/>
    <n v="0"/>
    <m/>
    <m/>
    <n v="0"/>
    <n v="0"/>
    <m/>
    <m/>
    <m/>
    <m/>
    <m/>
    <m/>
    <m/>
    <m/>
    <n v="0"/>
    <n v="0"/>
    <n v="0"/>
    <n v="0"/>
    <n v="6401.1333333333332"/>
    <n v="6101.833333333333"/>
  </r>
  <r>
    <x v="4"/>
    <s v="Abraham Baldwin Agricultural College "/>
    <m/>
    <n v="138558"/>
    <x v="11"/>
    <s v="sem"/>
    <s v="sem"/>
    <m/>
    <m/>
    <n v="35986"/>
    <n v="36783"/>
    <n v="5939"/>
    <n v="5853"/>
    <n v="41804"/>
    <n v="41577"/>
    <n v="83729"/>
    <n v="2790.9666666666667"/>
    <n v="84213"/>
    <n v="2807.1"/>
    <n v="2372"/>
    <n v="2360"/>
    <n v="83729"/>
    <n v="84213"/>
    <m/>
    <m/>
    <m/>
    <m/>
    <m/>
    <m/>
    <m/>
    <m/>
    <n v="0"/>
    <n v="0"/>
    <n v="0"/>
    <n v="0"/>
    <m/>
    <m/>
    <n v="0"/>
    <n v="0"/>
    <m/>
    <m/>
    <m/>
    <m/>
    <m/>
    <m/>
    <m/>
    <m/>
    <n v="0"/>
    <n v="0"/>
    <n v="0"/>
    <n v="0"/>
    <n v="2790.9666666666667"/>
    <n v="2807.1"/>
  </r>
  <r>
    <x v="4"/>
    <s v="College of Coastal Georgia "/>
    <s v="Met the criteria for Four-Year 6 in 2014-15 and 2015-16. "/>
    <n v="139250"/>
    <x v="11"/>
    <s v="sem"/>
    <s v="sem"/>
    <m/>
    <m/>
    <n v="30774"/>
    <n v="31585"/>
    <n v="5792"/>
    <n v="6089"/>
    <n v="33960"/>
    <n v="35461"/>
    <n v="70526"/>
    <n v="2350.8666666666668"/>
    <n v="73135"/>
    <n v="2437.8333333333335"/>
    <n v="1783"/>
    <n v="2572"/>
    <n v="70526"/>
    <n v="73135"/>
    <m/>
    <m/>
    <m/>
    <m/>
    <m/>
    <m/>
    <m/>
    <m/>
    <n v="0"/>
    <n v="0"/>
    <n v="0"/>
    <n v="0"/>
    <m/>
    <m/>
    <n v="0"/>
    <n v="0"/>
    <m/>
    <m/>
    <m/>
    <m/>
    <m/>
    <m/>
    <m/>
    <m/>
    <n v="0"/>
    <n v="0"/>
    <n v="0"/>
    <n v="0"/>
    <n v="2350.8666666666668"/>
    <n v="2437.8333333333335"/>
  </r>
  <r>
    <x v="4"/>
    <s v="Gordon State College "/>
    <s v="Met the criteria for Four-Year 6 in 2015-16. "/>
    <n v="139968"/>
    <x v="11"/>
    <s v="sem"/>
    <s v="sem"/>
    <m/>
    <m/>
    <n v="43739"/>
    <n v="41434"/>
    <n v="5746"/>
    <n v="5449"/>
    <n v="47237"/>
    <n v="47686"/>
    <n v="96722"/>
    <n v="3224.0666666666666"/>
    <n v="94569"/>
    <n v="3152.3"/>
    <n v="2679"/>
    <n v="2696"/>
    <n v="96722"/>
    <n v="94569"/>
    <m/>
    <m/>
    <m/>
    <m/>
    <m/>
    <m/>
    <m/>
    <m/>
    <n v="0"/>
    <n v="0"/>
    <n v="0"/>
    <n v="0"/>
    <m/>
    <m/>
    <n v="0"/>
    <n v="0"/>
    <m/>
    <m/>
    <m/>
    <m/>
    <m/>
    <m/>
    <m/>
    <m/>
    <n v="0"/>
    <n v="0"/>
    <n v="0"/>
    <n v="0"/>
    <n v="3224.0666666666666"/>
    <n v="3152.3"/>
  </r>
  <r>
    <x v="4"/>
    <s v="Georgia Perimeter College "/>
    <m/>
    <n v="244437"/>
    <x v="7"/>
    <s v="sem"/>
    <s v="sem"/>
    <m/>
    <m/>
    <n v="195618"/>
    <n v="196273"/>
    <n v="71650"/>
    <n v="70381"/>
    <n v="194073"/>
    <n v="188565"/>
    <n v="461341"/>
    <n v="15378.033333333333"/>
    <n v="455219"/>
    <n v="15173.966666666667"/>
    <n v="15199"/>
    <n v="16133"/>
    <n v="461341"/>
    <n v="455219"/>
    <m/>
    <m/>
    <m/>
    <m/>
    <m/>
    <m/>
    <m/>
    <m/>
    <n v="0"/>
    <n v="0"/>
    <n v="0"/>
    <n v="0"/>
    <m/>
    <m/>
    <n v="0"/>
    <n v="0"/>
    <m/>
    <m/>
    <m/>
    <m/>
    <m/>
    <m/>
    <m/>
    <m/>
    <n v="0"/>
    <n v="0"/>
    <n v="0"/>
    <n v="0"/>
    <n v="15378.033333333333"/>
    <n v="15173.966666666667"/>
  </r>
  <r>
    <x v="4"/>
    <s v="Atlanta Metropolitan State College"/>
    <s v="Met the criteria for Two-Year with Bachelor's in 2014-15 and 2015-16. "/>
    <n v="138901"/>
    <x v="6"/>
    <s v="sem"/>
    <s v="sem"/>
    <m/>
    <m/>
    <n v="30815"/>
    <n v="30181"/>
    <n v="10852"/>
    <n v="9688"/>
    <n v="31521"/>
    <n v="30282"/>
    <n v="73188"/>
    <n v="2439.6"/>
    <n v="70151"/>
    <n v="2338.3666666666668"/>
    <n v="1402"/>
    <n v="2539"/>
    <n v="73188"/>
    <n v="70151"/>
    <m/>
    <m/>
    <m/>
    <m/>
    <m/>
    <m/>
    <m/>
    <m/>
    <n v="0"/>
    <n v="0"/>
    <n v="0"/>
    <n v="0"/>
    <m/>
    <m/>
    <n v="0"/>
    <n v="0"/>
    <m/>
    <m/>
    <m/>
    <m/>
    <m/>
    <m/>
    <m/>
    <m/>
    <n v="0"/>
    <n v="0"/>
    <n v="0"/>
    <n v="0"/>
    <n v="2439.6"/>
    <n v="2338.3666666666668"/>
  </r>
  <r>
    <x v="4"/>
    <s v="Bainbridge State College "/>
    <s v="Met the criteria for Two-Year 3 in 2014-15 and 2015-16."/>
    <n v="139010"/>
    <x v="6"/>
    <s v="sem"/>
    <s v="sem"/>
    <m/>
    <m/>
    <n v="24128"/>
    <n v="19564"/>
    <n v="10452"/>
    <n v="7965"/>
    <n v="23414"/>
    <n v="22530"/>
    <n v="57994"/>
    <n v="1933.1333333333334"/>
    <n v="50059"/>
    <n v="1668.6333333333334"/>
    <n v="2294"/>
    <n v="4703"/>
    <n v="57994"/>
    <n v="50059"/>
    <m/>
    <m/>
    <m/>
    <m/>
    <m/>
    <m/>
    <m/>
    <m/>
    <n v="0"/>
    <n v="0"/>
    <n v="0"/>
    <n v="0"/>
    <m/>
    <m/>
    <n v="0"/>
    <n v="0"/>
    <m/>
    <m/>
    <m/>
    <m/>
    <m/>
    <m/>
    <m/>
    <m/>
    <n v="0"/>
    <n v="0"/>
    <n v="0"/>
    <n v="0"/>
    <n v="1933.1333333333334"/>
    <n v="1668.6333333333334"/>
  </r>
  <r>
    <x v="4"/>
    <s v="Darton State College "/>
    <s v="Met the criteria for Two-Year with Bachelor's in 2014-15 and 2015-16. "/>
    <n v="138691"/>
    <x v="6"/>
    <s v="sem"/>
    <s v="sem"/>
    <m/>
    <m/>
    <n v="54619.5"/>
    <n v="52603"/>
    <n v="20889"/>
    <n v="20341.5"/>
    <n v="58008"/>
    <n v="56129"/>
    <n v="133516.5"/>
    <n v="4450.55"/>
    <n v="129073.5"/>
    <n v="4302.45"/>
    <n v="2342"/>
    <n v="3628"/>
    <n v="133516.5"/>
    <n v="129073.5"/>
    <m/>
    <m/>
    <m/>
    <m/>
    <m/>
    <m/>
    <m/>
    <m/>
    <n v="0"/>
    <n v="0"/>
    <n v="0"/>
    <n v="0"/>
    <m/>
    <m/>
    <n v="0"/>
    <n v="0"/>
    <m/>
    <m/>
    <m/>
    <m/>
    <m/>
    <m/>
    <m/>
    <m/>
    <n v="0"/>
    <n v="0"/>
    <n v="0"/>
    <n v="0"/>
    <n v="4450.55"/>
    <n v="4302.45"/>
  </r>
  <r>
    <x v="4"/>
    <s v="East Georgia State College"/>
    <s v="Met the criteria for Two-Year with Bachelor's in 2014-15 and 2015-16. "/>
    <n v="139621"/>
    <x v="6"/>
    <s v="sem"/>
    <s v="sem"/>
    <m/>
    <m/>
    <n v="30013"/>
    <n v="29894"/>
    <n v="4767"/>
    <n v="5020"/>
    <n v="33941"/>
    <n v="35159"/>
    <n v="68721"/>
    <n v="2290.6999999999998"/>
    <n v="70073"/>
    <n v="2335.7666666666669"/>
    <n v="703"/>
    <n v="981"/>
    <n v="68721"/>
    <n v="70073"/>
    <m/>
    <m/>
    <m/>
    <m/>
    <m/>
    <m/>
    <m/>
    <m/>
    <n v="0"/>
    <n v="0"/>
    <n v="0"/>
    <n v="0"/>
    <m/>
    <m/>
    <n v="0"/>
    <n v="0"/>
    <m/>
    <m/>
    <m/>
    <m/>
    <m/>
    <m/>
    <m/>
    <m/>
    <n v="0"/>
    <n v="0"/>
    <n v="0"/>
    <n v="0"/>
    <n v="2290.6999999999998"/>
    <n v="2335.7666666666669"/>
  </r>
  <r>
    <x v="4"/>
    <s v="Georgia Highlands College"/>
    <s v="Met the criteria for Two-Year with Bachelor's in 2015-16. "/>
    <n v="139700"/>
    <x v="6"/>
    <s v="sem"/>
    <s v="sem"/>
    <m/>
    <m/>
    <n v="52326"/>
    <n v="51441"/>
    <n v="11576"/>
    <n v="11658"/>
    <n v="54401"/>
    <n v="57851"/>
    <n v="118303"/>
    <n v="3943.4333333333334"/>
    <n v="120950"/>
    <n v="4031.6666666666665"/>
    <n v="1950"/>
    <n v="2855"/>
    <n v="118303"/>
    <n v="120950"/>
    <m/>
    <m/>
    <m/>
    <m/>
    <m/>
    <m/>
    <m/>
    <m/>
    <n v="0"/>
    <n v="0"/>
    <n v="0"/>
    <n v="0"/>
    <m/>
    <m/>
    <n v="0"/>
    <n v="0"/>
    <m/>
    <m/>
    <m/>
    <m/>
    <m/>
    <m/>
    <m/>
    <m/>
    <n v="0"/>
    <n v="0"/>
    <n v="0"/>
    <n v="0"/>
    <n v="3943.4333333333334"/>
    <n v="4031.6666666666665"/>
  </r>
  <r>
    <x v="4"/>
    <s v="South Georgia State College"/>
    <s v="Met the criteria for Two-Year with Bachelor's in 2014-15 and 2015-16. "/>
    <n v="482699"/>
    <x v="6"/>
    <s v="sem"/>
    <s v="sem"/>
    <m/>
    <m/>
    <n v="26918"/>
    <n v="27784"/>
    <n v="5252"/>
    <n v="4539"/>
    <n v="29799"/>
    <n v="31624"/>
    <n v="61969"/>
    <n v="2065.6333333333332"/>
    <n v="63947"/>
    <n v="2131.5666666666666"/>
    <n v="3421"/>
    <n v="4317"/>
    <n v="61969"/>
    <n v="63947"/>
    <m/>
    <m/>
    <m/>
    <m/>
    <m/>
    <m/>
    <m/>
    <m/>
    <n v="0"/>
    <n v="0"/>
    <n v="0"/>
    <n v="0"/>
    <m/>
    <m/>
    <n v="0"/>
    <n v="0"/>
    <m/>
    <m/>
    <m/>
    <m/>
    <m/>
    <m/>
    <m/>
    <m/>
    <n v="0"/>
    <n v="0"/>
    <n v="0"/>
    <n v="0"/>
    <n v="2065.6333333333332"/>
    <n v="2131.5666666666666"/>
  </r>
  <r>
    <x v="4"/>
    <s v="Albany Technical College"/>
    <m/>
    <n v="138682"/>
    <x v="9"/>
    <s v="sem"/>
    <s v="sem"/>
    <m/>
    <m/>
    <n v="39537"/>
    <n v="35931"/>
    <n v="30600"/>
    <n v="27774"/>
    <n v="37403"/>
    <n v="33583"/>
    <n v="107540"/>
    <n v="3584.6666666666665"/>
    <n v="97288"/>
    <n v="3242.9333333333334"/>
    <n v="2546"/>
    <n v="3873.2"/>
    <n v="107540"/>
    <n v="97288"/>
    <m/>
    <m/>
    <m/>
    <m/>
    <m/>
    <m/>
    <m/>
    <m/>
    <n v="0"/>
    <n v="0"/>
    <n v="0"/>
    <n v="0"/>
    <m/>
    <m/>
    <n v="0"/>
    <n v="0"/>
    <m/>
    <m/>
    <m/>
    <m/>
    <m/>
    <m/>
    <m/>
    <m/>
    <n v="0"/>
    <n v="0"/>
    <n v="0"/>
    <n v="0"/>
    <n v="3584.6666666666665"/>
    <n v="3242.9333333333334"/>
  </r>
  <r>
    <x v="4"/>
    <s v="Athens Technical College"/>
    <m/>
    <n v="246813"/>
    <x v="9"/>
    <s v="sem"/>
    <s v="sem"/>
    <m/>
    <m/>
    <n v="34713"/>
    <n v="32050"/>
    <n v="15458"/>
    <n v="13898"/>
    <n v="36184"/>
    <n v="34079"/>
    <n v="86355"/>
    <n v="2878.5"/>
    <n v="80027"/>
    <n v="2667.5666666666666"/>
    <n v="2984"/>
    <n v="3859"/>
    <n v="86355"/>
    <n v="80027"/>
    <m/>
    <m/>
    <m/>
    <m/>
    <m/>
    <m/>
    <m/>
    <m/>
    <n v="0"/>
    <n v="0"/>
    <n v="0"/>
    <n v="0"/>
    <m/>
    <m/>
    <n v="0"/>
    <n v="0"/>
    <m/>
    <m/>
    <m/>
    <m/>
    <m/>
    <m/>
    <m/>
    <m/>
    <n v="0"/>
    <n v="0"/>
    <n v="0"/>
    <n v="0"/>
    <n v="2878.5"/>
    <n v="2667.5666666666666"/>
  </r>
  <r>
    <x v="4"/>
    <s v="Atlanta Technical College"/>
    <m/>
    <n v="138840"/>
    <x v="9"/>
    <s v="sem"/>
    <s v="sem"/>
    <m/>
    <m/>
    <n v="48619"/>
    <n v="40337"/>
    <n v="29730"/>
    <n v="28371"/>
    <n v="40271"/>
    <n v="36243"/>
    <n v="118620"/>
    <n v="3954"/>
    <n v="104951"/>
    <n v="3498.3666666666668"/>
    <n v="2935"/>
    <n v="3378"/>
    <n v="118620"/>
    <n v="104951"/>
    <m/>
    <m/>
    <m/>
    <m/>
    <m/>
    <m/>
    <m/>
    <m/>
    <n v="0"/>
    <n v="0"/>
    <n v="0"/>
    <n v="0"/>
    <m/>
    <m/>
    <n v="0"/>
    <n v="0"/>
    <m/>
    <m/>
    <m/>
    <m/>
    <m/>
    <m/>
    <m/>
    <m/>
    <n v="0"/>
    <n v="0"/>
    <n v="0"/>
    <n v="0"/>
    <n v="3954"/>
    <n v="3498.3666666666668"/>
  </r>
  <r>
    <x v="4"/>
    <s v="Augusta Technical College"/>
    <m/>
    <n v="138956"/>
    <x v="9"/>
    <s v="sem"/>
    <s v="sem"/>
    <m/>
    <m/>
    <n v="38700"/>
    <n v="37040"/>
    <n v="21054"/>
    <n v="21382"/>
    <n v="40134"/>
    <n v="41988"/>
    <n v="99888"/>
    <n v="3329.6"/>
    <n v="100410"/>
    <n v="3347"/>
    <n v="1045"/>
    <n v="2557.3000000000002"/>
    <n v="99888"/>
    <n v="100410"/>
    <m/>
    <m/>
    <m/>
    <m/>
    <m/>
    <m/>
    <m/>
    <m/>
    <n v="0"/>
    <n v="0"/>
    <n v="0"/>
    <n v="0"/>
    <m/>
    <m/>
    <n v="0"/>
    <n v="0"/>
    <m/>
    <m/>
    <m/>
    <m/>
    <m/>
    <m/>
    <m/>
    <m/>
    <n v="0"/>
    <n v="0"/>
    <n v="0"/>
    <n v="0"/>
    <n v="3329.6"/>
    <n v="3347"/>
  </r>
  <r>
    <x v="4"/>
    <s v="Central Georgia Technical College"/>
    <m/>
    <n v="483045"/>
    <x v="9"/>
    <s v="sem"/>
    <s v="sem"/>
    <m/>
    <m/>
    <n v="72439"/>
    <n v="69317"/>
    <n v="45661"/>
    <n v="42799"/>
    <n v="74374"/>
    <n v="71886"/>
    <n v="192474"/>
    <n v="6415.8"/>
    <n v="184002"/>
    <n v="6133.4"/>
    <n v="8772"/>
    <n v="11965"/>
    <n v="192474"/>
    <n v="184002"/>
    <m/>
    <m/>
    <m/>
    <m/>
    <m/>
    <m/>
    <m/>
    <m/>
    <n v="0"/>
    <n v="0"/>
    <n v="0"/>
    <n v="0"/>
    <m/>
    <m/>
    <n v="0"/>
    <n v="0"/>
    <m/>
    <m/>
    <m/>
    <m/>
    <m/>
    <m/>
    <m/>
    <m/>
    <n v="0"/>
    <n v="0"/>
    <n v="0"/>
    <n v="0"/>
    <n v="6415.8"/>
    <n v="6133.4"/>
  </r>
  <r>
    <x v="4"/>
    <s v="Chattahoochee Technical College"/>
    <m/>
    <n v="140331"/>
    <x v="9"/>
    <s v="sem"/>
    <s v="sem"/>
    <m/>
    <m/>
    <n v="88535"/>
    <n v="82675"/>
    <n v="37169"/>
    <n v="33540"/>
    <n v="85569"/>
    <n v="83725"/>
    <n v="211273"/>
    <n v="7042.4333333333334"/>
    <n v="199940"/>
    <n v="6664.666666666667"/>
    <n v="5584.6"/>
    <n v="8596"/>
    <n v="211273"/>
    <n v="199940"/>
    <m/>
    <m/>
    <m/>
    <m/>
    <m/>
    <m/>
    <m/>
    <m/>
    <n v="0"/>
    <n v="0"/>
    <n v="0"/>
    <n v="0"/>
    <m/>
    <m/>
    <n v="0"/>
    <n v="0"/>
    <m/>
    <m/>
    <m/>
    <m/>
    <m/>
    <m/>
    <m/>
    <m/>
    <n v="0"/>
    <n v="0"/>
    <n v="0"/>
    <n v="0"/>
    <n v="7042.4333333333334"/>
    <n v="6664.666666666667"/>
  </r>
  <r>
    <x v="4"/>
    <s v="Coastal Pines Technical College"/>
    <m/>
    <n v="485458"/>
    <x v="9"/>
    <s v="sem"/>
    <s v="sem"/>
    <m/>
    <m/>
    <n v="20574"/>
    <n v="19824"/>
    <n v="10644"/>
    <n v="10093"/>
    <n v="20537"/>
    <n v="19993"/>
    <n v="51755"/>
    <n v="1725.1666666666667"/>
    <n v="49910"/>
    <n v="1663.6666666666667"/>
    <n v="4213"/>
    <n v="8489"/>
    <n v="51755"/>
    <n v="49910"/>
    <m/>
    <m/>
    <m/>
    <m/>
    <m/>
    <m/>
    <m/>
    <m/>
    <n v="0"/>
    <n v="0"/>
    <n v="0"/>
    <n v="0"/>
    <m/>
    <m/>
    <n v="0"/>
    <n v="0"/>
    <m/>
    <m/>
    <m/>
    <m/>
    <m/>
    <m/>
    <m/>
    <m/>
    <n v="0"/>
    <n v="0"/>
    <n v="0"/>
    <n v="0"/>
    <n v="1725.1666666666667"/>
    <n v="1663.6666666666667"/>
  </r>
  <r>
    <x v="4"/>
    <s v="Columbus Technical College"/>
    <m/>
    <n v="139357"/>
    <x v="9"/>
    <s v="sem"/>
    <s v="sem"/>
    <m/>
    <m/>
    <n v="32262"/>
    <n v="28967"/>
    <n v="17639"/>
    <n v="15894"/>
    <n v="32107"/>
    <n v="30659"/>
    <n v="82008"/>
    <n v="2733.6"/>
    <n v="75520"/>
    <n v="2517.3333333333335"/>
    <n v="4225"/>
    <n v="7381"/>
    <n v="82008"/>
    <n v="75520"/>
    <m/>
    <m/>
    <m/>
    <m/>
    <m/>
    <m/>
    <m/>
    <m/>
    <n v="0"/>
    <n v="0"/>
    <n v="0"/>
    <n v="0"/>
    <m/>
    <m/>
    <n v="0"/>
    <n v="0"/>
    <m/>
    <m/>
    <m/>
    <m/>
    <m/>
    <m/>
    <m/>
    <m/>
    <n v="0"/>
    <n v="0"/>
    <n v="0"/>
    <n v="0"/>
    <n v="2733.6"/>
    <n v="2517.3333333333335"/>
  </r>
  <r>
    <x v="4"/>
    <s v="Georgia Northwestern Technical College"/>
    <m/>
    <n v="139384"/>
    <x v="9"/>
    <s v="sem"/>
    <s v="sem"/>
    <m/>
    <m/>
    <n v="51007"/>
    <n v="48221"/>
    <n v="23436"/>
    <n v="21118"/>
    <n v="53138"/>
    <n v="51948"/>
    <n v="127581"/>
    <n v="4252.7"/>
    <n v="121287"/>
    <n v="4042.9"/>
    <n v="11408"/>
    <n v="14681"/>
    <n v="127581"/>
    <n v="121287"/>
    <m/>
    <m/>
    <m/>
    <m/>
    <m/>
    <m/>
    <m/>
    <m/>
    <n v="0"/>
    <n v="0"/>
    <n v="0"/>
    <n v="0"/>
    <m/>
    <m/>
    <n v="0"/>
    <n v="0"/>
    <m/>
    <m/>
    <m/>
    <m/>
    <m/>
    <m/>
    <m/>
    <m/>
    <n v="0"/>
    <n v="0"/>
    <n v="0"/>
    <n v="0"/>
    <n v="4252.7"/>
    <n v="4042.9"/>
  </r>
  <r>
    <x v="4"/>
    <s v="Georgia Piedmont Technical College"/>
    <m/>
    <n v="244446"/>
    <x v="9"/>
    <s v="sem"/>
    <s v="sem"/>
    <m/>
    <m/>
    <n v="36435"/>
    <n v="34781"/>
    <n v="22751"/>
    <n v="20930"/>
    <n v="34340"/>
    <n v="32736"/>
    <n v="93526"/>
    <n v="3117.5333333333333"/>
    <n v="88447"/>
    <n v="2948.2333333333331"/>
    <n v="4494"/>
    <n v="6567.4"/>
    <n v="93526"/>
    <n v="88447"/>
    <m/>
    <m/>
    <m/>
    <m/>
    <m/>
    <m/>
    <m/>
    <m/>
    <n v="0"/>
    <n v="0"/>
    <n v="0"/>
    <n v="0"/>
    <m/>
    <m/>
    <n v="0"/>
    <n v="0"/>
    <m/>
    <m/>
    <m/>
    <m/>
    <m/>
    <m/>
    <m/>
    <m/>
    <n v="0"/>
    <n v="0"/>
    <n v="0"/>
    <n v="0"/>
    <n v="3117.5333333333333"/>
    <n v="2948.2333333333331"/>
  </r>
  <r>
    <x v="4"/>
    <s v="Gwinnett Technical College"/>
    <m/>
    <n v="140012"/>
    <x v="9"/>
    <s v="sem"/>
    <s v="sem"/>
    <m/>
    <m/>
    <n v="63254"/>
    <n v="60814"/>
    <n v="25025"/>
    <n v="22814"/>
    <n v="62484"/>
    <n v="58037"/>
    <n v="150763"/>
    <n v="5025.4333333333334"/>
    <n v="141665"/>
    <n v="4722.166666666667"/>
    <n v="3015"/>
    <n v="5367"/>
    <n v="150763"/>
    <n v="141665"/>
    <m/>
    <m/>
    <m/>
    <m/>
    <m/>
    <m/>
    <m/>
    <m/>
    <n v="0"/>
    <n v="0"/>
    <n v="0"/>
    <n v="0"/>
    <m/>
    <m/>
    <n v="0"/>
    <n v="0"/>
    <m/>
    <m/>
    <m/>
    <m/>
    <m/>
    <m/>
    <m/>
    <m/>
    <n v="0"/>
    <n v="0"/>
    <n v="0"/>
    <n v="0"/>
    <n v="5025.4333333333334"/>
    <n v="4722.166666666667"/>
  </r>
  <r>
    <x v="4"/>
    <s v="Lanier Technical College"/>
    <m/>
    <n v="140243"/>
    <x v="9"/>
    <s v="sem"/>
    <s v="sem"/>
    <m/>
    <m/>
    <n v="30879"/>
    <n v="28989"/>
    <n v="15906"/>
    <n v="14323"/>
    <n v="31066"/>
    <n v="31149"/>
    <n v="77851"/>
    <n v="2595.0333333333333"/>
    <n v="74461"/>
    <n v="2482.0333333333333"/>
    <n v="3500"/>
    <n v="3075"/>
    <n v="77851"/>
    <n v="74461"/>
    <m/>
    <m/>
    <m/>
    <m/>
    <m/>
    <m/>
    <m/>
    <m/>
    <n v="0"/>
    <n v="0"/>
    <n v="0"/>
    <n v="0"/>
    <m/>
    <m/>
    <n v="0"/>
    <n v="0"/>
    <m/>
    <m/>
    <m/>
    <m/>
    <m/>
    <m/>
    <m/>
    <m/>
    <n v="0"/>
    <n v="0"/>
    <n v="0"/>
    <n v="0"/>
    <n v="2595.0333333333333"/>
    <n v="2482.0333333333333"/>
  </r>
  <r>
    <x v="4"/>
    <s v="North Georgia Technical College"/>
    <m/>
    <n v="140678"/>
    <x v="9"/>
    <s v="sem"/>
    <s v="sem"/>
    <m/>
    <m/>
    <n v="23560"/>
    <n v="23426"/>
    <n v="8431"/>
    <n v="9467"/>
    <n v="25768"/>
    <n v="24876"/>
    <n v="57759"/>
    <n v="1925.3"/>
    <n v="57769"/>
    <n v="1925.6333333333334"/>
    <n v="1688"/>
    <n v="2237"/>
    <n v="57759"/>
    <n v="57769"/>
    <m/>
    <m/>
    <m/>
    <m/>
    <m/>
    <m/>
    <m/>
    <m/>
    <n v="0"/>
    <n v="0"/>
    <n v="0"/>
    <n v="0"/>
    <m/>
    <m/>
    <n v="0"/>
    <n v="0"/>
    <m/>
    <m/>
    <m/>
    <m/>
    <m/>
    <m/>
    <m/>
    <m/>
    <n v="0"/>
    <n v="0"/>
    <n v="0"/>
    <n v="0"/>
    <n v="1925.3"/>
    <n v="1925.6333333333334"/>
  </r>
  <r>
    <x v="4"/>
    <s v="Oconee Fall Line Technical College"/>
    <m/>
    <n v="420431"/>
    <x v="9"/>
    <s v="sem"/>
    <s v="sem"/>
    <m/>
    <m/>
    <n v="14855"/>
    <n v="13175"/>
    <n v="9552"/>
    <n v="8867"/>
    <n v="14304"/>
    <n v="13679"/>
    <n v="38711"/>
    <n v="1290.3666666666666"/>
    <n v="35721"/>
    <n v="1190.7"/>
    <n v="3128"/>
    <n v="2767"/>
    <n v="38711"/>
    <n v="35721"/>
    <m/>
    <m/>
    <m/>
    <m/>
    <m/>
    <m/>
    <m/>
    <m/>
    <n v="0"/>
    <n v="0"/>
    <n v="0"/>
    <n v="0"/>
    <m/>
    <m/>
    <n v="0"/>
    <n v="0"/>
    <m/>
    <m/>
    <m/>
    <m/>
    <m/>
    <m/>
    <m/>
    <m/>
    <n v="0"/>
    <n v="0"/>
    <n v="0"/>
    <n v="0"/>
    <n v="1290.3666666666666"/>
    <n v="1190.7"/>
  </r>
  <r>
    <x v="4"/>
    <s v="Ogeechee Technical College"/>
    <m/>
    <n v="366465"/>
    <x v="9"/>
    <s v="sem"/>
    <s v="sem"/>
    <m/>
    <m/>
    <n v="22636"/>
    <n v="22047"/>
    <n v="14039"/>
    <n v="13140"/>
    <n v="22992"/>
    <n v="20063"/>
    <n v="59667"/>
    <n v="1988.9"/>
    <n v="55250"/>
    <n v="1841.6666666666667"/>
    <n v="1192"/>
    <n v="2635"/>
    <n v="59667"/>
    <n v="55250"/>
    <m/>
    <m/>
    <m/>
    <m/>
    <m/>
    <m/>
    <m/>
    <m/>
    <n v="0"/>
    <n v="0"/>
    <n v="0"/>
    <n v="0"/>
    <m/>
    <m/>
    <n v="0"/>
    <n v="0"/>
    <m/>
    <m/>
    <m/>
    <m/>
    <m/>
    <m/>
    <m/>
    <m/>
    <n v="0"/>
    <n v="0"/>
    <n v="0"/>
    <n v="0"/>
    <n v="1988.9"/>
    <n v="1841.6666666666667"/>
  </r>
  <r>
    <x v="4"/>
    <s v="Savannah Technical College"/>
    <m/>
    <n v="140942"/>
    <x v="9"/>
    <s v="sem"/>
    <s v="sem"/>
    <m/>
    <m/>
    <n v="46097"/>
    <n v="40200"/>
    <n v="19049"/>
    <n v="16359"/>
    <n v="42347"/>
    <n v="38714"/>
    <n v="107493"/>
    <n v="3583.1"/>
    <n v="95273"/>
    <n v="3175.7666666666669"/>
    <n v="3238"/>
    <n v="4797"/>
    <n v="107493"/>
    <n v="95273"/>
    <m/>
    <m/>
    <m/>
    <m/>
    <m/>
    <m/>
    <m/>
    <m/>
    <n v="0"/>
    <n v="0"/>
    <n v="0"/>
    <n v="0"/>
    <m/>
    <m/>
    <n v="0"/>
    <n v="0"/>
    <m/>
    <m/>
    <m/>
    <m/>
    <m/>
    <m/>
    <m/>
    <m/>
    <n v="0"/>
    <n v="0"/>
    <n v="0"/>
    <n v="0"/>
    <n v="3583.1"/>
    <n v="3175.7666666666669"/>
  </r>
  <r>
    <x v="4"/>
    <s v="South Georgia Technical College"/>
    <m/>
    <n v="141006"/>
    <x v="9"/>
    <s v="sem"/>
    <s v="sem"/>
    <m/>
    <m/>
    <n v="17878.5"/>
    <n v="17622"/>
    <n v="8434"/>
    <n v="8042"/>
    <n v="17378"/>
    <n v="17666"/>
    <n v="43690.5"/>
    <n v="1456.35"/>
    <n v="43330"/>
    <n v="1444.3333333333333"/>
    <n v="2393.5"/>
    <n v="3901"/>
    <n v="43690.5"/>
    <n v="43330"/>
    <m/>
    <m/>
    <m/>
    <m/>
    <m/>
    <m/>
    <m/>
    <m/>
    <n v="0"/>
    <n v="0"/>
    <n v="0"/>
    <n v="0"/>
    <m/>
    <m/>
    <n v="0"/>
    <n v="0"/>
    <m/>
    <m/>
    <m/>
    <m/>
    <m/>
    <m/>
    <m/>
    <m/>
    <n v="0"/>
    <n v="0"/>
    <n v="0"/>
    <n v="0"/>
    <n v="1456.35"/>
    <n v="1444.3333333333333"/>
  </r>
  <r>
    <x v="4"/>
    <s v="Southeastern Technical College"/>
    <m/>
    <n v="368911"/>
    <x v="9"/>
    <s v="sem"/>
    <s v="sem"/>
    <m/>
    <m/>
    <n v="12349"/>
    <n v="12922"/>
    <n v="7033"/>
    <n v="6929"/>
    <n v="14551"/>
    <n v="14592"/>
    <n v="33933"/>
    <n v="1131.0999999999999"/>
    <n v="34443"/>
    <n v="1148.0999999999999"/>
    <n v="2516"/>
    <n v="3328"/>
    <n v="33933"/>
    <n v="34443"/>
    <m/>
    <m/>
    <m/>
    <m/>
    <m/>
    <m/>
    <m/>
    <m/>
    <n v="0"/>
    <n v="0"/>
    <n v="0"/>
    <n v="0"/>
    <m/>
    <m/>
    <n v="0"/>
    <n v="0"/>
    <m/>
    <m/>
    <m/>
    <m/>
    <m/>
    <m/>
    <m/>
    <m/>
    <n v="0"/>
    <n v="0"/>
    <n v="0"/>
    <n v="0"/>
    <n v="1131.0999999999999"/>
    <n v="1148.0999999999999"/>
  </r>
  <r>
    <x v="4"/>
    <s v="Southern Crescent Technical College"/>
    <m/>
    <n v="139986"/>
    <x v="9"/>
    <s v="sem"/>
    <s v="sem"/>
    <m/>
    <m/>
    <n v="45333"/>
    <n v="42049"/>
    <n v="16133"/>
    <n v="14718"/>
    <n v="46529"/>
    <n v="44429"/>
    <n v="107995"/>
    <n v="3599.8333333333335"/>
    <n v="101196"/>
    <n v="3373.2"/>
    <n v="3919"/>
    <n v="6002"/>
    <n v="107995"/>
    <n v="101196"/>
    <m/>
    <m/>
    <m/>
    <m/>
    <m/>
    <m/>
    <m/>
    <m/>
    <n v="0"/>
    <n v="0"/>
    <n v="0"/>
    <n v="0"/>
    <m/>
    <m/>
    <n v="0"/>
    <n v="0"/>
    <m/>
    <m/>
    <m/>
    <m/>
    <m/>
    <m/>
    <m/>
    <m/>
    <n v="0"/>
    <n v="0"/>
    <n v="0"/>
    <n v="0"/>
    <n v="3599.8333333333335"/>
    <n v="3373.2"/>
  </r>
  <r>
    <x v="4"/>
    <s v="Southern Regional Technical College"/>
    <m/>
    <n v="487162"/>
    <x v="9"/>
    <s v="sem"/>
    <s v="sem"/>
    <m/>
    <m/>
    <n v="30133"/>
    <n v="29921"/>
    <n v="16056"/>
    <n v="15716"/>
    <n v="31275"/>
    <n v="29986"/>
    <n v="77464"/>
    <n v="2582.1333333333332"/>
    <n v="75623"/>
    <n v="2520.7666666666669"/>
    <n v="10071"/>
    <n v="6727"/>
    <n v="77464"/>
    <n v="75623"/>
    <m/>
    <m/>
    <m/>
    <m/>
    <m/>
    <m/>
    <m/>
    <m/>
    <n v="0"/>
    <n v="0"/>
    <n v="0"/>
    <n v="0"/>
    <m/>
    <m/>
    <n v="0"/>
    <n v="0"/>
    <m/>
    <m/>
    <m/>
    <m/>
    <m/>
    <m/>
    <m/>
    <m/>
    <n v="0"/>
    <n v="0"/>
    <n v="0"/>
    <n v="0"/>
    <n v="2582.1333333333332"/>
    <n v="2520.7666666666669"/>
  </r>
  <r>
    <x v="4"/>
    <s v="West Georgia Technical College"/>
    <m/>
    <n v="139278"/>
    <x v="9"/>
    <s v="sem"/>
    <s v="sem"/>
    <m/>
    <m/>
    <n v="59244"/>
    <n v="54030"/>
    <n v="24359"/>
    <n v="22159"/>
    <n v="58134"/>
    <n v="56768"/>
    <n v="141737"/>
    <n v="4724.5666666666666"/>
    <n v="132957"/>
    <n v="4431.8999999999996"/>
    <n v="9335"/>
    <n v="11882"/>
    <n v="141737"/>
    <n v="132957"/>
    <m/>
    <m/>
    <m/>
    <m/>
    <m/>
    <m/>
    <m/>
    <m/>
    <n v="0"/>
    <n v="0"/>
    <n v="0"/>
    <n v="0"/>
    <m/>
    <m/>
    <n v="0"/>
    <n v="0"/>
    <m/>
    <m/>
    <m/>
    <m/>
    <m/>
    <m/>
    <m/>
    <m/>
    <n v="0"/>
    <n v="0"/>
    <n v="0"/>
    <n v="0"/>
    <n v="4724.5666666666666"/>
    <n v="4431.8999999999996"/>
  </r>
  <r>
    <x v="4"/>
    <s v="Wiregrass Georgia Technical College"/>
    <m/>
    <n v="141255"/>
    <x v="9"/>
    <s v="sem"/>
    <s v="sem"/>
    <m/>
    <m/>
    <n v="33843"/>
    <n v="30812"/>
    <n v="16926"/>
    <n v="14892"/>
    <n v="31743"/>
    <n v="30013"/>
    <n v="82512"/>
    <n v="2750.4"/>
    <n v="75717"/>
    <n v="2523.9"/>
    <n v="8857"/>
    <n v="11437"/>
    <n v="82512"/>
    <n v="75717"/>
    <m/>
    <m/>
    <m/>
    <m/>
    <m/>
    <m/>
    <m/>
    <m/>
    <n v="0"/>
    <n v="0"/>
    <n v="0"/>
    <n v="0"/>
    <m/>
    <m/>
    <n v="0"/>
    <n v="0"/>
    <m/>
    <m/>
    <m/>
    <m/>
    <m/>
    <m/>
    <m/>
    <m/>
    <n v="0"/>
    <n v="0"/>
    <n v="0"/>
    <n v="0"/>
    <n v="2750.4"/>
    <n v="2523.9"/>
  </r>
  <r>
    <x v="5"/>
    <s v="University of Kentucky"/>
    <m/>
    <n v="157085"/>
    <x v="0"/>
    <s v="sem"/>
    <s v="sem"/>
    <m/>
    <m/>
    <n v="273309"/>
    <n v="283884"/>
    <n v="25232"/>
    <n v="24359"/>
    <n v="310776"/>
    <n v="319524"/>
    <n v="609317"/>
    <n v="20310.566666666666"/>
    <n v="627767"/>
    <n v="20925.566666666666"/>
    <n v="38"/>
    <n v="33"/>
    <n v="609317"/>
    <n v="627767"/>
    <m/>
    <m/>
    <m/>
    <m/>
    <m/>
    <m/>
    <m/>
    <m/>
    <n v="0"/>
    <n v="0"/>
    <n v="0"/>
    <n v="0"/>
    <m/>
    <m/>
    <n v="0"/>
    <n v="0"/>
    <m/>
    <m/>
    <n v="36817"/>
    <n v="35933"/>
    <n v="5589"/>
    <n v="5484"/>
    <n v="38360"/>
    <n v="38093"/>
    <n v="80766"/>
    <n v="3365.25"/>
    <n v="79510"/>
    <n v="3312.9166666666665"/>
    <n v="23675.816666666666"/>
    <n v="24238.483333333334"/>
  </r>
  <r>
    <x v="5"/>
    <s v="University of Louisville"/>
    <m/>
    <n v="157289"/>
    <x v="0"/>
    <s v="sem"/>
    <s v="sem"/>
    <m/>
    <m/>
    <n v="174603"/>
    <n v="173781"/>
    <n v="35635"/>
    <n v="37541"/>
    <n v="195293"/>
    <n v="193484"/>
    <n v="405531"/>
    <n v="13517.7"/>
    <n v="404806"/>
    <n v="13493.533333333333"/>
    <n v="1613"/>
    <n v="1939"/>
    <n v="405531"/>
    <n v="404806"/>
    <m/>
    <m/>
    <m/>
    <m/>
    <m/>
    <m/>
    <m/>
    <m/>
    <n v="0"/>
    <n v="0"/>
    <n v="0"/>
    <n v="0"/>
    <m/>
    <m/>
    <n v="0"/>
    <n v="0"/>
    <m/>
    <m/>
    <n v="31613"/>
    <n v="31617"/>
    <n v="11529"/>
    <n v="12869"/>
    <n v="33735"/>
    <n v="33007"/>
    <n v="76877"/>
    <n v="3203.2083333333335"/>
    <n v="77493"/>
    <n v="3228.875"/>
    <n v="16720.908333333333"/>
    <n v="16722.408333333333"/>
  </r>
  <r>
    <x v="5"/>
    <s v="Eastern Kentucky University "/>
    <m/>
    <n v="156620"/>
    <x v="2"/>
    <s v="sem"/>
    <s v="sem"/>
    <m/>
    <m/>
    <n v="159741"/>
    <n v="162997"/>
    <n v="18990"/>
    <n v="18605"/>
    <n v="177679"/>
    <n v="181140"/>
    <n v="356410"/>
    <n v="11880.333333333334"/>
    <n v="362742"/>
    <n v="12091.4"/>
    <n v="4776"/>
    <n v="5958"/>
    <n v="356410"/>
    <n v="362742"/>
    <m/>
    <m/>
    <m/>
    <m/>
    <m/>
    <m/>
    <m/>
    <m/>
    <n v="0"/>
    <n v="0"/>
    <n v="0"/>
    <n v="0"/>
    <m/>
    <m/>
    <n v="0"/>
    <n v="0"/>
    <m/>
    <m/>
    <n v="15375"/>
    <n v="16466"/>
    <n v="8794"/>
    <n v="9239"/>
    <n v="16182"/>
    <n v="17068"/>
    <n v="40351"/>
    <n v="1681.2916666666667"/>
    <n v="42773"/>
    <n v="1782.2083333333333"/>
    <n v="13561.625"/>
    <n v="13873.608333333334"/>
  </r>
  <r>
    <x v="5"/>
    <s v="Morehead State University "/>
    <m/>
    <n v="157386"/>
    <x v="2"/>
    <s v="sem"/>
    <s v="sem"/>
    <m/>
    <m/>
    <n v="94329"/>
    <n v="93581"/>
    <n v="7120"/>
    <n v="7540"/>
    <n v="106770"/>
    <n v="105850"/>
    <n v="208219"/>
    <n v="6940.6333333333332"/>
    <n v="206971"/>
    <n v="6899.0333333333338"/>
    <n v="16600"/>
    <n v="17436"/>
    <n v="208219"/>
    <n v="206971"/>
    <m/>
    <m/>
    <m/>
    <m/>
    <m/>
    <m/>
    <m/>
    <m/>
    <n v="0"/>
    <n v="0"/>
    <n v="0"/>
    <n v="0"/>
    <m/>
    <m/>
    <n v="0"/>
    <n v="0"/>
    <m/>
    <m/>
    <n v="7024"/>
    <n v="6314"/>
    <n v="3396"/>
    <n v="3275"/>
    <n v="6712"/>
    <n v="6414"/>
    <n v="17132"/>
    <n v="713.83333333333337"/>
    <n v="16003"/>
    <n v="666.79166666666663"/>
    <n v="7654.4666666666662"/>
    <n v="7565.8250000000007"/>
  </r>
  <r>
    <x v="5"/>
    <s v="Murray State University "/>
    <m/>
    <n v="157401"/>
    <x v="2"/>
    <s v="sem"/>
    <s v="sem"/>
    <m/>
    <m/>
    <n v="106696"/>
    <n v="109878"/>
    <n v="8016"/>
    <n v="8530"/>
    <n v="119608"/>
    <n v="117423"/>
    <n v="234320"/>
    <n v="7810.666666666667"/>
    <n v="235831"/>
    <n v="7861.0333333333338"/>
    <n v="5085"/>
    <n v="6579"/>
    <n v="234320"/>
    <n v="235831"/>
    <m/>
    <m/>
    <m/>
    <m/>
    <m/>
    <m/>
    <m/>
    <m/>
    <n v="0"/>
    <n v="0"/>
    <n v="0"/>
    <n v="0"/>
    <m/>
    <m/>
    <n v="0"/>
    <n v="0"/>
    <m/>
    <m/>
    <n v="11578"/>
    <n v="11682"/>
    <n v="4901"/>
    <n v="5044"/>
    <n v="11659"/>
    <n v="11649"/>
    <n v="28138"/>
    <n v="1172.4166666666667"/>
    <n v="28375"/>
    <n v="1182.2916666666667"/>
    <n v="8983.0833333333339"/>
    <n v="9043.3250000000007"/>
  </r>
  <r>
    <x v="5"/>
    <s v="Northern Kentucky University "/>
    <m/>
    <n v="157447"/>
    <x v="2"/>
    <s v="sem"/>
    <s v="sem"/>
    <m/>
    <m/>
    <n v="145971"/>
    <n v="144915"/>
    <n v="17095"/>
    <n v="15585"/>
    <n v="158873"/>
    <n v="156966"/>
    <n v="321939"/>
    <n v="10731.3"/>
    <n v="317466"/>
    <n v="10582.2"/>
    <n v="6004"/>
    <n v="7461"/>
    <n v="321939"/>
    <n v="317466"/>
    <m/>
    <m/>
    <m/>
    <m/>
    <m/>
    <m/>
    <m/>
    <m/>
    <n v="0"/>
    <n v="0"/>
    <n v="0"/>
    <n v="0"/>
    <m/>
    <m/>
    <n v="0"/>
    <n v="0"/>
    <m/>
    <m/>
    <n v="15817"/>
    <n v="14027"/>
    <n v="5570"/>
    <n v="4691"/>
    <n v="14727"/>
    <n v="14471"/>
    <n v="36114"/>
    <n v="1504.75"/>
    <n v="33189"/>
    <n v="1382.875"/>
    <n v="12236.05"/>
    <n v="11965.075000000001"/>
  </r>
  <r>
    <x v="5"/>
    <s v="Western Kentucky University "/>
    <m/>
    <n v="157951"/>
    <x v="2"/>
    <s v="sem"/>
    <s v="sem"/>
    <m/>
    <m/>
    <n v="200601"/>
    <n v="198661"/>
    <n v="22467"/>
    <n v="21715"/>
    <n v="213456"/>
    <n v="212833"/>
    <n v="436524"/>
    <n v="14550.8"/>
    <n v="433209"/>
    <n v="14440.3"/>
    <n v="14533"/>
    <n v="16299"/>
    <n v="436524"/>
    <n v="433209"/>
    <m/>
    <m/>
    <m/>
    <m/>
    <m/>
    <m/>
    <m/>
    <m/>
    <n v="0"/>
    <n v="0"/>
    <n v="0"/>
    <n v="0"/>
    <m/>
    <m/>
    <n v="0"/>
    <n v="0"/>
    <m/>
    <m/>
    <n v="17635"/>
    <n v="17430"/>
    <n v="7380"/>
    <n v="7874"/>
    <n v="17326"/>
    <n v="17400"/>
    <n v="42341"/>
    <n v="1764.2083333333333"/>
    <n v="42704"/>
    <n v="1779.3333333333333"/>
    <n v="16315.008333333333"/>
    <n v="16219.633333333333"/>
  </r>
  <r>
    <x v="5"/>
    <s v="Kentucky State University "/>
    <m/>
    <n v="157058"/>
    <x v="3"/>
    <s v="sem"/>
    <s v="sem"/>
    <m/>
    <m/>
    <n v="22361"/>
    <n v="21950"/>
    <n v="1839"/>
    <n v="805"/>
    <n v="22943"/>
    <n v="18401"/>
    <n v="47143"/>
    <n v="1571.4333333333334"/>
    <n v="41156"/>
    <n v="1371.8666666666666"/>
    <n v="1470"/>
    <n v="1697"/>
    <n v="47143"/>
    <n v="41156"/>
    <m/>
    <m/>
    <m/>
    <m/>
    <m/>
    <m/>
    <m/>
    <m/>
    <n v="0"/>
    <n v="0"/>
    <n v="0"/>
    <n v="0"/>
    <m/>
    <m/>
    <n v="0"/>
    <n v="0"/>
    <m/>
    <m/>
    <n v="959"/>
    <n v="959"/>
    <n v="93"/>
    <n v="148"/>
    <n v="969"/>
    <n v="1102"/>
    <n v="2021"/>
    <n v="84.208333333333329"/>
    <n v="2209"/>
    <n v="92.041666666666671"/>
    <n v="1655.6416666666667"/>
    <n v="1463.9083333333333"/>
  </r>
  <r>
    <x v="5"/>
    <s v="Bluegrass Community and Technical College"/>
    <m/>
    <n v="157173"/>
    <x v="7"/>
    <s v="sem"/>
    <s v="sem"/>
    <m/>
    <m/>
    <n v="99969"/>
    <n v="89936"/>
    <n v="19109"/>
    <n v="17502"/>
    <n v="102655"/>
    <n v="96789"/>
    <n v="221733"/>
    <n v="7391.1"/>
    <n v="204227"/>
    <n v="6807.5666666666666"/>
    <n v="7257"/>
    <n v="7589"/>
    <n v="221733"/>
    <n v="204227"/>
    <m/>
    <m/>
    <m/>
    <m/>
    <m/>
    <m/>
    <m/>
    <m/>
    <n v="0"/>
    <n v="0"/>
    <n v="0"/>
    <n v="0"/>
    <m/>
    <m/>
    <n v="0"/>
    <n v="0"/>
    <m/>
    <m/>
    <m/>
    <m/>
    <m/>
    <m/>
    <m/>
    <m/>
    <n v="0"/>
    <n v="0"/>
    <n v="0"/>
    <n v="0"/>
    <n v="7391.1"/>
    <n v="6807.5666666666666"/>
  </r>
  <r>
    <x v="5"/>
    <s v="Jefferson Community and Technical College "/>
    <m/>
    <n v="156921"/>
    <x v="7"/>
    <s v="sem"/>
    <s v="sem"/>
    <m/>
    <m/>
    <n v="94840"/>
    <n v="97225"/>
    <n v="14499"/>
    <n v="14450"/>
    <n v="110903"/>
    <n v="102031"/>
    <n v="220242"/>
    <n v="7341.4"/>
    <n v="213706"/>
    <n v="7123.5333333333338"/>
    <n v="10934"/>
    <n v="11730"/>
    <n v="220242"/>
    <n v="213706"/>
    <m/>
    <m/>
    <m/>
    <m/>
    <m/>
    <m/>
    <m/>
    <m/>
    <n v="0"/>
    <n v="0"/>
    <n v="0"/>
    <n v="0"/>
    <m/>
    <m/>
    <n v="0"/>
    <n v="0"/>
    <m/>
    <m/>
    <m/>
    <m/>
    <m/>
    <m/>
    <m/>
    <m/>
    <n v="0"/>
    <n v="0"/>
    <n v="0"/>
    <n v="0"/>
    <n v="7341.4"/>
    <n v="7123.5333333333338"/>
  </r>
  <r>
    <x v="5"/>
    <s v="Ashland Community and Technical College"/>
    <m/>
    <n v="156231"/>
    <x v="6"/>
    <s v="sem"/>
    <s v="sem"/>
    <m/>
    <m/>
    <n v="33666"/>
    <n v="27667"/>
    <n v="5823"/>
    <n v="4452"/>
    <n v="33936"/>
    <n v="30228"/>
    <n v="73425"/>
    <n v="2447.5"/>
    <n v="62347"/>
    <n v="2078.2333333333331"/>
    <n v="3897"/>
    <n v="3619"/>
    <n v="73425"/>
    <n v="62347"/>
    <m/>
    <m/>
    <m/>
    <m/>
    <m/>
    <m/>
    <m/>
    <m/>
    <n v="0"/>
    <n v="0"/>
    <n v="0"/>
    <n v="0"/>
    <m/>
    <m/>
    <n v="0"/>
    <n v="0"/>
    <m/>
    <m/>
    <m/>
    <m/>
    <m/>
    <m/>
    <m/>
    <m/>
    <n v="0"/>
    <n v="0"/>
    <n v="0"/>
    <n v="0"/>
    <n v="2447.5"/>
    <n v="2078.2333333333331"/>
  </r>
  <r>
    <x v="5"/>
    <s v="Big Sandy Community and Technical College "/>
    <m/>
    <n v="157553"/>
    <x v="6"/>
    <s v="sem"/>
    <s v="sem"/>
    <m/>
    <m/>
    <n v="34031"/>
    <n v="33971"/>
    <n v="4088"/>
    <n v="3529"/>
    <n v="37235"/>
    <n v="36500"/>
    <n v="75354"/>
    <n v="2511.8000000000002"/>
    <n v="74000"/>
    <n v="2466.6666666666665"/>
    <n v="2759"/>
    <n v="4007"/>
    <n v="75354"/>
    <n v="74000"/>
    <m/>
    <m/>
    <m/>
    <m/>
    <m/>
    <m/>
    <m/>
    <m/>
    <n v="0"/>
    <n v="0"/>
    <n v="0"/>
    <n v="0"/>
    <m/>
    <m/>
    <n v="0"/>
    <n v="0"/>
    <m/>
    <m/>
    <m/>
    <m/>
    <m/>
    <m/>
    <m/>
    <m/>
    <n v="0"/>
    <n v="0"/>
    <n v="0"/>
    <n v="0"/>
    <n v="2511.8000000000002"/>
    <n v="2466.6666666666665"/>
  </r>
  <r>
    <x v="5"/>
    <s v="Elizabethtown Community and Technical College "/>
    <m/>
    <n v="156648"/>
    <x v="6"/>
    <s v="sem"/>
    <s v="sem"/>
    <m/>
    <m/>
    <n v="49471"/>
    <n v="46819"/>
    <n v="7296"/>
    <n v="7749"/>
    <n v="55276"/>
    <n v="50945"/>
    <n v="112043"/>
    <n v="3734.7666666666669"/>
    <n v="105513"/>
    <n v="3517.1"/>
    <n v="4245"/>
    <n v="4074"/>
    <n v="112043"/>
    <n v="105513"/>
    <m/>
    <m/>
    <m/>
    <m/>
    <m/>
    <m/>
    <m/>
    <m/>
    <n v="0"/>
    <n v="0"/>
    <n v="0"/>
    <n v="0"/>
    <m/>
    <m/>
    <n v="0"/>
    <n v="0"/>
    <m/>
    <m/>
    <m/>
    <m/>
    <m/>
    <m/>
    <m/>
    <m/>
    <n v="0"/>
    <n v="0"/>
    <n v="0"/>
    <n v="0"/>
    <n v="3734.7666666666669"/>
    <n v="3517.1"/>
  </r>
  <r>
    <x v="5"/>
    <s v="Hazard Community and Technical College"/>
    <s v="Met the criteria for Two-Year 3 in 2014-15 and 2015-16."/>
    <n v="156790"/>
    <x v="6"/>
    <s v="sem"/>
    <s v="sem"/>
    <m/>
    <m/>
    <n v="26524"/>
    <n v="25359"/>
    <n v="3846"/>
    <n v="4221"/>
    <n v="29625"/>
    <n v="26819"/>
    <n v="59995"/>
    <n v="1999.8333333333333"/>
    <n v="56399"/>
    <n v="1879.9666666666667"/>
    <n v="3437"/>
    <n v="3474"/>
    <n v="59995"/>
    <n v="56399"/>
    <m/>
    <m/>
    <m/>
    <m/>
    <m/>
    <m/>
    <m/>
    <m/>
    <n v="0"/>
    <n v="0"/>
    <n v="0"/>
    <n v="0"/>
    <m/>
    <m/>
    <n v="0"/>
    <n v="0"/>
    <m/>
    <m/>
    <m/>
    <m/>
    <m/>
    <m/>
    <m/>
    <m/>
    <n v="0"/>
    <n v="0"/>
    <n v="0"/>
    <n v="0"/>
    <n v="1999.8333333333333"/>
    <n v="1879.9666666666667"/>
  </r>
  <r>
    <x v="5"/>
    <s v="Hopkinsville Community College "/>
    <s v="Met the criteria for Two-Year 3 in 2015-16."/>
    <n v="156860"/>
    <x v="6"/>
    <s v="sem"/>
    <s v="sem"/>
    <m/>
    <m/>
    <n v="28380"/>
    <n v="26880"/>
    <n v="5772"/>
    <n v="5869"/>
    <n v="29631"/>
    <n v="26295"/>
    <n v="63783"/>
    <n v="2126.1"/>
    <n v="59044"/>
    <n v="1968.1333333333334"/>
    <n v="2330"/>
    <n v="2098"/>
    <n v="63783"/>
    <n v="59044"/>
    <m/>
    <m/>
    <m/>
    <m/>
    <m/>
    <m/>
    <m/>
    <m/>
    <n v="0"/>
    <n v="0"/>
    <n v="0"/>
    <n v="0"/>
    <m/>
    <m/>
    <n v="0"/>
    <n v="0"/>
    <m/>
    <m/>
    <m/>
    <m/>
    <m/>
    <m/>
    <m/>
    <m/>
    <n v="0"/>
    <n v="0"/>
    <n v="0"/>
    <n v="0"/>
    <n v="2126.1"/>
    <n v="1968.1333333333334"/>
  </r>
  <r>
    <x v="5"/>
    <s v="Madisonville Community College"/>
    <s v="Met the criteria for Two-Year 3 in 2015-16."/>
    <n v="157304"/>
    <x v="6"/>
    <s v="sem"/>
    <s v="sem"/>
    <m/>
    <m/>
    <n v="28372"/>
    <n v="24209"/>
    <n v="4227"/>
    <n v="3661"/>
    <n v="30661"/>
    <n v="28272"/>
    <n v="63260"/>
    <n v="2108.6666666666665"/>
    <n v="56142"/>
    <n v="1871.4"/>
    <n v="6067"/>
    <n v="6021"/>
    <n v="63260"/>
    <n v="56142"/>
    <m/>
    <m/>
    <m/>
    <m/>
    <m/>
    <m/>
    <m/>
    <m/>
    <n v="0"/>
    <n v="0"/>
    <n v="0"/>
    <n v="0"/>
    <m/>
    <m/>
    <n v="0"/>
    <n v="0"/>
    <m/>
    <m/>
    <m/>
    <m/>
    <m/>
    <m/>
    <m/>
    <m/>
    <n v="0"/>
    <n v="0"/>
    <n v="0"/>
    <n v="0"/>
    <n v="2108.6666666666665"/>
    <n v="1871.4"/>
  </r>
  <r>
    <x v="5"/>
    <s v="Maysville Community and Technical College "/>
    <m/>
    <n v="157331"/>
    <x v="6"/>
    <s v="sem"/>
    <s v="sem"/>
    <m/>
    <m/>
    <n v="36946"/>
    <n v="32155"/>
    <n v="6034"/>
    <n v="4748"/>
    <n v="34866"/>
    <n v="31009"/>
    <n v="77846"/>
    <n v="2594.8666666666668"/>
    <n v="67912"/>
    <n v="2263.7333333333331"/>
    <n v="5216"/>
    <n v="5797"/>
    <n v="77846"/>
    <n v="67912"/>
    <m/>
    <m/>
    <m/>
    <m/>
    <m/>
    <m/>
    <m/>
    <m/>
    <n v="0"/>
    <n v="0"/>
    <n v="0"/>
    <n v="0"/>
    <m/>
    <m/>
    <n v="0"/>
    <n v="0"/>
    <m/>
    <m/>
    <m/>
    <m/>
    <m/>
    <m/>
    <m/>
    <m/>
    <n v="0"/>
    <n v="0"/>
    <n v="0"/>
    <n v="0"/>
    <n v="2594.8666666666668"/>
    <n v="2263.7333333333331"/>
  </r>
  <r>
    <x v="5"/>
    <s v="Owensboro Community and Technical College "/>
    <m/>
    <n v="247940"/>
    <x v="6"/>
    <s v="sem"/>
    <s v="sem"/>
    <m/>
    <m/>
    <n v="34045"/>
    <n v="27884"/>
    <n v="4281"/>
    <n v="3952"/>
    <n v="36511"/>
    <n v="34073"/>
    <n v="74837"/>
    <n v="2494.5666666666666"/>
    <n v="65909"/>
    <n v="2196.9666666666667"/>
    <n v="6720"/>
    <n v="8652"/>
    <n v="74837"/>
    <n v="65909"/>
    <m/>
    <m/>
    <m/>
    <m/>
    <m/>
    <m/>
    <m/>
    <m/>
    <n v="0"/>
    <n v="0"/>
    <n v="0"/>
    <n v="0"/>
    <m/>
    <m/>
    <n v="0"/>
    <n v="0"/>
    <m/>
    <m/>
    <m/>
    <m/>
    <m/>
    <m/>
    <m/>
    <m/>
    <n v="0"/>
    <n v="0"/>
    <n v="0"/>
    <n v="0"/>
    <n v="2494.5666666666666"/>
    <n v="2196.9666666666667"/>
  </r>
  <r>
    <x v="5"/>
    <s v="Somerset Community and Technical College "/>
    <m/>
    <n v="157711"/>
    <x v="6"/>
    <s v="sem"/>
    <s v="sem"/>
    <m/>
    <m/>
    <n v="60299"/>
    <n v="57579"/>
    <n v="7573"/>
    <n v="8389"/>
    <n v="66376"/>
    <n v="60806"/>
    <n v="134248"/>
    <n v="4474.9333333333334"/>
    <n v="126774"/>
    <n v="4225.8"/>
    <n v="5137"/>
    <n v="5491"/>
    <n v="134248"/>
    <n v="126774"/>
    <m/>
    <m/>
    <m/>
    <m/>
    <m/>
    <m/>
    <m/>
    <m/>
    <n v="0"/>
    <n v="0"/>
    <n v="0"/>
    <n v="0"/>
    <m/>
    <m/>
    <n v="0"/>
    <n v="0"/>
    <m/>
    <m/>
    <m/>
    <m/>
    <m/>
    <m/>
    <m/>
    <m/>
    <n v="0"/>
    <n v="0"/>
    <n v="0"/>
    <n v="0"/>
    <n v="4474.9333333333334"/>
    <n v="4225.8"/>
  </r>
  <r>
    <x v="5"/>
    <s v="Southeast Kentucky Community and Technical College"/>
    <s v="Met the criteria for Two-Year 3 in 2015-16."/>
    <n v="157739"/>
    <x v="6"/>
    <s v="sem"/>
    <s v="sem"/>
    <m/>
    <m/>
    <n v="29175"/>
    <n v="25316"/>
    <n v="2252"/>
    <n v="2262"/>
    <n v="30924"/>
    <n v="27904"/>
    <n v="62351"/>
    <n v="2078.3666666666668"/>
    <n v="55482"/>
    <n v="1849.4"/>
    <n v="5302"/>
    <n v="4572"/>
    <n v="62351"/>
    <n v="55482"/>
    <m/>
    <m/>
    <m/>
    <m/>
    <m/>
    <m/>
    <m/>
    <m/>
    <n v="0"/>
    <n v="0"/>
    <n v="0"/>
    <n v="0"/>
    <m/>
    <m/>
    <n v="0"/>
    <n v="0"/>
    <m/>
    <m/>
    <m/>
    <m/>
    <m/>
    <m/>
    <m/>
    <m/>
    <n v="0"/>
    <n v="0"/>
    <n v="0"/>
    <n v="0"/>
    <n v="2078.3666666666668"/>
    <n v="1849.4"/>
  </r>
  <r>
    <x v="5"/>
    <s v="West Kentucky Community and Technical College"/>
    <m/>
    <n v="157483"/>
    <x v="6"/>
    <s v="sem"/>
    <s v="sem"/>
    <m/>
    <m/>
    <n v="51809"/>
    <n v="47634"/>
    <n v="9669"/>
    <n v="8863"/>
    <n v="55875"/>
    <n v="50352"/>
    <n v="117353"/>
    <n v="3911.7666666666669"/>
    <n v="106849"/>
    <n v="3561.6333333333332"/>
    <n v="8823"/>
    <n v="7955"/>
    <n v="117353"/>
    <n v="106849"/>
    <m/>
    <m/>
    <m/>
    <m/>
    <m/>
    <m/>
    <m/>
    <m/>
    <n v="0"/>
    <n v="0"/>
    <n v="0"/>
    <n v="0"/>
    <m/>
    <m/>
    <n v="0"/>
    <n v="0"/>
    <m/>
    <m/>
    <m/>
    <m/>
    <m/>
    <m/>
    <m/>
    <m/>
    <n v="0"/>
    <n v="0"/>
    <n v="0"/>
    <n v="0"/>
    <n v="3911.7666666666669"/>
    <n v="3561.6333333333332"/>
  </r>
  <r>
    <x v="5"/>
    <s v="Henderson Community College "/>
    <m/>
    <n v="156851"/>
    <x v="8"/>
    <s v="sem"/>
    <s v="sem"/>
    <m/>
    <m/>
    <n v="15506"/>
    <n v="13679"/>
    <n v="2360"/>
    <n v="1980"/>
    <n v="15997"/>
    <n v="13692"/>
    <n v="33863"/>
    <n v="1128.7666666666667"/>
    <n v="29351"/>
    <n v="978.36666666666667"/>
    <n v="2103"/>
    <n v="1799"/>
    <n v="33863"/>
    <n v="29351"/>
    <m/>
    <m/>
    <m/>
    <m/>
    <m/>
    <m/>
    <m/>
    <m/>
    <n v="0"/>
    <n v="0"/>
    <n v="0"/>
    <n v="0"/>
    <m/>
    <m/>
    <n v="0"/>
    <n v="0"/>
    <m/>
    <m/>
    <m/>
    <m/>
    <m/>
    <m/>
    <m/>
    <m/>
    <n v="0"/>
    <n v="0"/>
    <n v="0"/>
    <n v="0"/>
    <n v="1128.7666666666667"/>
    <n v="978.36666666666667"/>
  </r>
  <r>
    <x v="5"/>
    <s v="Gateway Community and Technical College"/>
    <m/>
    <n v="157438"/>
    <x v="9"/>
    <s v="sem"/>
    <s v="sem"/>
    <m/>
    <m/>
    <n v="31802"/>
    <n v="31222"/>
    <n v="6228"/>
    <n v="6082"/>
    <n v="35341"/>
    <n v="33918"/>
    <n v="73371"/>
    <n v="2445.6999999999998"/>
    <n v="71222"/>
    <n v="2374.0666666666666"/>
    <n v="3359"/>
    <n v="4899"/>
    <n v="73371"/>
    <n v="71222"/>
    <m/>
    <m/>
    <m/>
    <m/>
    <m/>
    <m/>
    <m/>
    <m/>
    <n v="0"/>
    <n v="0"/>
    <n v="0"/>
    <n v="0"/>
    <m/>
    <m/>
    <n v="0"/>
    <n v="0"/>
    <m/>
    <m/>
    <m/>
    <m/>
    <m/>
    <m/>
    <m/>
    <m/>
    <n v="0"/>
    <n v="0"/>
    <n v="0"/>
    <n v="0"/>
    <n v="2445.6999999999998"/>
    <n v="2374.0666666666666"/>
  </r>
  <r>
    <x v="5"/>
    <s v="Southcentral Kentucky Community and Technical College"/>
    <m/>
    <n v="156338"/>
    <x v="9"/>
    <s v="sem"/>
    <s v="sem"/>
    <m/>
    <m/>
    <n v="35339"/>
    <n v="33527"/>
    <n v="5818"/>
    <n v="5293"/>
    <n v="38434"/>
    <n v="36919"/>
    <n v="79591"/>
    <n v="2653.0333333333333"/>
    <n v="75739"/>
    <n v="2524.6333333333332"/>
    <n v="4468"/>
    <n v="6111"/>
    <n v="79591"/>
    <n v="75739"/>
    <m/>
    <m/>
    <m/>
    <m/>
    <m/>
    <m/>
    <m/>
    <m/>
    <n v="0"/>
    <n v="0"/>
    <n v="0"/>
    <n v="0"/>
    <m/>
    <m/>
    <n v="0"/>
    <n v="0"/>
    <m/>
    <m/>
    <m/>
    <m/>
    <m/>
    <m/>
    <m/>
    <m/>
    <n v="0"/>
    <n v="0"/>
    <n v="0"/>
    <n v="0"/>
    <n v="2653.0333333333333"/>
    <n v="2524.6333333333332"/>
  </r>
  <r>
    <x v="6"/>
    <s v="Louisiana State University and A&amp;M College"/>
    <m/>
    <n v="159391"/>
    <x v="0"/>
    <s v="sem"/>
    <s v="sem"/>
    <m/>
    <m/>
    <n v="323884"/>
    <n v="330491"/>
    <n v="38216"/>
    <n v="38259"/>
    <n v="364326"/>
    <n v="369742"/>
    <n v="726426"/>
    <n v="24214.2"/>
    <n v="738492"/>
    <n v="24616.400000000001"/>
    <n v="4569"/>
    <n v="5864"/>
    <n v="726426"/>
    <n v="738492"/>
    <m/>
    <m/>
    <m/>
    <m/>
    <m/>
    <m/>
    <m/>
    <m/>
    <n v="0"/>
    <n v="0"/>
    <n v="0"/>
    <n v="0"/>
    <m/>
    <m/>
    <n v="0"/>
    <n v="0"/>
    <m/>
    <m/>
    <n v="57120.5"/>
    <n v="56479"/>
    <n v="15528"/>
    <n v="16110.3"/>
    <n v="58219.5"/>
    <n v="58126"/>
    <n v="130868"/>
    <n v="5452.833333333333"/>
    <n v="130715.3"/>
    <n v="5446.4708333333338"/>
    <n v="29667.033333333333"/>
    <n v="30062.870833333334"/>
  </r>
  <r>
    <x v="6"/>
    <s v="Louisiana Tech University "/>
    <m/>
    <n v="159647"/>
    <x v="1"/>
    <s v="quar"/>
    <s v="quar"/>
    <n v="65995"/>
    <n v="69475"/>
    <n v="67896"/>
    <n v="70586"/>
    <n v="16680"/>
    <n v="15877"/>
    <n v="81552"/>
    <n v="88556"/>
    <n v="232123"/>
    <n v="7737.4333333333334"/>
    <n v="244494"/>
    <n v="8149.8"/>
    <n v="15119"/>
    <n v="17880"/>
    <n v="232123"/>
    <n v="244494"/>
    <m/>
    <m/>
    <m/>
    <m/>
    <m/>
    <m/>
    <m/>
    <m/>
    <n v="0"/>
    <n v="0"/>
    <n v="0"/>
    <n v="0"/>
    <m/>
    <m/>
    <n v="0"/>
    <n v="0"/>
    <n v="7442"/>
    <n v="6939"/>
    <n v="7226"/>
    <n v="7269"/>
    <n v="4146"/>
    <n v="4299"/>
    <n v="9197"/>
    <n v="8580"/>
    <n v="28011"/>
    <n v="1167.125"/>
    <n v="27087"/>
    <n v="1128.625"/>
    <n v="8904.5583333333343"/>
    <n v="9278.4249999999993"/>
  </r>
  <r>
    <x v="6"/>
    <s v="University of Louisiana at Lafayette"/>
    <m/>
    <n v="160658"/>
    <x v="1"/>
    <s v="sem"/>
    <s v="sem"/>
    <m/>
    <m/>
    <n v="181933"/>
    <n v="187469"/>
    <n v="23417"/>
    <n v="23366"/>
    <n v="200217"/>
    <n v="208673"/>
    <n v="405567"/>
    <n v="13518.9"/>
    <n v="419508"/>
    <n v="13983.6"/>
    <n v="3996"/>
    <n v="4385"/>
    <n v="405567"/>
    <n v="419508"/>
    <m/>
    <m/>
    <m/>
    <m/>
    <m/>
    <m/>
    <m/>
    <m/>
    <n v="0"/>
    <n v="0"/>
    <n v="0"/>
    <n v="0"/>
    <m/>
    <m/>
    <n v="0"/>
    <n v="0"/>
    <m/>
    <m/>
    <n v="12510"/>
    <n v="12458"/>
    <n v="3540"/>
    <n v="3689"/>
    <n v="13305"/>
    <n v="13465"/>
    <n v="29355"/>
    <n v="1223.125"/>
    <n v="29612"/>
    <n v="1233.8333333333333"/>
    <n v="14742.025"/>
    <n v="15217.433333333334"/>
  </r>
  <r>
    <x v="6"/>
    <s v="University of New Orleans"/>
    <m/>
    <n v="159939"/>
    <x v="1"/>
    <s v="sem"/>
    <s v="sem"/>
    <m/>
    <m/>
    <n v="78461"/>
    <n v="78935"/>
    <n v="15402"/>
    <n v="13146"/>
    <n v="84962"/>
    <n v="82013"/>
    <n v="178825"/>
    <n v="5960.833333333333"/>
    <n v="174094"/>
    <n v="5803.1333333333332"/>
    <n v="1307"/>
    <n v="1530"/>
    <n v="178825"/>
    <n v="174094"/>
    <m/>
    <m/>
    <m/>
    <m/>
    <m/>
    <m/>
    <m/>
    <m/>
    <n v="0"/>
    <n v="0"/>
    <n v="0"/>
    <n v="0"/>
    <m/>
    <m/>
    <n v="0"/>
    <n v="0"/>
    <m/>
    <m/>
    <n v="13809"/>
    <n v="13474"/>
    <n v="3505"/>
    <n v="3170"/>
    <n v="15461"/>
    <n v="13296"/>
    <n v="32775"/>
    <n v="1365.625"/>
    <n v="29940"/>
    <n v="1247.5"/>
    <n v="7326.458333333333"/>
    <n v="7050.6333333333332"/>
  </r>
  <r>
    <x v="6"/>
    <s v="Southeastern Louisiana University "/>
    <m/>
    <n v="160612"/>
    <x v="2"/>
    <s v="sem"/>
    <s v="sem"/>
    <m/>
    <m/>
    <n v="153563"/>
    <n v="150275"/>
    <n v="18317"/>
    <n v="16313"/>
    <n v="160359"/>
    <n v="157528"/>
    <n v="332239"/>
    <n v="11074.633333333333"/>
    <n v="324116"/>
    <n v="10803.866666666667"/>
    <n v="17806"/>
    <n v="20626"/>
    <n v="332239"/>
    <n v="324116"/>
    <m/>
    <m/>
    <m/>
    <m/>
    <m/>
    <m/>
    <m/>
    <m/>
    <n v="0"/>
    <n v="0"/>
    <n v="0"/>
    <n v="0"/>
    <m/>
    <m/>
    <n v="0"/>
    <n v="0"/>
    <m/>
    <m/>
    <n v="7550"/>
    <n v="7273"/>
    <n v="3865"/>
    <n v="3304"/>
    <n v="7621"/>
    <n v="7070"/>
    <n v="19036"/>
    <n v="793.16666666666663"/>
    <n v="17647"/>
    <n v="735.29166666666663"/>
    <n v="11867.8"/>
    <n v="11539.158333333333"/>
  </r>
  <r>
    <x v="6"/>
    <s v="Southern University and A&amp;M College at Baton Rouge "/>
    <m/>
    <n v="160621"/>
    <x v="2"/>
    <s v="sem"/>
    <s v="sem"/>
    <m/>
    <m/>
    <n v="70096"/>
    <n v="62751"/>
    <n v="8593"/>
    <n v="8983"/>
    <n v="71695"/>
    <n v="73099"/>
    <n v="150384"/>
    <n v="5012.8"/>
    <n v="144833"/>
    <n v="4827.7666666666664"/>
    <n v="605"/>
    <n v="1001"/>
    <n v="150384"/>
    <n v="144833"/>
    <m/>
    <m/>
    <m/>
    <m/>
    <m/>
    <m/>
    <m/>
    <m/>
    <n v="0"/>
    <n v="0"/>
    <n v="0"/>
    <n v="0"/>
    <m/>
    <m/>
    <n v="0"/>
    <n v="0"/>
    <m/>
    <m/>
    <n v="15880"/>
    <n v="15654"/>
    <n v="4040"/>
    <n v="4052"/>
    <n v="16476"/>
    <n v="16660"/>
    <n v="36396"/>
    <n v="1516.5"/>
    <n v="36366"/>
    <n v="1515.25"/>
    <n v="6529.3"/>
    <n v="6343.0166666666664"/>
  </r>
  <r>
    <x v="6"/>
    <s v="University of Louisiana at Monroe"/>
    <m/>
    <n v="159993"/>
    <x v="2"/>
    <s v="sem"/>
    <s v="sem"/>
    <n v="2405"/>
    <n v="2342"/>
    <n v="74599"/>
    <n v="74615"/>
    <n v="10086"/>
    <n v="13876"/>
    <n v="85866"/>
    <n v="89293"/>
    <n v="172956"/>
    <n v="5765.2"/>
    <n v="180126"/>
    <n v="6004.2"/>
    <n v="12095"/>
    <n v="13845"/>
    <n v="172956"/>
    <n v="180126"/>
    <m/>
    <m/>
    <m/>
    <m/>
    <m/>
    <m/>
    <m/>
    <m/>
    <n v="0"/>
    <n v="0"/>
    <n v="0"/>
    <n v="0"/>
    <m/>
    <m/>
    <n v="0"/>
    <n v="0"/>
    <n v="357"/>
    <n v="132"/>
    <n v="13566"/>
    <n v="13212"/>
    <n v="6074"/>
    <n v="5738"/>
    <n v="14477"/>
    <n v="14340"/>
    <n v="34474"/>
    <n v="1436.4166666666667"/>
    <n v="33422"/>
    <n v="1392.5833333333333"/>
    <n v="7201.6166666666668"/>
    <n v="7396.7833333333328"/>
  </r>
  <r>
    <x v="6"/>
    <s v="Grambling State University"/>
    <m/>
    <n v="159009"/>
    <x v="3"/>
    <s v="sem"/>
    <s v="sem"/>
    <m/>
    <m/>
    <n v="50170"/>
    <n v="44274"/>
    <n v="8473"/>
    <n v="8326"/>
    <n v="48330"/>
    <n v="49027"/>
    <n v="106973"/>
    <n v="3565.7666666666669"/>
    <n v="101627"/>
    <n v="3387.5666666666666"/>
    <n v="243"/>
    <n v="166"/>
    <n v="106973"/>
    <n v="101627"/>
    <m/>
    <m/>
    <m/>
    <m/>
    <m/>
    <m/>
    <m/>
    <m/>
    <n v="0"/>
    <n v="0"/>
    <n v="0"/>
    <n v="0"/>
    <m/>
    <m/>
    <n v="0"/>
    <n v="0"/>
    <m/>
    <m/>
    <n v="7343"/>
    <n v="7382"/>
    <n v="2687"/>
    <n v="2961"/>
    <n v="7431"/>
    <n v="7253"/>
    <n v="17461"/>
    <n v="727.54166666666663"/>
    <n v="17596"/>
    <n v="733.16666666666663"/>
    <n v="4293.3083333333334"/>
    <n v="4120.7333333333336"/>
  </r>
  <r>
    <x v="6"/>
    <s v="Louisiana State University in Shreveport"/>
    <m/>
    <n v="159416"/>
    <x v="3"/>
    <s v="sem"/>
    <s v="sem"/>
    <m/>
    <m/>
    <n v="32421"/>
    <n v="30950"/>
    <n v="5828"/>
    <n v="4663"/>
    <n v="34333"/>
    <n v="30936"/>
    <n v="72582"/>
    <n v="2419.4"/>
    <n v="66549"/>
    <n v="2218.3000000000002"/>
    <n v="6748"/>
    <n v="3825"/>
    <n v="72582"/>
    <n v="66549"/>
    <m/>
    <m/>
    <m/>
    <m/>
    <m/>
    <m/>
    <m/>
    <m/>
    <n v="0"/>
    <n v="0"/>
    <n v="0"/>
    <n v="0"/>
    <m/>
    <m/>
    <n v="0"/>
    <n v="0"/>
    <m/>
    <m/>
    <n v="2693"/>
    <n v="7551"/>
    <n v="2874"/>
    <n v="5967"/>
    <n v="4849"/>
    <n v="9918"/>
    <n v="10416"/>
    <n v="434"/>
    <n v="23436"/>
    <n v="976.5"/>
    <n v="2853.4"/>
    <n v="3194.8"/>
  </r>
  <r>
    <x v="6"/>
    <s v="McNeese State University"/>
    <s v="Met the criteria for Four-Year 3 in 2015-16."/>
    <n v="159717"/>
    <x v="3"/>
    <s v="sem"/>
    <s v="sem"/>
    <m/>
    <m/>
    <n v="91454"/>
    <n v="88847"/>
    <n v="10028"/>
    <n v="9340"/>
    <n v="95221"/>
    <n v="96581"/>
    <n v="196703"/>
    <n v="6556.7666666666664"/>
    <n v="194768"/>
    <n v="6492.2666666666664"/>
    <n v="6391"/>
    <n v="7233"/>
    <n v="196703"/>
    <n v="194768"/>
    <m/>
    <m/>
    <m/>
    <m/>
    <m/>
    <m/>
    <m/>
    <m/>
    <n v="0"/>
    <n v="0"/>
    <n v="0"/>
    <n v="0"/>
    <m/>
    <m/>
    <n v="0"/>
    <n v="0"/>
    <m/>
    <m/>
    <n v="5032"/>
    <n v="5185"/>
    <n v="1534"/>
    <n v="1334"/>
    <n v="5286"/>
    <n v="5223"/>
    <n v="11852"/>
    <n v="493.83333333333331"/>
    <n v="11742"/>
    <n v="489.25"/>
    <n v="7050.5999999999995"/>
    <n v="6981.5166666666664"/>
  </r>
  <r>
    <x v="6"/>
    <s v="Nicholls State University "/>
    <m/>
    <n v="159966"/>
    <x v="3"/>
    <s v="sem"/>
    <s v="sem"/>
    <m/>
    <m/>
    <n v="70672"/>
    <n v="67864"/>
    <n v="9802"/>
    <n v="9440"/>
    <n v="77212"/>
    <n v="73298"/>
    <n v="157686"/>
    <n v="5256.2"/>
    <n v="150602"/>
    <n v="5020.0666666666666"/>
    <n v="1307"/>
    <n v="1480"/>
    <n v="157686"/>
    <n v="150602"/>
    <m/>
    <m/>
    <m/>
    <m/>
    <m/>
    <m/>
    <m/>
    <m/>
    <n v="0"/>
    <n v="0"/>
    <n v="0"/>
    <n v="0"/>
    <m/>
    <m/>
    <n v="0"/>
    <n v="0"/>
    <m/>
    <m/>
    <n v="4174"/>
    <n v="4228"/>
    <n v="2635"/>
    <n v="3037"/>
    <n v="3985"/>
    <n v="4496"/>
    <n v="10794"/>
    <n v="449.75"/>
    <n v="11761"/>
    <n v="490.04166666666669"/>
    <n v="5705.95"/>
    <n v="5510.1083333333336"/>
  </r>
  <r>
    <x v="6"/>
    <s v="Northwestern State University"/>
    <m/>
    <n v="160038"/>
    <x v="3"/>
    <s v="sem"/>
    <s v="sem"/>
    <m/>
    <m/>
    <n v="89205"/>
    <n v="85837"/>
    <n v="16140"/>
    <n v="14374"/>
    <n v="95953"/>
    <n v="98408"/>
    <n v="201298"/>
    <n v="6709.9333333333334"/>
    <n v="198619"/>
    <n v="6620.6333333333332"/>
    <n v="8142"/>
    <n v="10020"/>
    <n v="201298"/>
    <n v="198619"/>
    <m/>
    <m/>
    <m/>
    <m/>
    <m/>
    <m/>
    <m/>
    <m/>
    <n v="0"/>
    <n v="0"/>
    <n v="0"/>
    <n v="0"/>
    <m/>
    <m/>
    <n v="0"/>
    <n v="0"/>
    <m/>
    <m/>
    <n v="6064"/>
    <n v="6486"/>
    <n v="3616"/>
    <n v="4177"/>
    <n v="6570"/>
    <n v="6634"/>
    <n v="16250"/>
    <n v="677.08333333333337"/>
    <n v="17297"/>
    <n v="720.70833333333337"/>
    <n v="7387.0166666666664"/>
    <n v="7341.3416666666662"/>
  </r>
  <r>
    <x v="6"/>
    <s v="Southern University at New Orleans"/>
    <m/>
    <n v="160630"/>
    <x v="4"/>
    <s v="sem"/>
    <s v="sem"/>
    <m/>
    <m/>
    <n v="32574"/>
    <n v="27808"/>
    <n v="2655"/>
    <m/>
    <n v="29843"/>
    <n v="29562"/>
    <n v="65072"/>
    <n v="2169.0666666666666"/>
    <n v="57370"/>
    <n v="1912.3333333333333"/>
    <n v="1371"/>
    <n v="1404"/>
    <n v="65072"/>
    <n v="57370"/>
    <m/>
    <m/>
    <m/>
    <m/>
    <m/>
    <m/>
    <m/>
    <m/>
    <n v="0"/>
    <n v="0"/>
    <n v="0"/>
    <n v="0"/>
    <m/>
    <m/>
    <n v="0"/>
    <n v="0"/>
    <m/>
    <m/>
    <n v="981"/>
    <n v="1081"/>
    <n v="160"/>
    <n v="160"/>
    <n v="915"/>
    <n v="1085"/>
    <n v="2056"/>
    <n v="85.666666666666671"/>
    <n v="2326"/>
    <n v="96.916666666666671"/>
    <n v="2254.7333333333331"/>
    <n v="2009.25"/>
  </r>
  <r>
    <x v="6"/>
    <s v="Louisiana State University at Alexandria"/>
    <m/>
    <n v="159382"/>
    <x v="5"/>
    <s v="sem"/>
    <s v="sem"/>
    <m/>
    <m/>
    <n v="21849"/>
    <n v="26034"/>
    <n v="4413"/>
    <n v="4195"/>
    <n v="29103"/>
    <n v="30569"/>
    <n v="55365"/>
    <n v="1845.5"/>
    <n v="60798"/>
    <n v="2026.6"/>
    <n v="3437"/>
    <n v="5555"/>
    <n v="55365"/>
    <n v="60798"/>
    <m/>
    <m/>
    <m/>
    <m/>
    <m/>
    <m/>
    <m/>
    <m/>
    <n v="0"/>
    <n v="0"/>
    <n v="0"/>
    <n v="0"/>
    <m/>
    <m/>
    <n v="0"/>
    <n v="0"/>
    <m/>
    <m/>
    <m/>
    <m/>
    <m/>
    <m/>
    <m/>
    <m/>
    <n v="0"/>
    <n v="0"/>
    <n v="0"/>
    <n v="0"/>
    <n v="1845.5"/>
    <n v="2026.6"/>
  </r>
  <r>
    <x v="6"/>
    <s v="Baton Rouge Community College"/>
    <m/>
    <n v="437103"/>
    <x v="7"/>
    <s v="sem"/>
    <s v="sem"/>
    <m/>
    <m/>
    <n v="92171"/>
    <n v="94476.5"/>
    <n v="16402.5"/>
    <n v="16249"/>
    <n v="104547"/>
    <n v="92329.5"/>
    <n v="213120.5"/>
    <n v="7104.0166666666664"/>
    <n v="203055"/>
    <n v="6768.5"/>
    <n v="6868"/>
    <n v="4650"/>
    <n v="213120.5"/>
    <n v="203055"/>
    <m/>
    <m/>
    <m/>
    <m/>
    <m/>
    <m/>
    <m/>
    <m/>
    <n v="0"/>
    <n v="0"/>
    <n v="0"/>
    <n v="0"/>
    <m/>
    <m/>
    <n v="0"/>
    <n v="0"/>
    <m/>
    <m/>
    <m/>
    <m/>
    <m/>
    <m/>
    <m/>
    <m/>
    <n v="0"/>
    <n v="0"/>
    <n v="0"/>
    <n v="0"/>
    <n v="7104.0166666666664"/>
    <n v="6768.5"/>
  </r>
  <r>
    <x v="6"/>
    <s v="Bossier Parish Community College"/>
    <m/>
    <n v="158431"/>
    <x v="7"/>
    <s v="sem"/>
    <s v="sem"/>
    <m/>
    <m/>
    <n v="80366"/>
    <n v="79734"/>
    <n v="13204"/>
    <n v="10443"/>
    <n v="91051"/>
    <n v="61503"/>
    <n v="184621"/>
    <n v="6154.0333333333338"/>
    <n v="151680"/>
    <n v="5056"/>
    <n v="5302"/>
    <n v="5454"/>
    <n v="184621"/>
    <n v="151680"/>
    <m/>
    <m/>
    <m/>
    <m/>
    <m/>
    <m/>
    <m/>
    <m/>
    <n v="0"/>
    <n v="0"/>
    <n v="0"/>
    <n v="0"/>
    <m/>
    <m/>
    <n v="0"/>
    <n v="0"/>
    <m/>
    <m/>
    <m/>
    <m/>
    <m/>
    <m/>
    <m/>
    <m/>
    <n v="0"/>
    <n v="0"/>
    <n v="0"/>
    <n v="0"/>
    <n v="6154.0333333333338"/>
    <n v="5056"/>
  </r>
  <r>
    <x v="6"/>
    <s v="Delgado Community College "/>
    <m/>
    <n v="158662"/>
    <x v="7"/>
    <s v="sem"/>
    <s v="sem"/>
    <m/>
    <m/>
    <n v="157043"/>
    <n v="156464"/>
    <n v="27485"/>
    <n v="27599"/>
    <n v="160950"/>
    <n v="149920"/>
    <n v="345478"/>
    <n v="11515.933333333332"/>
    <n v="333983"/>
    <n v="11132.766666666666"/>
    <n v="2725"/>
    <n v="3243"/>
    <n v="345478"/>
    <n v="333983"/>
    <m/>
    <m/>
    <m/>
    <m/>
    <m/>
    <m/>
    <m/>
    <m/>
    <n v="0"/>
    <n v="0"/>
    <n v="0"/>
    <n v="0"/>
    <m/>
    <m/>
    <n v="0"/>
    <n v="0"/>
    <m/>
    <m/>
    <m/>
    <m/>
    <m/>
    <m/>
    <m/>
    <m/>
    <n v="0"/>
    <n v="0"/>
    <n v="0"/>
    <n v="0"/>
    <n v="11515.933333333332"/>
    <n v="11132.766666666666"/>
  </r>
  <r>
    <x v="6"/>
    <s v="Louisiana Delta Community College"/>
    <m/>
    <n v="440624"/>
    <x v="6"/>
    <s v="sem"/>
    <s v="sem"/>
    <m/>
    <m/>
    <n v="33287"/>
    <n v="33535.5"/>
    <n v="6710.5"/>
    <n v="7023.5"/>
    <n v="36309"/>
    <n v="31012"/>
    <n v="76306.5"/>
    <n v="2543.5500000000002"/>
    <n v="71571"/>
    <n v="2385.6999999999998"/>
    <n v="6052"/>
    <n v="6374"/>
    <n v="76306.5"/>
    <n v="71571"/>
    <m/>
    <m/>
    <m/>
    <m/>
    <m/>
    <m/>
    <m/>
    <m/>
    <n v="0"/>
    <n v="0"/>
    <n v="0"/>
    <n v="0"/>
    <m/>
    <m/>
    <n v="0"/>
    <n v="0"/>
    <m/>
    <m/>
    <m/>
    <m/>
    <m/>
    <m/>
    <m/>
    <m/>
    <n v="0"/>
    <n v="0"/>
    <n v="0"/>
    <n v="0"/>
    <n v="2543.5500000000002"/>
    <n v="2385.6999999999998"/>
  </r>
  <r>
    <x v="6"/>
    <s v="Louisiana State University at Eunice"/>
    <s v="Reclassified: Met the criteria for Two-Year 3 in 2013-14, 2014-15, and 2015-16. "/>
    <n v="159407"/>
    <x v="8"/>
    <s v="sem"/>
    <s v="sem"/>
    <m/>
    <m/>
    <n v="23826"/>
    <n v="23261"/>
    <n v="4149"/>
    <n v="3885"/>
    <n v="26592"/>
    <n v="24735"/>
    <n v="54567"/>
    <n v="1818.9"/>
    <n v="51881"/>
    <n v="1729.3666666666666"/>
    <n v="2507"/>
    <n v="2304"/>
    <n v="54567"/>
    <n v="51881"/>
    <m/>
    <m/>
    <m/>
    <m/>
    <m/>
    <m/>
    <m/>
    <m/>
    <n v="0"/>
    <n v="0"/>
    <n v="0"/>
    <n v="0"/>
    <m/>
    <m/>
    <n v="0"/>
    <n v="0"/>
    <m/>
    <m/>
    <m/>
    <m/>
    <m/>
    <m/>
    <m/>
    <m/>
    <n v="0"/>
    <n v="0"/>
    <n v="0"/>
    <n v="0"/>
    <n v="1818.9"/>
    <n v="1729.3666666666666"/>
  </r>
  <r>
    <x v="6"/>
    <s v="South Louisiana Community College"/>
    <m/>
    <n v="434061"/>
    <x v="6"/>
    <s v="sem"/>
    <s v="sem"/>
    <n v="0"/>
    <m/>
    <n v="58838.5"/>
    <n v="57951.5"/>
    <n v="9801"/>
    <n v="12489"/>
    <n v="63725"/>
    <n v="69175.5"/>
    <n v="132364.5"/>
    <n v="4412.1499999999996"/>
    <n v="139616"/>
    <n v="4653.8666666666668"/>
    <n v="12678"/>
    <n v="11684"/>
    <n v="132364.5"/>
    <n v="139616"/>
    <m/>
    <m/>
    <m/>
    <m/>
    <m/>
    <m/>
    <m/>
    <m/>
    <n v="0"/>
    <n v="0"/>
    <n v="0"/>
    <n v="0"/>
    <m/>
    <m/>
    <n v="0"/>
    <n v="0"/>
    <m/>
    <m/>
    <m/>
    <m/>
    <m/>
    <m/>
    <m/>
    <m/>
    <n v="0"/>
    <n v="0"/>
    <n v="0"/>
    <n v="0"/>
    <n v="4412.1499999999996"/>
    <n v="4653.8666666666668"/>
  </r>
  <r>
    <x v="6"/>
    <s v="Southern University in Shreveport"/>
    <m/>
    <n v="160649"/>
    <x v="6"/>
    <s v="sem"/>
    <s v="sem"/>
    <m/>
    <m/>
    <n v="30028"/>
    <n v="27962"/>
    <n v="5624"/>
    <n v="5732"/>
    <n v="32293"/>
    <n v="32011"/>
    <n v="67945"/>
    <n v="2264.8333333333335"/>
    <n v="65705"/>
    <n v="2190.1666666666665"/>
    <n v="1872"/>
    <n v="4033"/>
    <n v="67945"/>
    <n v="65705"/>
    <m/>
    <m/>
    <m/>
    <m/>
    <m/>
    <m/>
    <m/>
    <m/>
    <n v="0"/>
    <n v="0"/>
    <n v="0"/>
    <n v="0"/>
    <m/>
    <m/>
    <n v="0"/>
    <n v="0"/>
    <m/>
    <m/>
    <m/>
    <m/>
    <m/>
    <m/>
    <m/>
    <m/>
    <n v="0"/>
    <n v="0"/>
    <n v="0"/>
    <n v="0"/>
    <n v="2264.8333333333335"/>
    <n v="2190.1666666666665"/>
  </r>
  <r>
    <x v="6"/>
    <s v="Nunez Community College"/>
    <m/>
    <n v="158884"/>
    <x v="8"/>
    <s v="sem"/>
    <s v="sem"/>
    <m/>
    <m/>
    <n v="18886"/>
    <n v="20769"/>
    <n v="3755"/>
    <n v="3191"/>
    <n v="20719"/>
    <n v="21466"/>
    <n v="43360"/>
    <n v="1445.3333333333333"/>
    <n v="45426"/>
    <n v="1514.2"/>
    <n v="7288"/>
    <n v="9155"/>
    <n v="43360"/>
    <n v="45426"/>
    <m/>
    <m/>
    <m/>
    <m/>
    <m/>
    <m/>
    <m/>
    <m/>
    <n v="0"/>
    <n v="0"/>
    <n v="0"/>
    <n v="0"/>
    <m/>
    <m/>
    <n v="0"/>
    <n v="0"/>
    <m/>
    <m/>
    <m/>
    <m/>
    <m/>
    <m/>
    <m/>
    <m/>
    <n v="0"/>
    <n v="0"/>
    <n v="0"/>
    <n v="0"/>
    <n v="1445.3333333333333"/>
    <n v="1514.2"/>
  </r>
  <r>
    <x v="6"/>
    <s v="River Parishes Community College"/>
    <m/>
    <n v="436304"/>
    <x v="8"/>
    <s v="sem"/>
    <s v="sem"/>
    <n v="72"/>
    <m/>
    <n v="18328"/>
    <n v="16081"/>
    <n v="3161"/>
    <n v="3216"/>
    <n v="18504"/>
    <n v="17552"/>
    <n v="40065"/>
    <n v="1335.5"/>
    <n v="36849"/>
    <n v="1228.3"/>
    <n v="5507"/>
    <n v="3802"/>
    <n v="40065"/>
    <n v="36849"/>
    <m/>
    <m/>
    <m/>
    <m/>
    <m/>
    <m/>
    <m/>
    <m/>
    <n v="0"/>
    <n v="0"/>
    <n v="0"/>
    <n v="0"/>
    <m/>
    <m/>
    <n v="0"/>
    <n v="0"/>
    <m/>
    <m/>
    <m/>
    <m/>
    <m/>
    <m/>
    <m/>
    <m/>
    <n v="0"/>
    <n v="0"/>
    <n v="0"/>
    <n v="0"/>
    <n v="1335.5"/>
    <n v="1228.3"/>
  </r>
  <r>
    <x v="6"/>
    <s v="Central LA Technical College"/>
    <m/>
    <n v="158088"/>
    <x v="9"/>
    <s v="sem"/>
    <s v="sem"/>
    <m/>
    <m/>
    <n v="18610"/>
    <n v="16427"/>
    <n v="4887"/>
    <n v="3607"/>
    <n v="20083"/>
    <n v="20806"/>
    <n v="43580"/>
    <n v="1452.6666666666667"/>
    <n v="40840"/>
    <n v="1361.3333333333333"/>
    <n v="4383"/>
    <n v="5411"/>
    <n v="43580"/>
    <n v="40840"/>
    <m/>
    <m/>
    <m/>
    <m/>
    <m/>
    <m/>
    <m/>
    <m/>
    <n v="0"/>
    <n v="0"/>
    <n v="0"/>
    <n v="0"/>
    <m/>
    <m/>
    <n v="0"/>
    <n v="0"/>
    <s v="     "/>
    <m/>
    <m/>
    <m/>
    <m/>
    <m/>
    <m/>
    <m/>
    <n v="0"/>
    <n v="0"/>
    <n v="0"/>
    <n v="0"/>
    <n v="1452.6666666666667"/>
    <n v="1361.3333333333333"/>
  </r>
  <r>
    <x v="6"/>
    <s v="L.E. Fletcher Technical Community College"/>
    <m/>
    <n v="160481"/>
    <x v="9"/>
    <s v="sem"/>
    <s v="sem"/>
    <m/>
    <m/>
    <n v="19497"/>
    <n v="17417"/>
    <n v="2535"/>
    <n v="2724"/>
    <n v="20926.5"/>
    <n v="19419.5"/>
    <n v="42958.5"/>
    <n v="1431.95"/>
    <n v="39560.5"/>
    <n v="1318.6833333333334"/>
    <n v="2210"/>
    <n v="1327"/>
    <n v="42958.5"/>
    <n v="39560.5"/>
    <m/>
    <m/>
    <n v="23225"/>
    <n v="17059"/>
    <n v="8612"/>
    <n v="4068"/>
    <n v="19199"/>
    <n v="16103"/>
    <n v="51036"/>
    <n v="56.706666666666663"/>
    <n v="37230"/>
    <n v="41.366666666666667"/>
    <m/>
    <m/>
    <n v="0"/>
    <n v="0"/>
    <m/>
    <m/>
    <m/>
    <m/>
    <m/>
    <m/>
    <m/>
    <m/>
    <n v="0"/>
    <n v="0"/>
    <n v="0"/>
    <n v="0"/>
    <n v="1488.6566666666668"/>
    <n v="1360.05"/>
  </r>
  <r>
    <x v="6"/>
    <s v="Northshore Technical College"/>
    <m/>
    <n v="160667"/>
    <x v="9"/>
    <s v="sem"/>
    <s v="sem"/>
    <m/>
    <m/>
    <n v="21065"/>
    <n v="22203"/>
    <n v="3760"/>
    <n v="3067"/>
    <n v="25910"/>
    <n v="23683"/>
    <n v="50735"/>
    <n v="1691.1666666666667"/>
    <n v="48953"/>
    <n v="1631.7666666666667"/>
    <n v="7855"/>
    <n v="8963"/>
    <n v="50735"/>
    <n v="48953"/>
    <m/>
    <m/>
    <m/>
    <m/>
    <m/>
    <m/>
    <m/>
    <m/>
    <n v="0"/>
    <n v="0"/>
    <n v="0"/>
    <n v="0"/>
    <m/>
    <m/>
    <n v="0"/>
    <n v="0"/>
    <m/>
    <m/>
    <m/>
    <m/>
    <m/>
    <m/>
    <m/>
    <m/>
    <n v="0"/>
    <n v="0"/>
    <n v="0"/>
    <n v="0"/>
    <n v="1691.1666666666667"/>
    <n v="1631.7666666666667"/>
  </r>
  <r>
    <x v="6"/>
    <s v="Northwest LA Technical College"/>
    <m/>
    <n v="160010"/>
    <x v="9"/>
    <s v="sem"/>
    <s v="sem"/>
    <m/>
    <m/>
    <n v="23608"/>
    <n v="25400"/>
    <n v="6616"/>
    <n v="6126"/>
    <n v="25136"/>
    <n v="21495"/>
    <n v="55360"/>
    <n v="1845.3333333333333"/>
    <n v="53021"/>
    <n v="1767.3666666666666"/>
    <n v="12662"/>
    <n v="13474"/>
    <n v="55360"/>
    <n v="53021"/>
    <m/>
    <m/>
    <m/>
    <m/>
    <m/>
    <m/>
    <m/>
    <m/>
    <n v="0"/>
    <n v="0"/>
    <n v="0"/>
    <n v="0"/>
    <m/>
    <m/>
    <n v="0"/>
    <n v="0"/>
    <m/>
    <m/>
    <m/>
    <m/>
    <m/>
    <m/>
    <m/>
    <m/>
    <n v="0"/>
    <n v="0"/>
    <n v="0"/>
    <n v="0"/>
    <n v="1845.3333333333333"/>
    <n v="1767.3666666666666"/>
  </r>
  <r>
    <x v="6"/>
    <s v="South Central LA Technical College"/>
    <m/>
    <n v="160913"/>
    <x v="9"/>
    <s v="sem"/>
    <s v="sem"/>
    <m/>
    <m/>
    <n v="18278"/>
    <n v="16969"/>
    <n v="3388"/>
    <n v="3356"/>
    <n v="22582"/>
    <n v="18834"/>
    <n v="44248"/>
    <n v="1474.9333333333334"/>
    <n v="39159"/>
    <n v="1305.3"/>
    <n v="13664"/>
    <n v="9046.9000000000015"/>
    <n v="44248"/>
    <n v="39159"/>
    <m/>
    <m/>
    <n v="27913"/>
    <n v="16798"/>
    <n v="9295.5"/>
    <n v="3064"/>
    <n v="17189"/>
    <n v="2381"/>
    <n v="54397.5"/>
    <n v="60.44166666666667"/>
    <n v="22243"/>
    <n v="24.714444444444446"/>
    <m/>
    <m/>
    <n v="0"/>
    <n v="0"/>
    <m/>
    <m/>
    <m/>
    <m/>
    <m/>
    <m/>
    <m/>
    <m/>
    <n v="0"/>
    <n v="0"/>
    <n v="0"/>
    <n v="0"/>
    <n v="1535.375"/>
    <n v="1330.0144444444445"/>
  </r>
  <r>
    <x v="6"/>
    <s v="Sowela Technical Community College"/>
    <m/>
    <n v="160579"/>
    <x v="9"/>
    <s v="sem"/>
    <s v="sem"/>
    <m/>
    <m/>
    <n v="31171"/>
    <n v="32157"/>
    <n v="5288"/>
    <n v="4257"/>
    <n v="34145"/>
    <n v="34792.5"/>
    <n v="70604"/>
    <n v="2353.4666666666667"/>
    <n v="71206.5"/>
    <n v="2373.5500000000002"/>
    <n v="5729"/>
    <n v="6408"/>
    <n v="70604"/>
    <n v="71206.5"/>
    <m/>
    <m/>
    <n v="60"/>
    <m/>
    <m/>
    <m/>
    <n v="126"/>
    <m/>
    <n v="186"/>
    <n v="0.20666666666666667"/>
    <n v="0"/>
    <n v="0"/>
    <m/>
    <m/>
    <n v="0"/>
    <n v="0"/>
    <m/>
    <m/>
    <m/>
    <m/>
    <m/>
    <m/>
    <m/>
    <m/>
    <n v="0"/>
    <n v="0"/>
    <n v="0"/>
    <n v="0"/>
    <n v="2353.6733333333332"/>
    <n v="2373.5500000000002"/>
  </r>
  <r>
    <x v="7"/>
    <s v="University of Maryland College Park"/>
    <m/>
    <n v="163286"/>
    <x v="0"/>
    <s v="sem"/>
    <s v="sem"/>
    <n v="11097"/>
    <n v="11706"/>
    <n v="371198"/>
    <n v="377263"/>
    <n v="35253"/>
    <n v="35388"/>
    <n v="383813"/>
    <n v="390187"/>
    <n v="801361"/>
    <n v="26712.033333333333"/>
    <n v="814544"/>
    <n v="27151.466666666667"/>
    <m/>
    <m/>
    <n v="0"/>
    <n v="0"/>
    <m/>
    <m/>
    <m/>
    <m/>
    <m/>
    <m/>
    <m/>
    <m/>
    <n v="0"/>
    <n v="0"/>
    <n v="0"/>
    <n v="0"/>
    <m/>
    <m/>
    <n v="0"/>
    <n v="0"/>
    <n v="2927"/>
    <n v="3736.67"/>
    <n v="66314"/>
    <n v="65895"/>
    <n v="11064"/>
    <n v="11980"/>
    <n v="75057"/>
    <n v="75860.5"/>
    <n v="155362"/>
    <n v="6473.416666666667"/>
    <n v="157472.16999999998"/>
    <n v="6561.340416666666"/>
    <n v="33185.449999999997"/>
    <n v="33712.807083333333"/>
  </r>
  <r>
    <x v="7"/>
    <s v="Morgan State University"/>
    <m/>
    <n v="163453"/>
    <x v="1"/>
    <s v="sem"/>
    <s v="sem"/>
    <n v="1503"/>
    <n v="2075"/>
    <n v="83221"/>
    <n v="83801"/>
    <n v="5286"/>
    <n v="7649"/>
    <n v="86507"/>
    <n v="89874"/>
    <n v="176517"/>
    <n v="5883.9"/>
    <n v="183399"/>
    <n v="6113.3"/>
    <m/>
    <m/>
    <n v="0"/>
    <n v="0"/>
    <m/>
    <m/>
    <m/>
    <m/>
    <m/>
    <m/>
    <m/>
    <m/>
    <n v="0"/>
    <n v="0"/>
    <n v="0"/>
    <n v="0"/>
    <m/>
    <m/>
    <n v="0"/>
    <n v="0"/>
    <n v="0"/>
    <n v="78"/>
    <n v="8829"/>
    <n v="11704"/>
    <n v="0"/>
    <n v="872"/>
    <n v="12300"/>
    <n v="12919"/>
    <n v="21129"/>
    <n v="880.375"/>
    <n v="25573"/>
    <n v="1065.5416666666667"/>
    <n v="6764.2749999999996"/>
    <n v="7178.8416666666672"/>
  </r>
  <r>
    <x v="7"/>
    <s v="University of Maryland, Baltimore County"/>
    <m/>
    <n v="163268"/>
    <x v="1"/>
    <s v="sem"/>
    <s v="sem"/>
    <n v="5654.5"/>
    <n v="6027.5"/>
    <n v="141527"/>
    <n v="143985"/>
    <n v="19557"/>
    <n v="18062"/>
    <n v="153050.5"/>
    <n v="151874"/>
    <n v="319789"/>
    <n v="10659.633333333333"/>
    <n v="319948.5"/>
    <n v="10664.95"/>
    <m/>
    <m/>
    <n v="0"/>
    <n v="0"/>
    <m/>
    <m/>
    <m/>
    <m/>
    <m/>
    <m/>
    <m/>
    <m/>
    <n v="0"/>
    <n v="0"/>
    <n v="0"/>
    <n v="0"/>
    <m/>
    <m/>
    <n v="0"/>
    <n v="0"/>
    <n v="92"/>
    <n v="103"/>
    <n v="16068"/>
    <n v="16145"/>
    <n v="2984"/>
    <n v="2723"/>
    <n v="16204"/>
    <n v="16145"/>
    <n v="35348"/>
    <n v="1472.8333333333333"/>
    <n v="35116"/>
    <n v="1463.1666666666667"/>
    <n v="12132.466666666667"/>
    <n v="12128.116666666667"/>
  </r>
  <r>
    <x v="7"/>
    <s v="Towson University "/>
    <m/>
    <n v="164076"/>
    <x v="2"/>
    <s v="sem"/>
    <s v="sem"/>
    <n v="7367"/>
    <n v="7494"/>
    <n v="246419"/>
    <n v="245823.5"/>
    <n v="26670"/>
    <n v="27673"/>
    <n v="257822"/>
    <n v="260805"/>
    <n v="538278"/>
    <n v="17942.599999999999"/>
    <n v="541795.5"/>
    <n v="18059.849999999999"/>
    <m/>
    <m/>
    <n v="0"/>
    <n v="0"/>
    <m/>
    <m/>
    <m/>
    <m/>
    <m/>
    <m/>
    <m/>
    <m/>
    <n v="0"/>
    <n v="0"/>
    <n v="0"/>
    <n v="0"/>
    <m/>
    <m/>
    <n v="0"/>
    <n v="0"/>
    <n v="1206"/>
    <n v="1043.5"/>
    <n v="21454.5"/>
    <n v="18722.5"/>
    <n v="7967"/>
    <n v="6894.5"/>
    <n v="20780"/>
    <n v="19442"/>
    <n v="51407.5"/>
    <n v="2141.9791666666665"/>
    <n v="46102.5"/>
    <n v="1920.9375"/>
    <n v="20084.579166666666"/>
    <n v="19980.787499999999"/>
  </r>
  <r>
    <x v="7"/>
    <s v="Bowie State University "/>
    <s v="Met the criteria for Four-Year 3 in 2015-16."/>
    <n v="162007"/>
    <x v="3"/>
    <s v="sem"/>
    <s v="sem"/>
    <n v="1423"/>
    <n v="1404"/>
    <n v="53309"/>
    <n v="55084"/>
    <n v="6302"/>
    <n v="5201"/>
    <n v="58865"/>
    <n v="57786"/>
    <n v="119899"/>
    <n v="3996.6333333333332"/>
    <n v="119475"/>
    <n v="3982.5"/>
    <m/>
    <m/>
    <n v="0"/>
    <n v="0"/>
    <m/>
    <m/>
    <m/>
    <m/>
    <m/>
    <m/>
    <m/>
    <m/>
    <n v="0"/>
    <n v="0"/>
    <n v="0"/>
    <n v="0"/>
    <m/>
    <m/>
    <n v="0"/>
    <n v="0"/>
    <n v="144"/>
    <n v="222"/>
    <n v="7941"/>
    <n v="8306"/>
    <n v="1799"/>
    <n v="1220"/>
    <n v="8712"/>
    <n v="7814"/>
    <n v="18596"/>
    <n v="774.83333333333337"/>
    <n v="17562"/>
    <n v="731.75"/>
    <n v="4771.4666666666662"/>
    <n v="4714.25"/>
  </r>
  <r>
    <x v="7"/>
    <s v="Frostburg State University "/>
    <s v="Met the criteria for Four-Year 3 in 2015-16."/>
    <n v="162584"/>
    <x v="3"/>
    <s v="sem"/>
    <s v="sem"/>
    <n v="2167"/>
    <n v="2262"/>
    <n v="60298"/>
    <n v="60977"/>
    <n v="5886"/>
    <n v="6296"/>
    <n v="66083"/>
    <n v="66510"/>
    <n v="134434"/>
    <n v="4481.1333333333332"/>
    <n v="136045"/>
    <n v="4534.833333333333"/>
    <m/>
    <m/>
    <n v="0"/>
    <n v="0"/>
    <m/>
    <m/>
    <m/>
    <m/>
    <m/>
    <m/>
    <m/>
    <m/>
    <n v="0"/>
    <n v="0"/>
    <n v="0"/>
    <n v="0"/>
    <m/>
    <m/>
    <n v="0"/>
    <n v="0"/>
    <n v="409"/>
    <n v="357"/>
    <n v="4371"/>
    <n v="4214"/>
    <n v="2508"/>
    <n v="2657"/>
    <n v="4555"/>
    <n v="4925"/>
    <n v="11843"/>
    <n v="493.45833333333331"/>
    <n v="12153"/>
    <n v="506.375"/>
    <n v="4974.5916666666662"/>
    <n v="5041.208333333333"/>
  </r>
  <r>
    <x v="7"/>
    <s v="Salisbury University "/>
    <s v="Met the criteria for Four-Year 3 in 2015-16."/>
    <n v="163851"/>
    <x v="3"/>
    <s v="sem"/>
    <s v="sem"/>
    <n v="6366"/>
    <n v="6146"/>
    <n v="111321"/>
    <n v="107618"/>
    <n v="7022"/>
    <n v="6727"/>
    <n v="114984"/>
    <n v="111842"/>
    <n v="239693"/>
    <n v="7989.7666666666664"/>
    <n v="232333"/>
    <n v="7744.4333333333334"/>
    <m/>
    <m/>
    <n v="0"/>
    <n v="0"/>
    <m/>
    <m/>
    <m/>
    <m/>
    <m/>
    <m/>
    <m/>
    <m/>
    <n v="0"/>
    <n v="0"/>
    <n v="0"/>
    <n v="0"/>
    <m/>
    <m/>
    <n v="0"/>
    <n v="0"/>
    <n v="512"/>
    <n v="398"/>
    <n v="4266"/>
    <n v="5306"/>
    <n v="1437"/>
    <n v="1569"/>
    <n v="5600"/>
    <n v="6261"/>
    <n v="11815"/>
    <n v="492.29166666666669"/>
    <n v="13534"/>
    <n v="563.91666666666663"/>
    <n v="8482.0583333333325"/>
    <n v="8308.35"/>
  </r>
  <r>
    <x v="7"/>
    <s v="University of Baltimore"/>
    <s v="Met the criteria for Four-Year 3 in 2014-15 and 2015-16."/>
    <n v="161873"/>
    <x v="3"/>
    <s v="sem"/>
    <s v="sem"/>
    <n v="159"/>
    <n v="195"/>
    <n v="34411"/>
    <n v="34155"/>
    <n v="4758"/>
    <n v="4533"/>
    <n v="37295"/>
    <n v="36138"/>
    <n v="76623"/>
    <n v="2554.1"/>
    <n v="75021"/>
    <n v="2500.6999999999998"/>
    <m/>
    <m/>
    <n v="0"/>
    <n v="0"/>
    <m/>
    <m/>
    <m/>
    <m/>
    <m/>
    <m/>
    <m/>
    <m/>
    <n v="0"/>
    <n v="0"/>
    <n v="0"/>
    <n v="0"/>
    <m/>
    <m/>
    <n v="0"/>
    <n v="0"/>
    <n v="69"/>
    <n v="143.5"/>
    <n v="24084"/>
    <n v="23219"/>
    <n v="4028"/>
    <n v="3686"/>
    <n v="24125.5"/>
    <n v="22496"/>
    <n v="52306.5"/>
    <n v="2179.4375"/>
    <n v="49544.5"/>
    <n v="2064.3541666666665"/>
    <n v="4733.5375000000004"/>
    <n v="4565.0541666666668"/>
  </r>
  <r>
    <x v="7"/>
    <s v="University of Maryland Eastern Shore "/>
    <m/>
    <n v="163338"/>
    <x v="3"/>
    <s v="sem"/>
    <s v="sem"/>
    <n v="1522"/>
    <n v="1469"/>
    <n v="46611"/>
    <n v="46095.5"/>
    <n v="4290"/>
    <n v="3472"/>
    <n v="51509"/>
    <n v="53515"/>
    <n v="103932"/>
    <n v="3464.4"/>
    <n v="104551.5"/>
    <n v="3485.05"/>
    <m/>
    <m/>
    <n v="0"/>
    <n v="0"/>
    <m/>
    <m/>
    <m/>
    <m/>
    <m/>
    <m/>
    <m/>
    <m/>
    <n v="0"/>
    <n v="0"/>
    <n v="0"/>
    <n v="0"/>
    <m/>
    <m/>
    <n v="0"/>
    <n v="0"/>
    <n v="310"/>
    <n v="451"/>
    <n v="8295"/>
    <n v="8683.5"/>
    <n v="2088"/>
    <n v="2380"/>
    <n v="9650"/>
    <n v="10308.5"/>
    <n v="20343"/>
    <n v="847.625"/>
    <n v="21823"/>
    <n v="909.29166666666663"/>
    <n v="4312.0249999999996"/>
    <n v="4394.3416666666672"/>
  </r>
  <r>
    <x v="7"/>
    <s v="Coppin State University"/>
    <m/>
    <n v="162283"/>
    <x v="4"/>
    <s v="sem"/>
    <s v="sem"/>
    <n v="273"/>
    <n v="378"/>
    <n v="35644"/>
    <n v="33126"/>
    <n v="422"/>
    <n v="2533"/>
    <n v="35910"/>
    <n v="34063"/>
    <n v="72249"/>
    <n v="2408.3000000000002"/>
    <n v="70100"/>
    <n v="2336.6666666666665"/>
    <m/>
    <m/>
    <n v="0"/>
    <n v="0"/>
    <m/>
    <m/>
    <m/>
    <m/>
    <m/>
    <m/>
    <m/>
    <m/>
    <n v="0"/>
    <n v="0"/>
    <n v="0"/>
    <n v="0"/>
    <m/>
    <m/>
    <n v="0"/>
    <n v="0"/>
    <n v="31"/>
    <n v="125"/>
    <n v="2923"/>
    <n v="2936"/>
    <n v="144"/>
    <n v="361"/>
    <n v="2695"/>
    <n v="2530"/>
    <n v="5793"/>
    <n v="241.375"/>
    <n v="5952"/>
    <n v="248"/>
    <n v="2649.6750000000002"/>
    <n v="2584.6666666666665"/>
  </r>
  <r>
    <x v="7"/>
    <s v="Saint Mary's College of Maryland"/>
    <m/>
    <n v="163912"/>
    <x v="5"/>
    <s v="sem"/>
    <s v="sem"/>
    <n v="0"/>
    <n v="0"/>
    <n v="26318.5"/>
    <n v="25617"/>
    <n v="1354"/>
    <n v="1243"/>
    <n v="26468"/>
    <n v="26724.5"/>
    <n v="54140.5"/>
    <n v="1804.6833333333334"/>
    <n v="53584.5"/>
    <n v="1786.15"/>
    <m/>
    <m/>
    <n v="0"/>
    <n v="0"/>
    <m/>
    <m/>
    <m/>
    <m/>
    <m/>
    <m/>
    <m/>
    <m/>
    <n v="0"/>
    <n v="0"/>
    <n v="0"/>
    <n v="0"/>
    <m/>
    <m/>
    <n v="0"/>
    <n v="0"/>
    <n v="0"/>
    <n v="0"/>
    <n v="476"/>
    <n v="544"/>
    <n v="500"/>
    <n v="436"/>
    <n v="406"/>
    <n v="360"/>
    <n v="1382"/>
    <n v="57.583333333333336"/>
    <n v="1340"/>
    <n v="55.833333333333336"/>
    <n v="1862.2666666666667"/>
    <n v="1841.9833333333333"/>
  </r>
  <r>
    <x v="7"/>
    <s v="Anne Arundel Community College "/>
    <m/>
    <n v="161767"/>
    <x v="7"/>
    <s v="sem"/>
    <s v="sem"/>
    <n v="3973"/>
    <n v="4126"/>
    <n v="122241.5"/>
    <n v="114128"/>
    <n v="27705"/>
    <n v="26327"/>
    <n v="117741"/>
    <n v="123028"/>
    <n v="271660.5"/>
    <n v="9055.35"/>
    <n v="267609"/>
    <n v="8920.2999999999993"/>
    <m/>
    <m/>
    <n v="0"/>
    <n v="0"/>
    <m/>
    <m/>
    <m/>
    <m/>
    <m/>
    <m/>
    <m/>
    <m/>
    <n v="0"/>
    <n v="0"/>
    <n v="0"/>
    <n v="0"/>
    <m/>
    <m/>
    <n v="0"/>
    <n v="0"/>
    <n v="0"/>
    <n v="0"/>
    <n v="0"/>
    <n v="0"/>
    <n v="0"/>
    <n v="0"/>
    <n v="0"/>
    <n v="0"/>
    <n v="0"/>
    <n v="0"/>
    <n v="0"/>
    <n v="0"/>
    <n v="9055.35"/>
    <n v="8920.2999999999993"/>
  </r>
  <r>
    <x v="7"/>
    <s v="College of Southern Maryland"/>
    <m/>
    <n v="162122"/>
    <x v="7"/>
    <s v="sem"/>
    <s v="sem"/>
    <n v="1086"/>
    <n v="756"/>
    <n v="68944"/>
    <n v="66488"/>
    <n v="15153"/>
    <n v="16164"/>
    <n v="73354"/>
    <n v="72018"/>
    <n v="158537"/>
    <n v="5284.5666666666666"/>
    <n v="155426"/>
    <n v="5180.8666666666668"/>
    <m/>
    <m/>
    <n v="0"/>
    <n v="0"/>
    <m/>
    <m/>
    <m/>
    <m/>
    <m/>
    <m/>
    <m/>
    <m/>
    <n v="0"/>
    <n v="0"/>
    <n v="0"/>
    <n v="0"/>
    <m/>
    <m/>
    <n v="0"/>
    <n v="0"/>
    <n v="0"/>
    <n v="0"/>
    <n v="0"/>
    <n v="0"/>
    <n v="0"/>
    <n v="0"/>
    <n v="0"/>
    <n v="0"/>
    <n v="0"/>
    <n v="0"/>
    <n v="0"/>
    <n v="0"/>
    <n v="5284.5666666666666"/>
    <n v="5180.8666666666668"/>
  </r>
  <r>
    <x v="7"/>
    <s v="Community College of Baltimore County (all campuses)"/>
    <m/>
    <n v="434672"/>
    <x v="7"/>
    <s v="sem"/>
    <s v="sem"/>
    <n v="11047"/>
    <n v="10186"/>
    <n v="179161"/>
    <n v="172054"/>
    <n v="38654"/>
    <n v="35074"/>
    <n v="196715"/>
    <n v="186083"/>
    <n v="425577"/>
    <n v="14185.9"/>
    <n v="403397"/>
    <n v="13446.566666666668"/>
    <m/>
    <m/>
    <n v="0"/>
    <n v="0"/>
    <m/>
    <m/>
    <m/>
    <m/>
    <m/>
    <m/>
    <m/>
    <m/>
    <n v="0"/>
    <n v="0"/>
    <n v="0"/>
    <n v="0"/>
    <m/>
    <m/>
    <n v="0"/>
    <n v="0"/>
    <n v="0"/>
    <n v="0"/>
    <n v="0"/>
    <n v="0"/>
    <n v="0"/>
    <n v="0"/>
    <n v="0"/>
    <n v="0"/>
    <n v="0"/>
    <n v="0"/>
    <n v="0"/>
    <n v="0"/>
    <n v="14185.9"/>
    <n v="13446.566666666668"/>
  </r>
  <r>
    <x v="7"/>
    <s v="Howard Community College "/>
    <m/>
    <n v="162779"/>
    <x v="7"/>
    <s v="sem"/>
    <s v="sem"/>
    <n v="6158"/>
    <n v="5774"/>
    <n v="81059"/>
    <n v="80487"/>
    <n v="25542"/>
    <n v="19593"/>
    <n v="90552"/>
    <n v="87944"/>
    <n v="203311"/>
    <n v="6777.0333333333338"/>
    <n v="193798"/>
    <n v="6459.9333333333334"/>
    <m/>
    <m/>
    <n v="0"/>
    <n v="0"/>
    <m/>
    <m/>
    <m/>
    <m/>
    <m/>
    <m/>
    <m/>
    <m/>
    <n v="0"/>
    <n v="0"/>
    <n v="0"/>
    <n v="0"/>
    <m/>
    <m/>
    <n v="0"/>
    <n v="0"/>
    <n v="0"/>
    <n v="0"/>
    <n v="0"/>
    <n v="0"/>
    <n v="0"/>
    <n v="0"/>
    <n v="0"/>
    <n v="0"/>
    <n v="0"/>
    <n v="0"/>
    <n v="0"/>
    <n v="0"/>
    <n v="6777.0333333333338"/>
    <n v="6459.9333333333334"/>
  </r>
  <r>
    <x v="7"/>
    <s v="Montgomery College (all campuses)"/>
    <m/>
    <n v="163426"/>
    <x v="7"/>
    <s v="sem"/>
    <s v="sem"/>
    <n v="4625"/>
    <n v="4395"/>
    <n v="279200"/>
    <n v="273244"/>
    <n v="147274"/>
    <n v="147032"/>
    <n v="269389"/>
    <n v="272828"/>
    <n v="700488"/>
    <n v="23349.599999999999"/>
    <n v="697499"/>
    <n v="23249.966666666667"/>
    <m/>
    <m/>
    <n v="0"/>
    <n v="0"/>
    <m/>
    <m/>
    <m/>
    <m/>
    <m/>
    <m/>
    <m/>
    <m/>
    <n v="0"/>
    <n v="0"/>
    <n v="0"/>
    <n v="0"/>
    <m/>
    <m/>
    <n v="0"/>
    <n v="0"/>
    <n v="0"/>
    <n v="0"/>
    <n v="0"/>
    <n v="0"/>
    <n v="0"/>
    <n v="0"/>
    <n v="0"/>
    <n v="0"/>
    <n v="0"/>
    <n v="0"/>
    <n v="0"/>
    <n v="0"/>
    <n v="23349.599999999999"/>
    <n v="23249.966666666667"/>
  </r>
  <r>
    <x v="7"/>
    <s v="Prince George's Community College "/>
    <m/>
    <n v="163657"/>
    <x v="7"/>
    <s v="sem"/>
    <s v="sem"/>
    <n v="0"/>
    <n v="0"/>
    <n v="160637"/>
    <n v="139262"/>
    <n v="53673"/>
    <n v="46865"/>
    <n v="157192"/>
    <n v="109520"/>
    <n v="371502"/>
    <n v="12383.4"/>
    <n v="295647"/>
    <n v="9854.9"/>
    <m/>
    <m/>
    <n v="0"/>
    <n v="0"/>
    <m/>
    <m/>
    <m/>
    <m/>
    <m/>
    <m/>
    <m/>
    <m/>
    <n v="0"/>
    <n v="0"/>
    <n v="0"/>
    <n v="0"/>
    <m/>
    <m/>
    <n v="0"/>
    <n v="0"/>
    <n v="0"/>
    <n v="0"/>
    <n v="0"/>
    <n v="0"/>
    <n v="0"/>
    <n v="0"/>
    <n v="0"/>
    <n v="0"/>
    <n v="0"/>
    <n v="0"/>
    <n v="0"/>
    <n v="0"/>
    <n v="12383.4"/>
    <n v="9854.9"/>
  </r>
  <r>
    <x v="7"/>
    <s v="Allegany College of Maryland"/>
    <m/>
    <n v="161688"/>
    <x v="6"/>
    <s v="sem"/>
    <s v="sem"/>
    <n v="0"/>
    <n v="0"/>
    <n v="30636"/>
    <n v="29419"/>
    <n v="4304"/>
    <n v="4152"/>
    <n v="32671"/>
    <n v="30775"/>
    <n v="67611"/>
    <n v="2253.6999999999998"/>
    <n v="64346"/>
    <n v="2144.8666666666668"/>
    <m/>
    <m/>
    <n v="0"/>
    <n v="0"/>
    <m/>
    <m/>
    <m/>
    <m/>
    <m/>
    <m/>
    <m/>
    <m/>
    <n v="0"/>
    <n v="0"/>
    <n v="0"/>
    <n v="0"/>
    <m/>
    <m/>
    <n v="0"/>
    <n v="0"/>
    <n v="0"/>
    <n v="0"/>
    <n v="0"/>
    <n v="0"/>
    <n v="0"/>
    <n v="0"/>
    <n v="0"/>
    <n v="0"/>
    <n v="0"/>
    <n v="0"/>
    <n v="0"/>
    <n v="0"/>
    <n v="2253.6999999999998"/>
    <n v="2144.8666666666668"/>
  </r>
  <r>
    <x v="7"/>
    <s v="Baltimore City Community College"/>
    <s v="Met the criteria for Two-Year 3 in 2015-16."/>
    <n v="161864"/>
    <x v="6"/>
    <s v="sem"/>
    <s v="sem"/>
    <n v="1527"/>
    <n v="1355"/>
    <n v="44469"/>
    <n v="1989"/>
    <n v="7761"/>
    <n v="6946"/>
    <n v="45112"/>
    <n v="37261"/>
    <n v="98869"/>
    <n v="3295.6333333333332"/>
    <n v="47551"/>
    <n v="1585.0333333333333"/>
    <m/>
    <m/>
    <n v="0"/>
    <n v="0"/>
    <m/>
    <m/>
    <m/>
    <m/>
    <m/>
    <m/>
    <m/>
    <m/>
    <n v="0"/>
    <n v="0"/>
    <n v="0"/>
    <n v="0"/>
    <m/>
    <m/>
    <n v="0"/>
    <n v="0"/>
    <n v="0"/>
    <n v="0"/>
    <n v="0"/>
    <n v="0"/>
    <n v="0"/>
    <n v="0"/>
    <n v="0"/>
    <n v="0"/>
    <n v="0"/>
    <n v="0"/>
    <n v="0"/>
    <n v="0"/>
    <n v="3295.6333333333332"/>
    <n v="1585.0333333333333"/>
  </r>
  <r>
    <x v="7"/>
    <s v="Carroll Community College"/>
    <m/>
    <n v="405872"/>
    <x v="6"/>
    <s v="sem"/>
    <s v="sem"/>
    <n v="2240"/>
    <n v="2102"/>
    <n v="30687"/>
    <n v="28476"/>
    <n v="5814"/>
    <n v="5781"/>
    <n v="34122"/>
    <n v="32628"/>
    <n v="72863"/>
    <n v="2428.7666666666669"/>
    <n v="68987"/>
    <n v="2299.5666666666666"/>
    <m/>
    <m/>
    <n v="0"/>
    <n v="0"/>
    <m/>
    <m/>
    <m/>
    <m/>
    <m/>
    <m/>
    <m/>
    <m/>
    <n v="0"/>
    <n v="0"/>
    <n v="0"/>
    <n v="0"/>
    <m/>
    <m/>
    <n v="0"/>
    <n v="0"/>
    <n v="0"/>
    <n v="0"/>
    <n v="0"/>
    <n v="0"/>
    <n v="0"/>
    <n v="0"/>
    <n v="0"/>
    <n v="0"/>
    <n v="0"/>
    <n v="0"/>
    <n v="0"/>
    <n v="0"/>
    <n v="2428.7666666666669"/>
    <n v="2299.5666666666666"/>
  </r>
  <r>
    <x v="7"/>
    <s v="Frederick Community College "/>
    <m/>
    <n v="162557"/>
    <x v="6"/>
    <s v="sem"/>
    <s v="sem"/>
    <n v="1883"/>
    <n v="1960"/>
    <n v="49747"/>
    <n v="48502"/>
    <n v="9997"/>
    <n v="9911"/>
    <n v="53529"/>
    <n v="52299"/>
    <n v="115156"/>
    <n v="3838.5333333333333"/>
    <n v="112672"/>
    <n v="3755.7333333333331"/>
    <m/>
    <m/>
    <n v="0"/>
    <n v="0"/>
    <m/>
    <m/>
    <m/>
    <m/>
    <m/>
    <m/>
    <m/>
    <m/>
    <n v="0"/>
    <n v="0"/>
    <n v="0"/>
    <n v="0"/>
    <m/>
    <m/>
    <n v="0"/>
    <n v="0"/>
    <n v="0"/>
    <n v="0"/>
    <n v="0"/>
    <n v="0"/>
    <n v="0"/>
    <n v="0"/>
    <n v="0"/>
    <n v="0"/>
    <n v="0"/>
    <n v="0"/>
    <n v="0"/>
    <n v="0"/>
    <n v="3838.5333333333333"/>
    <n v="3755.7333333333331"/>
  </r>
  <r>
    <x v="7"/>
    <s v="Hagerstown Community College "/>
    <m/>
    <n v="162690"/>
    <x v="6"/>
    <s v="sem"/>
    <s v="sem"/>
    <n v="0"/>
    <n v="0"/>
    <n v="38352"/>
    <n v="36565"/>
    <n v="11734"/>
    <n v="10858"/>
    <n v="40022"/>
    <n v="38221"/>
    <n v="90108"/>
    <n v="3003.6"/>
    <n v="85644"/>
    <n v="2854.8"/>
    <m/>
    <m/>
    <n v="0"/>
    <n v="0"/>
    <m/>
    <m/>
    <m/>
    <m/>
    <m/>
    <m/>
    <m/>
    <m/>
    <n v="0"/>
    <n v="0"/>
    <n v="0"/>
    <n v="0"/>
    <m/>
    <m/>
    <n v="0"/>
    <n v="0"/>
    <n v="0"/>
    <n v="0"/>
    <n v="0"/>
    <n v="0"/>
    <n v="0"/>
    <n v="0"/>
    <n v="0"/>
    <n v="0"/>
    <n v="0"/>
    <n v="0"/>
    <n v="0"/>
    <n v="0"/>
    <n v="3003.6"/>
    <n v="2854.8"/>
  </r>
  <r>
    <x v="7"/>
    <s v="Harford Community College "/>
    <m/>
    <n v="162706"/>
    <x v="6"/>
    <s v="sem"/>
    <s v="sem"/>
    <n v="2324"/>
    <n v="2572"/>
    <n v="53000"/>
    <n v="51761"/>
    <n v="11346"/>
    <n v="11043"/>
    <n v="59069.5"/>
    <n v="56953"/>
    <n v="125739.5"/>
    <n v="4191.3166666666666"/>
    <n v="122329"/>
    <n v="4077.6333333333332"/>
    <m/>
    <m/>
    <n v="0"/>
    <n v="0"/>
    <m/>
    <m/>
    <m/>
    <m/>
    <m/>
    <m/>
    <m/>
    <m/>
    <n v="0"/>
    <n v="0"/>
    <n v="0"/>
    <n v="0"/>
    <m/>
    <m/>
    <n v="0"/>
    <n v="0"/>
    <n v="0"/>
    <n v="0"/>
    <n v="0"/>
    <n v="0"/>
    <n v="0"/>
    <n v="0"/>
    <n v="0"/>
    <n v="0"/>
    <n v="0"/>
    <n v="0"/>
    <n v="0"/>
    <n v="0"/>
    <n v="4191.3166666666666"/>
    <n v="4077.6333333333332"/>
  </r>
  <r>
    <x v="7"/>
    <s v="Wor-Wic Community College "/>
    <s v="Met the criteria for Two-Year 3 in 2014-15 and 2015-16."/>
    <n v="164313"/>
    <x v="6"/>
    <s v="sem"/>
    <s v="sem"/>
    <n v="0"/>
    <n v="0"/>
    <n v="24255"/>
    <n v="25222"/>
    <n v="5484"/>
    <n v="5400.5"/>
    <n v="27163"/>
    <n v="26871.5"/>
    <n v="56902"/>
    <n v="1896.7333333333333"/>
    <n v="57494"/>
    <n v="1916.4666666666667"/>
    <m/>
    <m/>
    <n v="0"/>
    <n v="0"/>
    <m/>
    <m/>
    <m/>
    <m/>
    <m/>
    <m/>
    <m/>
    <m/>
    <n v="0"/>
    <n v="0"/>
    <n v="0"/>
    <n v="0"/>
    <m/>
    <m/>
    <n v="0"/>
    <n v="0"/>
    <n v="0"/>
    <n v="0"/>
    <n v="0"/>
    <n v="0"/>
    <n v="0"/>
    <n v="0"/>
    <n v="0"/>
    <n v="0"/>
    <n v="0"/>
    <n v="0"/>
    <n v="0"/>
    <n v="0"/>
    <n v="1896.7333333333333"/>
    <n v="1916.4666666666667"/>
  </r>
  <r>
    <x v="7"/>
    <s v="Cecil Community College "/>
    <m/>
    <n v="162104"/>
    <x v="8"/>
    <s v="sem"/>
    <s v="sem"/>
    <n v="0"/>
    <n v="0"/>
    <n v="21784"/>
    <n v="20787"/>
    <n v="3494"/>
    <n v="3363"/>
    <n v="23384"/>
    <n v="23498"/>
    <n v="48662"/>
    <n v="1622.0666666666666"/>
    <n v="47648"/>
    <n v="1588.2666666666667"/>
    <m/>
    <m/>
    <n v="0"/>
    <n v="0"/>
    <m/>
    <m/>
    <m/>
    <m/>
    <m/>
    <m/>
    <m/>
    <m/>
    <n v="0"/>
    <n v="0"/>
    <n v="0"/>
    <n v="0"/>
    <m/>
    <m/>
    <n v="0"/>
    <n v="0"/>
    <n v="0"/>
    <n v="0"/>
    <n v="0"/>
    <n v="0"/>
    <n v="0"/>
    <n v="0"/>
    <n v="0"/>
    <n v="0"/>
    <n v="0"/>
    <n v="0"/>
    <n v="0"/>
    <n v="0"/>
    <n v="1622.0666666666666"/>
    <n v="1588.2666666666667"/>
  </r>
  <r>
    <x v="7"/>
    <s v="Chesapeake College "/>
    <m/>
    <n v="162168"/>
    <x v="8"/>
    <s v="sem"/>
    <s v="sem"/>
    <n v="18"/>
    <n v="26"/>
    <n v="19979"/>
    <n v="18105"/>
    <n v="2237"/>
    <n v="2159"/>
    <n v="20809"/>
    <n v="19479"/>
    <n v="43043"/>
    <n v="1434.7666666666667"/>
    <n v="39769"/>
    <n v="1325.6333333333334"/>
    <m/>
    <m/>
    <n v="0"/>
    <n v="0"/>
    <m/>
    <m/>
    <m/>
    <m/>
    <m/>
    <m/>
    <m/>
    <m/>
    <n v="0"/>
    <n v="0"/>
    <n v="0"/>
    <n v="0"/>
    <m/>
    <m/>
    <n v="0"/>
    <n v="0"/>
    <n v="0"/>
    <n v="0"/>
    <n v="0"/>
    <n v="0"/>
    <n v="0"/>
    <n v="0"/>
    <n v="0"/>
    <n v="0"/>
    <n v="0"/>
    <n v="0"/>
    <n v="0"/>
    <n v="0"/>
    <n v="1434.7666666666667"/>
    <n v="1325.6333333333334"/>
  </r>
  <r>
    <x v="7"/>
    <s v="Garrett College "/>
    <m/>
    <n v="162609"/>
    <x v="8"/>
    <s v="sem"/>
    <s v="sem"/>
    <n v="170"/>
    <n v="269"/>
    <n v="8322"/>
    <n v="7814.5"/>
    <n v="468"/>
    <n v="522"/>
    <n v="9411"/>
    <n v="8948.25"/>
    <n v="18371"/>
    <n v="612.36666666666667"/>
    <n v="17553.75"/>
    <n v="585.125"/>
    <m/>
    <m/>
    <n v="0"/>
    <n v="0"/>
    <m/>
    <m/>
    <m/>
    <m/>
    <m/>
    <m/>
    <m/>
    <m/>
    <n v="0"/>
    <n v="0"/>
    <n v="0"/>
    <n v="0"/>
    <m/>
    <m/>
    <n v="0"/>
    <n v="0"/>
    <n v="0"/>
    <n v="0"/>
    <n v="0"/>
    <n v="0"/>
    <n v="0"/>
    <n v="0"/>
    <n v="0"/>
    <n v="0"/>
    <n v="0"/>
    <n v="0"/>
    <n v="0"/>
    <n v="0"/>
    <n v="612.36666666666667"/>
    <n v="585.125"/>
  </r>
  <r>
    <x v="8"/>
    <s v="Mississippi State University"/>
    <m/>
    <n v="176080"/>
    <x v="0"/>
    <s v="sem"/>
    <s v="sem"/>
    <m/>
    <m/>
    <n v="199127"/>
    <n v="202872"/>
    <n v="31565"/>
    <n v="33293"/>
    <n v="221892"/>
    <n v="232457"/>
    <n v="452584"/>
    <n v="15086.133333333333"/>
    <n v="468622"/>
    <n v="15620.733333333334"/>
    <m/>
    <m/>
    <n v="0"/>
    <n v="0"/>
    <m/>
    <m/>
    <m/>
    <m/>
    <m/>
    <m/>
    <m/>
    <m/>
    <n v="0"/>
    <n v="0"/>
    <n v="0"/>
    <n v="0"/>
    <m/>
    <m/>
    <n v="0"/>
    <n v="0"/>
    <m/>
    <m/>
    <n v="22733"/>
    <n v="21512"/>
    <n v="10915"/>
    <n v="10197"/>
    <n v="22320"/>
    <n v="22031"/>
    <n v="55968"/>
    <n v="2332"/>
    <n v="53740"/>
    <n v="2239.1666666666665"/>
    <n v="17418.133333333331"/>
    <n v="17859.900000000001"/>
  </r>
  <r>
    <x v="8"/>
    <s v="University of Southern Mississippi"/>
    <m/>
    <n v="176372"/>
    <x v="0"/>
    <s v="sem"/>
    <s v="sem"/>
    <m/>
    <m/>
    <n v="156286"/>
    <n v="142610"/>
    <n v="29280"/>
    <n v="28387"/>
    <n v="158923"/>
    <n v="154765"/>
    <n v="344489"/>
    <n v="11482.966666666667"/>
    <n v="325762"/>
    <n v="10858.733333333334"/>
    <m/>
    <m/>
    <n v="0"/>
    <n v="0"/>
    <m/>
    <m/>
    <m/>
    <m/>
    <m/>
    <m/>
    <m/>
    <m/>
    <n v="0"/>
    <n v="0"/>
    <n v="0"/>
    <n v="0"/>
    <m/>
    <m/>
    <n v="0"/>
    <n v="0"/>
    <m/>
    <m/>
    <n v="23697"/>
    <n v="19964"/>
    <n v="11934"/>
    <n v="10283"/>
    <n v="22245"/>
    <n v="21356"/>
    <n v="57876"/>
    <n v="2411.5"/>
    <n v="51603"/>
    <n v="2150.125"/>
    <n v="13894.466666666667"/>
    <n v="13008.858333333334"/>
  </r>
  <r>
    <x v="8"/>
    <s v="Jackson State University "/>
    <m/>
    <n v="175856"/>
    <x v="1"/>
    <s v="sem"/>
    <s v="sem"/>
    <m/>
    <m/>
    <n v="70195"/>
    <n v="73061"/>
    <n v="11680"/>
    <n v="10441"/>
    <n v="79936"/>
    <n v="82199"/>
    <n v="161811"/>
    <n v="5393.7"/>
    <n v="165701"/>
    <n v="5523.3666666666668"/>
    <m/>
    <m/>
    <n v="0"/>
    <n v="0"/>
    <m/>
    <m/>
    <m/>
    <m/>
    <m/>
    <m/>
    <m/>
    <m/>
    <n v="0"/>
    <n v="0"/>
    <n v="0"/>
    <n v="0"/>
    <m/>
    <m/>
    <n v="0"/>
    <n v="0"/>
    <m/>
    <m/>
    <n v="14340"/>
    <n v="14119.5"/>
    <n v="4986"/>
    <n v="5180"/>
    <n v="14872"/>
    <n v="14768"/>
    <n v="34198"/>
    <n v="1424.9166666666667"/>
    <n v="34067.5"/>
    <n v="1419.4791666666667"/>
    <n v="6818.6166666666668"/>
    <n v="6942.8458333333338"/>
  </r>
  <r>
    <x v="8"/>
    <s v="University of Mississippi"/>
    <s v="Met the criteria for Four-Year 1 in 2015-16."/>
    <n v="176017"/>
    <x v="1"/>
    <s v="sem"/>
    <s v="sem"/>
    <m/>
    <m/>
    <n v="226130"/>
    <n v="235083"/>
    <n v="46179"/>
    <n v="48274"/>
    <n v="241261"/>
    <n v="251542"/>
    <n v="513570"/>
    <n v="17119"/>
    <n v="534899"/>
    <n v="17829.966666666667"/>
    <m/>
    <m/>
    <n v="0"/>
    <n v="0"/>
    <m/>
    <m/>
    <m/>
    <m/>
    <m/>
    <m/>
    <m/>
    <m/>
    <n v="0"/>
    <n v="0"/>
    <n v="0"/>
    <n v="0"/>
    <m/>
    <m/>
    <n v="0"/>
    <n v="0"/>
    <m/>
    <m/>
    <n v="27166"/>
    <n v="27885"/>
    <n v="10047"/>
    <n v="10125"/>
    <n v="27556"/>
    <n v="27545"/>
    <n v="64769"/>
    <n v="2698.7083333333335"/>
    <n v="65555"/>
    <n v="2731.4583333333335"/>
    <n v="19817.708333333332"/>
    <n v="20561.424999999999"/>
  </r>
  <r>
    <x v="8"/>
    <s v="Alcorn State University"/>
    <m/>
    <n v="175342"/>
    <x v="3"/>
    <s v="sem"/>
    <s v="sem"/>
    <m/>
    <m/>
    <n v="36709"/>
    <n v="36382"/>
    <n v="6022"/>
    <n v="6082"/>
    <n v="39012"/>
    <n v="38473"/>
    <n v="81743"/>
    <n v="2724.7666666666669"/>
    <n v="80937"/>
    <n v="2697.9"/>
    <m/>
    <m/>
    <n v="0"/>
    <n v="0"/>
    <m/>
    <m/>
    <m/>
    <m/>
    <m/>
    <m/>
    <m/>
    <m/>
    <n v="0"/>
    <n v="0"/>
    <n v="0"/>
    <n v="0"/>
    <m/>
    <m/>
    <n v="0"/>
    <n v="0"/>
    <m/>
    <m/>
    <n v="4029"/>
    <n v="3885"/>
    <n v="1496"/>
    <n v="1684"/>
    <n v="4095"/>
    <n v="4110"/>
    <n v="9620"/>
    <n v="400.83333333333331"/>
    <n v="9679"/>
    <n v="403.29166666666669"/>
    <n v="3125.6000000000004"/>
    <n v="3101.1916666666666"/>
  </r>
  <r>
    <x v="8"/>
    <s v="Delta State University"/>
    <s v="Met the criteria for Four-Year 3 in 2015-16."/>
    <n v="175616"/>
    <x v="3"/>
    <s v="sem"/>
    <s v="sem"/>
    <m/>
    <m/>
    <n v="30782"/>
    <n v="32222"/>
    <n v="4508"/>
    <n v="4278"/>
    <n v="34922"/>
    <n v="35015"/>
    <n v="70212"/>
    <n v="2340.4"/>
    <n v="71515"/>
    <n v="2383.8333333333335"/>
    <m/>
    <m/>
    <n v="0"/>
    <n v="0"/>
    <m/>
    <m/>
    <m/>
    <m/>
    <m/>
    <m/>
    <m/>
    <m/>
    <n v="0"/>
    <n v="0"/>
    <n v="0"/>
    <n v="0"/>
    <m/>
    <m/>
    <n v="0"/>
    <n v="0"/>
    <m/>
    <m/>
    <n v="5992"/>
    <n v="5274"/>
    <n v="17339"/>
    <n v="14428"/>
    <n v="5155"/>
    <n v="5326"/>
    <n v="28486"/>
    <n v="1186.9166666666667"/>
    <n v="25028"/>
    <n v="1042.8333333333333"/>
    <n v="3527.3166666666666"/>
    <n v="3426.666666666667"/>
  </r>
  <r>
    <x v="8"/>
    <s v="Mississippi Valley State University"/>
    <m/>
    <n v="176044"/>
    <x v="3"/>
    <s v="sem"/>
    <s v="sem"/>
    <m/>
    <m/>
    <n v="23627"/>
    <n v="23514"/>
    <n v="4314"/>
    <n v="3541"/>
    <n v="25295"/>
    <n v="24795"/>
    <n v="53236"/>
    <n v="1774.5333333333333"/>
    <n v="51850"/>
    <n v="1728.3333333333333"/>
    <m/>
    <m/>
    <n v="0"/>
    <n v="0"/>
    <m/>
    <m/>
    <m/>
    <m/>
    <m/>
    <m/>
    <m/>
    <m/>
    <n v="0"/>
    <n v="0"/>
    <n v="0"/>
    <n v="0"/>
    <m/>
    <m/>
    <n v="0"/>
    <n v="0"/>
    <m/>
    <m/>
    <n v="2034"/>
    <n v="2514"/>
    <n v="627"/>
    <n v="723"/>
    <n v="2413"/>
    <n v="2564"/>
    <n v="5074"/>
    <n v="211.41666666666666"/>
    <n v="5801"/>
    <n v="241.70833333333334"/>
    <n v="1985.95"/>
    <n v="1970.0416666666665"/>
  </r>
  <r>
    <x v="8"/>
    <s v="Mississippi University for Women"/>
    <m/>
    <n v="176035"/>
    <x v="4"/>
    <s v="sem"/>
    <s v="sem"/>
    <m/>
    <m/>
    <n v="28271"/>
    <n v="29219"/>
    <n v="9979"/>
    <n v="10214"/>
    <n v="31022"/>
    <n v="30232"/>
    <n v="69272"/>
    <n v="2309.0666666666666"/>
    <n v="69665"/>
    <n v="2322.1666666666665"/>
    <m/>
    <m/>
    <n v="0"/>
    <n v="0"/>
    <m/>
    <m/>
    <m/>
    <m/>
    <m/>
    <m/>
    <m/>
    <m/>
    <n v="0"/>
    <n v="0"/>
    <n v="0"/>
    <n v="0"/>
    <m/>
    <m/>
    <n v="0"/>
    <n v="0"/>
    <m/>
    <m/>
    <n v="1542"/>
    <n v="1409"/>
    <n v="1164"/>
    <n v="1075"/>
    <n v="1441"/>
    <n v="1670"/>
    <n v="4147"/>
    <n v="172.79166666666666"/>
    <n v="4154"/>
    <n v="173.08333333333334"/>
    <n v="2481.8583333333331"/>
    <n v="2495.25"/>
  </r>
  <r>
    <x v="8"/>
    <s v="Hinds Community College "/>
    <m/>
    <n v="175786"/>
    <x v="7"/>
    <s v="sem"/>
    <m/>
    <m/>
    <m/>
    <n v="128433"/>
    <n v="129529"/>
    <n v="25818"/>
    <n v="25321"/>
    <n v="148733"/>
    <n v="146452"/>
    <n v="302984"/>
    <n v="10099.466666666667"/>
    <n v="301302"/>
    <n v="10043.4"/>
    <n v="12154"/>
    <n v="13050"/>
    <n v="302984"/>
    <n v="301302"/>
    <m/>
    <m/>
    <m/>
    <m/>
    <m/>
    <m/>
    <m/>
    <m/>
    <n v="0"/>
    <n v="0"/>
    <n v="0"/>
    <n v="0"/>
    <m/>
    <m/>
    <n v="0"/>
    <n v="0"/>
    <m/>
    <m/>
    <m/>
    <m/>
    <m/>
    <m/>
    <m/>
    <m/>
    <n v="0"/>
    <n v="0"/>
    <n v="0"/>
    <n v="0"/>
    <n v="10099.466666666667"/>
    <n v="10043.4"/>
  </r>
  <r>
    <x v="8"/>
    <s v="Itawamba Community College "/>
    <m/>
    <n v="175829"/>
    <x v="7"/>
    <s v="sem"/>
    <m/>
    <m/>
    <m/>
    <n v="73547"/>
    <n v="68242"/>
    <n v="8490"/>
    <n v="8025"/>
    <n v="79594"/>
    <n v="76222"/>
    <n v="161631"/>
    <n v="5387.7"/>
    <n v="152489"/>
    <n v="5082.9666666666662"/>
    <n v="3689"/>
    <n v="5533"/>
    <n v="161631"/>
    <n v="152489"/>
    <m/>
    <m/>
    <m/>
    <m/>
    <m/>
    <m/>
    <m/>
    <m/>
    <n v="0"/>
    <n v="0"/>
    <n v="0"/>
    <n v="0"/>
    <m/>
    <m/>
    <n v="0"/>
    <n v="0"/>
    <m/>
    <m/>
    <m/>
    <m/>
    <m/>
    <m/>
    <m/>
    <m/>
    <n v="0"/>
    <n v="0"/>
    <n v="0"/>
    <n v="0"/>
    <n v="5387.7"/>
    <n v="5082.9666666666662"/>
  </r>
  <r>
    <x v="8"/>
    <s v="Mississippi Gulf Coast Community College "/>
    <m/>
    <n v="176071"/>
    <x v="7"/>
    <s v="sem"/>
    <m/>
    <m/>
    <m/>
    <n v="106692"/>
    <n v="106370"/>
    <n v="20519"/>
    <n v="20474"/>
    <n v="113418"/>
    <n v="117641"/>
    <n v="240629"/>
    <n v="8020.9666666666662"/>
    <n v="244485"/>
    <n v="8149.5"/>
    <n v="4332"/>
    <n v="5134"/>
    <n v="240629"/>
    <n v="244485"/>
    <m/>
    <m/>
    <m/>
    <m/>
    <m/>
    <m/>
    <m/>
    <m/>
    <n v="0"/>
    <n v="0"/>
    <n v="0"/>
    <n v="0"/>
    <m/>
    <m/>
    <n v="0"/>
    <n v="0"/>
    <m/>
    <m/>
    <m/>
    <m/>
    <m/>
    <m/>
    <m/>
    <m/>
    <n v="0"/>
    <n v="0"/>
    <n v="0"/>
    <n v="0"/>
    <n v="8020.9666666666662"/>
    <n v="8149.5"/>
  </r>
  <r>
    <x v="8"/>
    <s v="Northwest Mississippi Community College "/>
    <m/>
    <n v="176178"/>
    <x v="7"/>
    <s v="sem"/>
    <m/>
    <m/>
    <m/>
    <n v="90838"/>
    <n v="89829"/>
    <n v="16448"/>
    <n v="15228"/>
    <n v="99583"/>
    <n v="96395"/>
    <n v="206869"/>
    <n v="6895.6333333333332"/>
    <n v="201452"/>
    <n v="6715.0666666666666"/>
    <n v="3062"/>
    <n v="4210"/>
    <n v="206869"/>
    <n v="201452"/>
    <m/>
    <m/>
    <m/>
    <m/>
    <m/>
    <m/>
    <m/>
    <m/>
    <n v="0"/>
    <n v="0"/>
    <n v="0"/>
    <n v="0"/>
    <m/>
    <m/>
    <n v="0"/>
    <n v="0"/>
    <m/>
    <m/>
    <m/>
    <m/>
    <m/>
    <m/>
    <m/>
    <m/>
    <n v="0"/>
    <n v="0"/>
    <n v="0"/>
    <n v="0"/>
    <n v="6895.6333333333332"/>
    <n v="6715.0666666666666"/>
  </r>
  <r>
    <x v="8"/>
    <s v="Copiah-Lincoln Community College "/>
    <m/>
    <n v="175573"/>
    <x v="6"/>
    <s v="sem"/>
    <m/>
    <m/>
    <m/>
    <n v="34555"/>
    <n v="34581"/>
    <n v="6907"/>
    <n v="6928"/>
    <n v="39428"/>
    <n v="40145"/>
    <n v="80890"/>
    <n v="2696.3333333333335"/>
    <n v="81654"/>
    <n v="2721.8"/>
    <n v="2845"/>
    <n v="4022"/>
    <n v="80890"/>
    <n v="81654"/>
    <m/>
    <m/>
    <m/>
    <m/>
    <m/>
    <m/>
    <m/>
    <m/>
    <n v="0"/>
    <n v="0"/>
    <n v="0"/>
    <n v="0"/>
    <m/>
    <m/>
    <n v="0"/>
    <n v="0"/>
    <m/>
    <m/>
    <m/>
    <m/>
    <m/>
    <m/>
    <m/>
    <m/>
    <n v="0"/>
    <n v="0"/>
    <n v="0"/>
    <n v="0"/>
    <n v="2696.3333333333335"/>
    <n v="2721.8"/>
  </r>
  <r>
    <x v="8"/>
    <s v="East Central Community College "/>
    <m/>
    <n v="175643"/>
    <x v="6"/>
    <s v="sem"/>
    <m/>
    <m/>
    <m/>
    <n v="30516"/>
    <n v="31883"/>
    <n v="4629"/>
    <n v="4628"/>
    <n v="36425"/>
    <n v="36602"/>
    <n v="71570"/>
    <n v="2385.6666666666665"/>
    <n v="73113"/>
    <n v="2437.1"/>
    <n v="2398"/>
    <n v="3104"/>
    <n v="71570"/>
    <n v="73113"/>
    <m/>
    <m/>
    <m/>
    <m/>
    <m/>
    <m/>
    <m/>
    <m/>
    <n v="0"/>
    <n v="0"/>
    <n v="0"/>
    <n v="0"/>
    <m/>
    <m/>
    <n v="0"/>
    <n v="0"/>
    <m/>
    <m/>
    <m/>
    <m/>
    <m/>
    <m/>
    <m/>
    <m/>
    <n v="0"/>
    <n v="0"/>
    <n v="0"/>
    <n v="0"/>
    <n v="2385.6666666666665"/>
    <n v="2437.1"/>
  </r>
  <r>
    <x v="8"/>
    <s v="East Mississippi Community College "/>
    <m/>
    <n v="175652"/>
    <x v="6"/>
    <s v="sem"/>
    <m/>
    <m/>
    <m/>
    <n v="51218"/>
    <n v="50517"/>
    <n v="11525"/>
    <n v="10869"/>
    <n v="55874"/>
    <n v="56645"/>
    <n v="118617"/>
    <n v="3953.9"/>
    <n v="118031"/>
    <n v="3934.3666666666668"/>
    <n v="2447"/>
    <n v="3379"/>
    <n v="118617"/>
    <n v="118031"/>
    <m/>
    <m/>
    <m/>
    <m/>
    <m/>
    <m/>
    <m/>
    <m/>
    <n v="0"/>
    <n v="0"/>
    <n v="0"/>
    <n v="0"/>
    <m/>
    <m/>
    <n v="0"/>
    <n v="0"/>
    <m/>
    <m/>
    <m/>
    <m/>
    <m/>
    <m/>
    <m/>
    <m/>
    <n v="0"/>
    <n v="0"/>
    <n v="0"/>
    <n v="0"/>
    <n v="3953.9"/>
    <n v="3934.3666666666668"/>
  </r>
  <r>
    <x v="8"/>
    <s v="Holmes Community College "/>
    <s v="Met the criteria for Two-Year 1 in 2015-16."/>
    <n v="175810"/>
    <x v="6"/>
    <s v="sem"/>
    <m/>
    <m/>
    <m/>
    <n v="66361"/>
    <n v="67348"/>
    <n v="16903"/>
    <n v="17508"/>
    <n v="75684"/>
    <n v="75253"/>
    <n v="158948"/>
    <n v="5298.2666666666664"/>
    <n v="160109"/>
    <n v="5336.9666666666662"/>
    <n v="2869"/>
    <n v="4623"/>
    <n v="158948"/>
    <n v="160109"/>
    <m/>
    <m/>
    <m/>
    <m/>
    <m/>
    <m/>
    <m/>
    <m/>
    <n v="0"/>
    <n v="0"/>
    <n v="0"/>
    <n v="0"/>
    <m/>
    <m/>
    <n v="0"/>
    <n v="0"/>
    <m/>
    <m/>
    <m/>
    <m/>
    <m/>
    <m/>
    <m/>
    <m/>
    <n v="0"/>
    <n v="0"/>
    <n v="0"/>
    <n v="0"/>
    <n v="5298.2666666666664"/>
    <n v="5336.9666666666662"/>
  </r>
  <r>
    <x v="8"/>
    <s v="Jones County Junior College "/>
    <m/>
    <n v="175883"/>
    <x v="6"/>
    <s v="sem"/>
    <m/>
    <m/>
    <m/>
    <n v="59000"/>
    <n v="55664"/>
    <n v="10384"/>
    <n v="13632"/>
    <n v="64957"/>
    <n v="66627"/>
    <n v="134341"/>
    <n v="4478.0333333333338"/>
    <n v="135923"/>
    <n v="4530.7666666666664"/>
    <n v="3056"/>
    <n v="3729"/>
    <n v="134341"/>
    <n v="135923"/>
    <m/>
    <m/>
    <m/>
    <m/>
    <m/>
    <m/>
    <m/>
    <m/>
    <n v="0"/>
    <n v="0"/>
    <n v="0"/>
    <n v="0"/>
    <m/>
    <m/>
    <n v="0"/>
    <n v="0"/>
    <m/>
    <m/>
    <m/>
    <m/>
    <m/>
    <m/>
    <m/>
    <m/>
    <n v="0"/>
    <n v="0"/>
    <n v="0"/>
    <n v="0"/>
    <n v="4478.0333333333338"/>
    <n v="4530.7666666666664"/>
  </r>
  <r>
    <x v="8"/>
    <s v="Meridian Community College "/>
    <m/>
    <n v="175935"/>
    <x v="6"/>
    <s v="sem"/>
    <m/>
    <m/>
    <m/>
    <n v="40278.5"/>
    <n v="38670"/>
    <n v="6796"/>
    <n v="6909"/>
    <n v="43288.5"/>
    <n v="44669"/>
    <n v="90363"/>
    <n v="3012.1"/>
    <n v="90248"/>
    <n v="3008.2666666666669"/>
    <n v="1027"/>
    <n v="1589"/>
    <n v="90363"/>
    <n v="90248"/>
    <m/>
    <m/>
    <m/>
    <m/>
    <m/>
    <m/>
    <m/>
    <m/>
    <n v="0"/>
    <n v="0"/>
    <n v="0"/>
    <n v="0"/>
    <m/>
    <m/>
    <n v="0"/>
    <n v="0"/>
    <m/>
    <m/>
    <m/>
    <m/>
    <m/>
    <m/>
    <m/>
    <m/>
    <n v="0"/>
    <n v="0"/>
    <n v="0"/>
    <n v="0"/>
    <n v="3012.1"/>
    <n v="3008.2666666666669"/>
  </r>
  <r>
    <x v="8"/>
    <s v="Mississippi Delta Community College "/>
    <m/>
    <n v="176008"/>
    <x v="6"/>
    <s v="sem"/>
    <m/>
    <m/>
    <m/>
    <n v="35501"/>
    <n v="31627"/>
    <n v="5318"/>
    <n v="4319"/>
    <n v="35197"/>
    <n v="31446"/>
    <n v="76016"/>
    <n v="2533.8666666666668"/>
    <n v="67392"/>
    <n v="2246.4"/>
    <n v="1523"/>
    <n v="1327"/>
    <n v="76016"/>
    <n v="67392"/>
    <m/>
    <m/>
    <m/>
    <m/>
    <m/>
    <m/>
    <m/>
    <m/>
    <n v="0"/>
    <n v="0"/>
    <n v="0"/>
    <n v="0"/>
    <m/>
    <m/>
    <n v="0"/>
    <n v="0"/>
    <m/>
    <m/>
    <m/>
    <m/>
    <m/>
    <m/>
    <m/>
    <m/>
    <n v="0"/>
    <n v="0"/>
    <n v="0"/>
    <n v="0"/>
    <n v="2533.8666666666668"/>
    <n v="2246.4"/>
  </r>
  <r>
    <x v="8"/>
    <s v="Northeast Mississippi Community College "/>
    <m/>
    <n v="176169"/>
    <x v="6"/>
    <s v="sem"/>
    <m/>
    <m/>
    <m/>
    <n v="40186"/>
    <n v="43904"/>
    <n v="3855"/>
    <n v="3345"/>
    <n v="47306"/>
    <n v="47701"/>
    <n v="91347"/>
    <n v="3044.9"/>
    <n v="94950"/>
    <n v="3165"/>
    <n v="1945"/>
    <n v="3820"/>
    <n v="91347"/>
    <n v="94950"/>
    <m/>
    <m/>
    <m/>
    <m/>
    <m/>
    <m/>
    <m/>
    <m/>
    <n v="0"/>
    <n v="0"/>
    <n v="0"/>
    <n v="0"/>
    <m/>
    <m/>
    <n v="0"/>
    <n v="0"/>
    <m/>
    <m/>
    <m/>
    <m/>
    <m/>
    <m/>
    <m/>
    <m/>
    <n v="0"/>
    <n v="0"/>
    <n v="0"/>
    <n v="0"/>
    <n v="3044.9"/>
    <n v="3165"/>
  </r>
  <r>
    <x v="8"/>
    <s v="Pearl River Community College "/>
    <m/>
    <n v="176239"/>
    <x v="6"/>
    <s v="sem"/>
    <m/>
    <m/>
    <m/>
    <n v="50243"/>
    <n v="50640"/>
    <n v="9029"/>
    <n v="8768"/>
    <n v="58030"/>
    <n v="56131"/>
    <n v="117302"/>
    <n v="3910.0666666666666"/>
    <n v="115539"/>
    <n v="3851.3"/>
    <n v="2553"/>
    <n v="3224"/>
    <n v="117302"/>
    <n v="115539"/>
    <m/>
    <m/>
    <m/>
    <m/>
    <m/>
    <m/>
    <m/>
    <m/>
    <n v="0"/>
    <n v="0"/>
    <n v="0"/>
    <n v="0"/>
    <m/>
    <m/>
    <n v="0"/>
    <n v="0"/>
    <m/>
    <m/>
    <m/>
    <m/>
    <m/>
    <m/>
    <m/>
    <m/>
    <n v="0"/>
    <n v="0"/>
    <n v="0"/>
    <n v="0"/>
    <n v="3910.0666666666666"/>
    <n v="3851.3"/>
  </r>
  <r>
    <x v="8"/>
    <s v="Coahoma Community College "/>
    <m/>
    <n v="175519"/>
    <x v="8"/>
    <s v="sem"/>
    <m/>
    <m/>
    <m/>
    <n v="23364"/>
    <n v="23939"/>
    <n v="2483"/>
    <n v="3201"/>
    <n v="26453"/>
    <n v="26297"/>
    <n v="52300"/>
    <n v="1743.3333333333333"/>
    <n v="53437"/>
    <n v="1781.2333333333333"/>
    <n v="1161"/>
    <n v="1878"/>
    <n v="52300"/>
    <n v="53437"/>
    <m/>
    <m/>
    <m/>
    <m/>
    <m/>
    <m/>
    <m/>
    <m/>
    <n v="0"/>
    <n v="0"/>
    <n v="0"/>
    <n v="0"/>
    <m/>
    <m/>
    <n v="0"/>
    <n v="0"/>
    <m/>
    <m/>
    <m/>
    <m/>
    <m/>
    <m/>
    <m/>
    <m/>
    <n v="0"/>
    <n v="0"/>
    <n v="0"/>
    <n v="0"/>
    <n v="1743.3333333333333"/>
    <n v="1781.2333333333333"/>
  </r>
  <r>
    <x v="8"/>
    <s v="Southwest Mississippi Community College"/>
    <m/>
    <n v="176354"/>
    <x v="8"/>
    <s v="sem"/>
    <m/>
    <m/>
    <m/>
    <n v="25279"/>
    <n v="24233"/>
    <n v="2707"/>
    <n v="2524"/>
    <n v="28149"/>
    <n v="27556"/>
    <n v="56135"/>
    <n v="1871.1666666666667"/>
    <n v="54313"/>
    <n v="1810.4333333333334"/>
    <n v="1151"/>
    <n v="1494"/>
    <n v="56135"/>
    <n v="54313"/>
    <m/>
    <m/>
    <m/>
    <m/>
    <m/>
    <m/>
    <m/>
    <m/>
    <n v="0"/>
    <n v="0"/>
    <n v="0"/>
    <n v="0"/>
    <m/>
    <m/>
    <n v="0"/>
    <n v="0"/>
    <m/>
    <m/>
    <m/>
    <m/>
    <m/>
    <m/>
    <m/>
    <m/>
    <n v="0"/>
    <n v="0"/>
    <n v="0"/>
    <n v="0"/>
    <n v="1871.1666666666667"/>
    <n v="1810.4333333333334"/>
  </r>
  <r>
    <x v="9"/>
    <s v="North Carolina State University "/>
    <m/>
    <n v="199193"/>
    <x v="0"/>
    <s v="sem"/>
    <s v="sem"/>
    <m/>
    <m/>
    <n v="314659"/>
    <n v="312205"/>
    <n v="51991"/>
    <n v="48937"/>
    <n v="331392"/>
    <n v="330596"/>
    <n v="698042"/>
    <n v="23268.066666666666"/>
    <n v="691738"/>
    <n v="23057.933333333334"/>
    <n v="817"/>
    <n v="1291"/>
    <n v="698042"/>
    <n v="691738"/>
    <m/>
    <m/>
    <m/>
    <m/>
    <m/>
    <m/>
    <m/>
    <m/>
    <n v="0"/>
    <n v="0"/>
    <n v="0"/>
    <n v="0"/>
    <m/>
    <m/>
    <n v="0"/>
    <n v="0"/>
    <m/>
    <m/>
    <n v="62089"/>
    <n v="65131"/>
    <n v="8796"/>
    <n v="9912"/>
    <n v="61785"/>
    <n v="73976"/>
    <n v="132670"/>
    <n v="5527.916666666667"/>
    <n v="149019"/>
    <n v="6209.125"/>
    <n v="28795.983333333334"/>
    <n v="29267.058333333334"/>
  </r>
  <r>
    <x v="9"/>
    <s v="University of North Carolina at Chapel Hill "/>
    <m/>
    <n v="199120"/>
    <x v="0"/>
    <s v="sem"/>
    <s v="sem"/>
    <m/>
    <m/>
    <n v="231683"/>
    <n v="228885"/>
    <n v="30188"/>
    <n v="29153"/>
    <n v="246170"/>
    <n v="245001"/>
    <n v="508041"/>
    <n v="16934.7"/>
    <n v="503039"/>
    <n v="16767.966666666667"/>
    <n v="36"/>
    <n v="50"/>
    <n v="508041"/>
    <n v="503039"/>
    <m/>
    <m/>
    <m/>
    <m/>
    <m/>
    <m/>
    <m/>
    <m/>
    <n v="0"/>
    <n v="0"/>
    <n v="0"/>
    <n v="0"/>
    <m/>
    <m/>
    <n v="0"/>
    <n v="0"/>
    <m/>
    <m/>
    <n v="86399"/>
    <n v="86380"/>
    <n v="13148"/>
    <n v="12863"/>
    <n v="92273"/>
    <n v="83668"/>
    <n v="191820"/>
    <n v="7992.5"/>
    <n v="182911"/>
    <n v="7621.291666666667"/>
    <n v="24927.200000000001"/>
    <n v="24389.258333333335"/>
  </r>
  <r>
    <x v="9"/>
    <s v="University of North Carolina at Charlotte"/>
    <m/>
    <n v="199139"/>
    <x v="0"/>
    <s v="sem"/>
    <s v="sem"/>
    <m/>
    <m/>
    <n v="269724"/>
    <n v="279158"/>
    <n v="43778"/>
    <n v="47138"/>
    <n v="297509"/>
    <n v="307531"/>
    <n v="611011"/>
    <n v="20367.033333333333"/>
    <n v="633827"/>
    <n v="21127.566666666666"/>
    <n v="0"/>
    <n v="0"/>
    <n v="611011"/>
    <n v="633827"/>
    <m/>
    <m/>
    <m/>
    <m/>
    <m/>
    <m/>
    <m/>
    <m/>
    <n v="0"/>
    <n v="0"/>
    <n v="0"/>
    <n v="0"/>
    <m/>
    <m/>
    <n v="0"/>
    <n v="0"/>
    <m/>
    <m/>
    <n v="31082"/>
    <n v="33851"/>
    <n v="9693"/>
    <n v="10484"/>
    <n v="35709"/>
    <n v="37493"/>
    <n v="76484"/>
    <n v="3186.8333333333335"/>
    <n v="81828"/>
    <n v="3409.5"/>
    <n v="23553.866666666665"/>
    <n v="24537.066666666666"/>
  </r>
  <r>
    <x v="9"/>
    <s v="University of North Carolina at Greensboro"/>
    <m/>
    <n v="199148"/>
    <x v="0"/>
    <s v="sem"/>
    <s v="sem"/>
    <m/>
    <m/>
    <n v="179141"/>
    <n v="186617"/>
    <n v="25846"/>
    <n v="26424"/>
    <n v="197274"/>
    <n v="206694"/>
    <n v="402261"/>
    <n v="13408.7"/>
    <n v="419735"/>
    <n v="13991.166666666666"/>
    <n v="1723"/>
    <n v="3939"/>
    <n v="402261"/>
    <n v="419735"/>
    <m/>
    <m/>
    <m/>
    <m/>
    <m/>
    <m/>
    <m/>
    <m/>
    <n v="0"/>
    <n v="0"/>
    <n v="0"/>
    <n v="0"/>
    <m/>
    <m/>
    <n v="0"/>
    <n v="0"/>
    <m/>
    <m/>
    <n v="27407"/>
    <n v="28933"/>
    <n v="5630"/>
    <n v="5914"/>
    <n v="30834"/>
    <n v="30415"/>
    <n v="63871"/>
    <n v="2661.2916666666665"/>
    <n v="65262"/>
    <n v="2719.25"/>
    <n v="16069.991666666667"/>
    <n v="16710.416666666664"/>
  </r>
  <r>
    <x v="9"/>
    <s v="East Carolina University "/>
    <m/>
    <n v="198464"/>
    <x v="1"/>
    <s v="sem"/>
    <s v="sem"/>
    <m/>
    <m/>
    <n v="260656"/>
    <n v="268497"/>
    <n v="48718"/>
    <n v="49661"/>
    <n v="287533"/>
    <n v="297176"/>
    <n v="596907"/>
    <n v="19896.900000000001"/>
    <n v="615334"/>
    <n v="20511.133333333335"/>
    <n v="2646"/>
    <n v="6035"/>
    <n v="596907"/>
    <n v="615334"/>
    <m/>
    <m/>
    <m/>
    <m/>
    <m/>
    <m/>
    <m/>
    <m/>
    <n v="0"/>
    <n v="0"/>
    <n v="0"/>
    <n v="0"/>
    <m/>
    <m/>
    <n v="0"/>
    <n v="0"/>
    <m/>
    <m/>
    <n v="31910"/>
    <n v="31232"/>
    <n v="15246"/>
    <n v="15430"/>
    <n v="33997"/>
    <n v="33875"/>
    <n v="81153"/>
    <n v="3381.375"/>
    <n v="80537"/>
    <n v="3355.7083333333335"/>
    <n v="23278.275000000001"/>
    <n v="23866.841666666667"/>
  </r>
  <r>
    <x v="9"/>
    <s v="Appalachian State University "/>
    <m/>
    <n v="197869"/>
    <x v="2"/>
    <s v="sem"/>
    <s v="sem"/>
    <m/>
    <m/>
    <n v="218039"/>
    <n v="220984"/>
    <n v="36756"/>
    <n v="37420"/>
    <n v="237489"/>
    <n v="230651"/>
    <n v="492284"/>
    <n v="16409.466666666667"/>
    <n v="489055"/>
    <n v="16301.833333333334"/>
    <n v="0"/>
    <n v="0"/>
    <n v="492284"/>
    <n v="489055"/>
    <m/>
    <m/>
    <m/>
    <m/>
    <m/>
    <m/>
    <m/>
    <m/>
    <n v="0"/>
    <n v="0"/>
    <n v="0"/>
    <n v="0"/>
    <m/>
    <m/>
    <n v="0"/>
    <n v="0"/>
    <m/>
    <m/>
    <n v="13157"/>
    <n v="13260"/>
    <n v="7154"/>
    <n v="6935"/>
    <n v="13986"/>
    <n v="10355"/>
    <n v="34297"/>
    <n v="1429.0416666666667"/>
    <n v="30550"/>
    <n v="1272.9166666666667"/>
    <n v="17838.508333333335"/>
    <n v="17574.75"/>
  </r>
  <r>
    <x v="9"/>
    <s v="North Carolina A&amp;T State University"/>
    <m/>
    <n v="199102"/>
    <x v="2"/>
    <s v="sem"/>
    <s v="sem"/>
    <m/>
    <m/>
    <n v="116645"/>
    <n v="116628"/>
    <n v="14313"/>
    <n v="15475"/>
    <n v="125775"/>
    <n v="126172"/>
    <n v="256733"/>
    <n v="8557.7666666666664"/>
    <n v="258275"/>
    <n v="8609.1666666666661"/>
    <n v="384"/>
    <n v="347"/>
    <n v="256733"/>
    <n v="258275"/>
    <m/>
    <m/>
    <m/>
    <m/>
    <m/>
    <m/>
    <m/>
    <m/>
    <n v="0"/>
    <n v="0"/>
    <n v="0"/>
    <n v="0"/>
    <m/>
    <m/>
    <n v="0"/>
    <n v="0"/>
    <m/>
    <m/>
    <n v="14428"/>
    <n v="13135"/>
    <n v="2552"/>
    <n v="2462"/>
    <n v="13170"/>
    <n v="12868"/>
    <n v="30150"/>
    <n v="1256.25"/>
    <n v="28465"/>
    <n v="1186.0416666666667"/>
    <n v="9814.0166666666664"/>
    <n v="9795.2083333333321"/>
  </r>
  <r>
    <x v="9"/>
    <s v="North Carolina Central University "/>
    <m/>
    <n v="199157"/>
    <x v="2"/>
    <s v="sem"/>
    <s v="sem"/>
    <m/>
    <m/>
    <n v="77296"/>
    <n v="75455"/>
    <n v="19640"/>
    <n v="18797"/>
    <n v="80653"/>
    <n v="83436"/>
    <n v="177589"/>
    <n v="5919.6333333333332"/>
    <n v="177688"/>
    <n v="5922.9333333333334"/>
    <n v="4331"/>
    <n v="4541"/>
    <n v="177589"/>
    <n v="177688"/>
    <m/>
    <m/>
    <m/>
    <m/>
    <m/>
    <m/>
    <m/>
    <m/>
    <n v="0"/>
    <n v="0"/>
    <n v="0"/>
    <n v="0"/>
    <m/>
    <m/>
    <n v="0"/>
    <n v="0"/>
    <m/>
    <m/>
    <n v="17061"/>
    <n v="16346"/>
    <n v="4330"/>
    <n v="4227"/>
    <n v="17358"/>
    <n v="18364"/>
    <n v="38749"/>
    <n v="1614.5416666666667"/>
    <n v="38937"/>
    <n v="1622.375"/>
    <n v="7534.1750000000002"/>
    <n v="7545.3083333333334"/>
  </r>
  <r>
    <x v="9"/>
    <s v="University of North Carolina at Wilmington"/>
    <m/>
    <n v="199218"/>
    <x v="2"/>
    <s v="sem"/>
    <s v="sem"/>
    <m/>
    <m/>
    <n v="162776"/>
    <n v="167872"/>
    <n v="32837"/>
    <n v="36163"/>
    <n v="179926"/>
    <n v="182198"/>
    <n v="375539"/>
    <n v="12517.966666666667"/>
    <n v="386233"/>
    <n v="12874.433333333332"/>
    <n v="1395"/>
    <n v="1233"/>
    <n v="375539"/>
    <n v="386233"/>
    <m/>
    <m/>
    <m/>
    <m/>
    <m/>
    <m/>
    <m/>
    <m/>
    <n v="0"/>
    <n v="0"/>
    <n v="0"/>
    <n v="0"/>
    <m/>
    <m/>
    <n v="0"/>
    <n v="0"/>
    <m/>
    <m/>
    <n v="10526"/>
    <n v="11456"/>
    <n v="3604"/>
    <n v="4717"/>
    <n v="11596"/>
    <n v="12409"/>
    <n v="25726"/>
    <n v="1071.9166666666667"/>
    <n v="28582"/>
    <n v="1190.9166666666667"/>
    <n v="13589.883333333333"/>
    <n v="14065.349999999999"/>
  </r>
  <r>
    <x v="9"/>
    <s v="Western Carolina University "/>
    <m/>
    <n v="200004"/>
    <x v="2"/>
    <s v="sem"/>
    <s v="sem"/>
    <m/>
    <m/>
    <n v="107215"/>
    <n v="109408"/>
    <n v="17010"/>
    <n v="16411"/>
    <n v="118252"/>
    <n v="118776"/>
    <n v="242477"/>
    <n v="8082.5666666666666"/>
    <n v="244595"/>
    <n v="8153.166666666667"/>
    <n v="0"/>
    <n v="0"/>
    <n v="242477"/>
    <n v="244595"/>
    <m/>
    <m/>
    <m/>
    <m/>
    <m/>
    <m/>
    <m/>
    <m/>
    <n v="0"/>
    <n v="0"/>
    <n v="0"/>
    <n v="0"/>
    <m/>
    <m/>
    <n v="0"/>
    <n v="0"/>
    <m/>
    <m/>
    <n v="12163"/>
    <n v="11889"/>
    <n v="5375"/>
    <n v="5604"/>
    <n v="12494"/>
    <n v="11964"/>
    <n v="30032"/>
    <n v="1251.3333333333333"/>
    <n v="29457"/>
    <n v="1227.375"/>
    <n v="9333.9"/>
    <n v="9380.5416666666679"/>
  </r>
  <r>
    <x v="9"/>
    <s v="Fayetteville State University "/>
    <m/>
    <n v="198543"/>
    <x v="3"/>
    <s v="sem"/>
    <s v="sem"/>
    <m/>
    <m/>
    <n v="63930"/>
    <n v="63646"/>
    <n v="19165"/>
    <n v="19479"/>
    <n v="65490"/>
    <n v="68258"/>
    <n v="148585"/>
    <n v="4952.833333333333"/>
    <n v="151383"/>
    <n v="5046.1000000000004"/>
    <n v="4699"/>
    <n v="2693"/>
    <n v="148585"/>
    <n v="151383"/>
    <m/>
    <m/>
    <m/>
    <m/>
    <m/>
    <m/>
    <m/>
    <m/>
    <n v="0"/>
    <n v="0"/>
    <n v="0"/>
    <n v="0"/>
    <m/>
    <m/>
    <n v="0"/>
    <n v="0"/>
    <m/>
    <m/>
    <n v="5493"/>
    <n v="4488"/>
    <n v="1534"/>
    <n v="1476"/>
    <n v="4590"/>
    <n v="4134"/>
    <n v="11617"/>
    <n v="484.04166666666669"/>
    <n v="10098"/>
    <n v="420.75"/>
    <n v="5436.875"/>
    <n v="5466.85"/>
  </r>
  <r>
    <x v="9"/>
    <s v="University of North Carolina at Pembroke"/>
    <m/>
    <n v="199281"/>
    <x v="4"/>
    <s v="sem"/>
    <s v="sem"/>
    <m/>
    <m/>
    <n v="63039"/>
    <n v="62841"/>
    <n v="16618"/>
    <n v="15883"/>
    <n v="70645"/>
    <n v="73285"/>
    <n v="150302"/>
    <n v="5010.0666666666666"/>
    <n v="152009"/>
    <n v="5066.9666666666662"/>
    <n v="0"/>
    <n v="0"/>
    <n v="150302"/>
    <n v="152009"/>
    <m/>
    <m/>
    <m/>
    <m/>
    <m/>
    <m/>
    <m/>
    <m/>
    <n v="0"/>
    <n v="0"/>
    <n v="0"/>
    <n v="0"/>
    <m/>
    <m/>
    <n v="0"/>
    <n v="0"/>
    <m/>
    <m/>
    <n v="5112"/>
    <n v="4824"/>
    <n v="2765"/>
    <n v="2725"/>
    <n v="5031"/>
    <n v="5008"/>
    <n v="12908"/>
    <n v="537.83333333333337"/>
    <n v="12557"/>
    <n v="523.20833333333337"/>
    <n v="5547.9"/>
    <n v="5590.1749999999993"/>
  </r>
  <r>
    <x v="9"/>
    <s v="Winston-Salem State University "/>
    <m/>
    <n v="199999"/>
    <x v="4"/>
    <s v="sem"/>
    <s v="sem"/>
    <m/>
    <m/>
    <n v="62517"/>
    <n v="56953"/>
    <n v="10577"/>
    <n v="9755"/>
    <n v="63589"/>
    <n v="62494"/>
    <n v="136683"/>
    <n v="4556.1000000000004"/>
    <n v="129202"/>
    <n v="4306.7333333333336"/>
    <n v="0"/>
    <n v="0"/>
    <n v="136683"/>
    <n v="129202"/>
    <m/>
    <m/>
    <m/>
    <m/>
    <m/>
    <m/>
    <m/>
    <m/>
    <n v="0"/>
    <n v="0"/>
    <n v="0"/>
    <n v="0"/>
    <m/>
    <m/>
    <n v="0"/>
    <n v="0"/>
    <m/>
    <m/>
    <n v="4402"/>
    <n v="3978"/>
    <n v="2048"/>
    <n v="1982"/>
    <n v="4205"/>
    <n v="4203"/>
    <n v="10655"/>
    <n v="443.95833333333331"/>
    <n v="10163"/>
    <n v="423.45833333333331"/>
    <n v="5000.0583333333334"/>
    <n v="4730.1916666666666"/>
  </r>
  <r>
    <x v="9"/>
    <s v="Elizabeth City State University "/>
    <m/>
    <n v="198507"/>
    <x v="5"/>
    <s v="sem"/>
    <s v="sem"/>
    <m/>
    <m/>
    <n v="29542"/>
    <n v="22900"/>
    <n v="5609"/>
    <n v="4290"/>
    <n v="25622"/>
    <n v="21968"/>
    <n v="60773"/>
    <n v="2025.7666666666667"/>
    <n v="49158"/>
    <n v="1638.6"/>
    <n v="0"/>
    <n v="0"/>
    <n v="60773"/>
    <n v="49158"/>
    <m/>
    <m/>
    <m/>
    <m/>
    <m/>
    <m/>
    <m/>
    <m/>
    <n v="0"/>
    <n v="0"/>
    <n v="0"/>
    <n v="0"/>
    <m/>
    <m/>
    <n v="0"/>
    <n v="0"/>
    <m/>
    <m/>
    <n v="459"/>
    <n v="378"/>
    <n v="211"/>
    <n v="190"/>
    <n v="371"/>
    <n v="248"/>
    <n v="1041"/>
    <n v="43.375"/>
    <n v="816"/>
    <n v="34"/>
    <n v="2069.1416666666664"/>
    <n v="1672.6"/>
  </r>
  <r>
    <x v="9"/>
    <s v="University of North Carolina at Asheville"/>
    <m/>
    <n v="199111"/>
    <x v="5"/>
    <s v="sem"/>
    <s v="sem"/>
    <m/>
    <m/>
    <n v="46921"/>
    <n v="46573"/>
    <n v="4281"/>
    <n v="4625"/>
    <n v="49783"/>
    <n v="51674"/>
    <n v="100985"/>
    <n v="3366.1666666666665"/>
    <n v="102872"/>
    <n v="3429.0666666666666"/>
    <n v="0"/>
    <n v="0"/>
    <n v="100985"/>
    <n v="102872"/>
    <m/>
    <m/>
    <m/>
    <m/>
    <m/>
    <m/>
    <m/>
    <m/>
    <n v="0"/>
    <n v="0"/>
    <n v="0"/>
    <n v="0"/>
    <m/>
    <m/>
    <n v="0"/>
    <n v="0"/>
    <m/>
    <m/>
    <n v="171"/>
    <n v="159"/>
    <n v="9"/>
    <n v="3"/>
    <n v="207"/>
    <n v="179"/>
    <n v="387"/>
    <n v="16.125"/>
    <n v="341"/>
    <n v="14.208333333333334"/>
    <n v="3382.2916666666665"/>
    <n v="3443.2750000000001"/>
  </r>
  <r>
    <x v="9"/>
    <s v="Asheville-Buncombe Technical Community College"/>
    <m/>
    <n v="197887"/>
    <x v="7"/>
    <s v="sem"/>
    <s v="sem"/>
    <m/>
    <m/>
    <n v="63314"/>
    <n v="56227"/>
    <n v="13781"/>
    <n v="12793"/>
    <n v="68541"/>
    <n v="61116"/>
    <n v="145636"/>
    <n v="4854.5333333333338"/>
    <n v="130136"/>
    <n v="4337.8666666666668"/>
    <n v="12095"/>
    <n v="12655"/>
    <n v="145636"/>
    <n v="130136"/>
    <m/>
    <m/>
    <n v="257617"/>
    <n v="276445"/>
    <n v="196200"/>
    <n v="201298"/>
    <n v="332873"/>
    <n v="299388"/>
    <n v="786690"/>
    <n v="874.1"/>
    <n v="777131"/>
    <n v="863.47888888888883"/>
    <m/>
    <m/>
    <n v="0"/>
    <n v="0"/>
    <m/>
    <m/>
    <m/>
    <m/>
    <m/>
    <m/>
    <m/>
    <m/>
    <n v="0"/>
    <n v="0"/>
    <n v="0"/>
    <n v="0"/>
    <n v="5728.6333333333341"/>
    <n v="5201.3455555555556"/>
  </r>
  <r>
    <x v="9"/>
    <s v="Cape Fear Community College"/>
    <m/>
    <n v="198154"/>
    <x v="7"/>
    <s v="sem"/>
    <s v="sem"/>
    <m/>
    <m/>
    <n v="87430"/>
    <n v="84218"/>
    <n v="22193"/>
    <n v="21464"/>
    <n v="93609"/>
    <n v="90068"/>
    <n v="203232"/>
    <n v="6774.4"/>
    <n v="195750"/>
    <n v="6525"/>
    <n v="5389"/>
    <n v="6372"/>
    <n v="203232"/>
    <n v="195750"/>
    <m/>
    <m/>
    <n v="291396"/>
    <n v="285772"/>
    <n v="164144"/>
    <n v="133434"/>
    <n v="383185"/>
    <n v="331467"/>
    <n v="838725"/>
    <n v="931.91666666666663"/>
    <n v="750673"/>
    <n v="834.08111111111111"/>
    <m/>
    <m/>
    <n v="0"/>
    <n v="0"/>
    <m/>
    <m/>
    <m/>
    <m/>
    <m/>
    <m/>
    <m/>
    <m/>
    <n v="0"/>
    <n v="0"/>
    <n v="0"/>
    <n v="0"/>
    <n v="7706.3166666666666"/>
    <n v="7359.0811111111107"/>
  </r>
  <r>
    <x v="9"/>
    <s v="Central Piedmont Community College "/>
    <m/>
    <n v="198260"/>
    <x v="7"/>
    <s v="sem"/>
    <s v="sem"/>
    <m/>
    <m/>
    <n v="181262"/>
    <n v="172045"/>
    <n v="46593"/>
    <n v="40315"/>
    <n v="178808"/>
    <n v="176683"/>
    <n v="406663"/>
    <n v="13555.433333333332"/>
    <n v="389043"/>
    <n v="12968.1"/>
    <n v="944"/>
    <n v="250"/>
    <n v="406663"/>
    <n v="389043"/>
    <m/>
    <m/>
    <n v="581550"/>
    <n v="588452"/>
    <n v="266602"/>
    <n v="277137"/>
    <n v="641687"/>
    <n v="617459"/>
    <n v="1489839"/>
    <n v="1655.3766666666668"/>
    <n v="1483048"/>
    <n v="1647.8311111111111"/>
    <m/>
    <m/>
    <n v="0"/>
    <n v="0"/>
    <m/>
    <m/>
    <m/>
    <m/>
    <m/>
    <m/>
    <m/>
    <m/>
    <n v="0"/>
    <n v="0"/>
    <n v="0"/>
    <n v="0"/>
    <n v="15210.81"/>
    <n v="14615.931111111111"/>
  </r>
  <r>
    <x v="9"/>
    <s v="Fayetteville Technical Community College"/>
    <m/>
    <n v="198534"/>
    <x v="7"/>
    <s v="sem"/>
    <s v="sem"/>
    <m/>
    <m/>
    <n v="112030"/>
    <n v="111342"/>
    <n v="30827"/>
    <n v="29889"/>
    <n v="116466"/>
    <n v="112579"/>
    <n v="259323"/>
    <n v="8644.1"/>
    <n v="253810"/>
    <n v="8460.3333333333339"/>
    <n v="6558"/>
    <n v="7804"/>
    <n v="259323"/>
    <n v="253810"/>
    <m/>
    <m/>
    <n v="652375"/>
    <n v="647590"/>
    <n v="439728"/>
    <n v="484962"/>
    <n v="898158"/>
    <n v="909766"/>
    <n v="1990261"/>
    <n v="2211.4011111111113"/>
    <n v="2042318"/>
    <n v="2269.2422222222222"/>
    <m/>
    <m/>
    <n v="0"/>
    <n v="0"/>
    <m/>
    <m/>
    <m/>
    <m/>
    <m/>
    <m/>
    <m/>
    <m/>
    <n v="0"/>
    <n v="0"/>
    <n v="0"/>
    <n v="0"/>
    <n v="10855.501111111113"/>
    <n v="10729.575555555555"/>
  </r>
  <r>
    <x v="9"/>
    <s v="Forsyth Technical Community College"/>
    <m/>
    <n v="198552"/>
    <x v="7"/>
    <s v="sem"/>
    <s v="sem"/>
    <m/>
    <m/>
    <n v="84003"/>
    <n v="75020"/>
    <n v="24228"/>
    <n v="21562"/>
    <n v="89044"/>
    <n v="82994"/>
    <n v="197275"/>
    <n v="6575.833333333333"/>
    <n v="179576"/>
    <n v="5985.8666666666668"/>
    <n v="9000"/>
    <n v="8130"/>
    <n v="197275"/>
    <n v="179576"/>
    <m/>
    <m/>
    <n v="363570"/>
    <n v="337513"/>
    <n v="260998"/>
    <n v="220476"/>
    <n v="406791"/>
    <n v="351008"/>
    <n v="1031359"/>
    <n v="1145.9544444444443"/>
    <n v="908997"/>
    <n v="1009.9966666666667"/>
    <m/>
    <m/>
    <n v="0"/>
    <n v="0"/>
    <m/>
    <m/>
    <m/>
    <m/>
    <m/>
    <m/>
    <m/>
    <m/>
    <n v="0"/>
    <n v="0"/>
    <n v="0"/>
    <n v="0"/>
    <n v="7721.7877777777776"/>
    <n v="6995.8633333333337"/>
  </r>
  <r>
    <x v="9"/>
    <s v="Guilford Technical Community College"/>
    <m/>
    <n v="198622"/>
    <x v="7"/>
    <s v="sem"/>
    <s v="sem"/>
    <m/>
    <m/>
    <n v="125378"/>
    <n v="111198"/>
    <n v="29154"/>
    <n v="27633"/>
    <n v="137328"/>
    <n v="121693"/>
    <n v="291860"/>
    <n v="9728.6666666666661"/>
    <n v="260524"/>
    <n v="8684.1333333333332"/>
    <n v="4612"/>
    <n v="4378"/>
    <n v="291860"/>
    <n v="260524"/>
    <m/>
    <m/>
    <n v="516509"/>
    <n v="459389"/>
    <n v="309166"/>
    <n v="259577"/>
    <n v="599099"/>
    <n v="479606"/>
    <n v="1424774"/>
    <n v="1583.0822222222223"/>
    <n v="1198572"/>
    <n v="1331.7466666666667"/>
    <m/>
    <m/>
    <n v="0"/>
    <n v="0"/>
    <m/>
    <m/>
    <m/>
    <m/>
    <m/>
    <m/>
    <m/>
    <m/>
    <n v="0"/>
    <n v="0"/>
    <n v="0"/>
    <n v="0"/>
    <n v="11311.748888888887"/>
    <n v="10015.879999999999"/>
  </r>
  <r>
    <x v="9"/>
    <s v="Pitt Community College"/>
    <m/>
    <n v="199333"/>
    <x v="7"/>
    <s v="sem"/>
    <s v="sem"/>
    <m/>
    <m/>
    <n v="87791"/>
    <n v="84153"/>
    <n v="21804"/>
    <n v="20721"/>
    <n v="93330"/>
    <n v="90830"/>
    <n v="202925"/>
    <n v="6764.166666666667"/>
    <n v="195704"/>
    <n v="6523.4666666666662"/>
    <n v="2948"/>
    <n v="4303"/>
    <n v="202925"/>
    <n v="195704"/>
    <m/>
    <m/>
    <n v="258473"/>
    <n v="260335"/>
    <n v="168869"/>
    <n v="130394"/>
    <n v="319646"/>
    <n v="257685"/>
    <n v="746988"/>
    <n v="829.98666666666668"/>
    <n v="648414"/>
    <n v="720.46"/>
    <m/>
    <m/>
    <n v="0"/>
    <n v="0"/>
    <m/>
    <m/>
    <m/>
    <m/>
    <m/>
    <m/>
    <m/>
    <m/>
    <n v="0"/>
    <n v="0"/>
    <n v="0"/>
    <n v="0"/>
    <n v="7594.1533333333336"/>
    <n v="7243.9266666666663"/>
  </r>
  <r>
    <x v="9"/>
    <s v="Rowan-Cabarrus Community College"/>
    <m/>
    <n v="199494"/>
    <x v="7"/>
    <s v="sem"/>
    <s v="sem"/>
    <m/>
    <m/>
    <n v="59570"/>
    <n v="55441"/>
    <n v="12596"/>
    <n v="11277"/>
    <n v="64261"/>
    <n v="61438"/>
    <n v="136427"/>
    <n v="4547.5666666666666"/>
    <n v="128156"/>
    <n v="4271.8666666666668"/>
    <n v="9165"/>
    <n v="12023"/>
    <n v="136427"/>
    <n v="128156"/>
    <m/>
    <m/>
    <n v="292509"/>
    <n v="280904"/>
    <n v="186006"/>
    <n v="172879"/>
    <n v="330407"/>
    <n v="288274"/>
    <n v="808922"/>
    <n v="898.80222222222221"/>
    <n v="742057"/>
    <n v="824.50777777777773"/>
    <m/>
    <m/>
    <n v="0"/>
    <n v="0"/>
    <m/>
    <m/>
    <m/>
    <m/>
    <m/>
    <m/>
    <m/>
    <m/>
    <n v="0"/>
    <n v="0"/>
    <n v="0"/>
    <n v="0"/>
    <n v="5446.3688888888892"/>
    <n v="5096.3744444444446"/>
  </r>
  <r>
    <x v="9"/>
    <s v="Wake Technical Community College"/>
    <m/>
    <n v="199856"/>
    <x v="7"/>
    <s v="sem"/>
    <s v="sem"/>
    <m/>
    <m/>
    <n v="195205"/>
    <n v="193820"/>
    <n v="44538"/>
    <n v="43925"/>
    <n v="196906"/>
    <n v="200906"/>
    <n v="436649"/>
    <n v="14554.966666666667"/>
    <n v="438651"/>
    <n v="14621.7"/>
    <n v="5559"/>
    <n v="6319"/>
    <n v="436649"/>
    <n v="438651"/>
    <m/>
    <m/>
    <n v="703720"/>
    <n v="705650"/>
    <n v="652584"/>
    <n v="625764"/>
    <n v="893912"/>
    <n v="890273"/>
    <n v="2250216"/>
    <n v="2500.2399999999998"/>
    <n v="2221687"/>
    <n v="2468.5411111111111"/>
    <m/>
    <m/>
    <n v="0"/>
    <n v="0"/>
    <m/>
    <m/>
    <m/>
    <m/>
    <m/>
    <m/>
    <m/>
    <m/>
    <n v="0"/>
    <n v="0"/>
    <n v="0"/>
    <n v="0"/>
    <n v="17055.206666666665"/>
    <n v="17090.241111111111"/>
  </r>
  <r>
    <x v="9"/>
    <s v="Alamance Community College"/>
    <m/>
    <n v="199786"/>
    <x v="6"/>
    <s v="sem"/>
    <s v="sem"/>
    <m/>
    <m/>
    <n v="39454"/>
    <n v="38134"/>
    <n v="7835"/>
    <n v="9118"/>
    <n v="41264"/>
    <n v="40344"/>
    <n v="88553"/>
    <n v="2951.7666666666669"/>
    <n v="87596"/>
    <n v="2919.8666666666668"/>
    <n v="4968"/>
    <n v="7134"/>
    <n v="88553"/>
    <n v="87596"/>
    <m/>
    <m/>
    <n v="153641"/>
    <n v="172213"/>
    <n v="137943"/>
    <n v="137119"/>
    <n v="204625"/>
    <n v="184524"/>
    <n v="496209"/>
    <n v="551.34333333333336"/>
    <n v="493856"/>
    <n v="548.72888888888883"/>
    <m/>
    <m/>
    <n v="0"/>
    <n v="0"/>
    <m/>
    <m/>
    <m/>
    <m/>
    <m/>
    <m/>
    <m/>
    <m/>
    <n v="0"/>
    <n v="0"/>
    <n v="0"/>
    <n v="0"/>
    <n v="3503.11"/>
    <n v="3468.5955555555556"/>
  </r>
  <r>
    <x v="9"/>
    <s v="Caldwell Community College &amp; Technical Institute"/>
    <m/>
    <n v="198118"/>
    <x v="6"/>
    <s v="sem"/>
    <s v="sem"/>
    <m/>
    <m/>
    <n v="31403"/>
    <n v="29424"/>
    <n v="7326"/>
    <n v="6867"/>
    <n v="33061"/>
    <n v="31354"/>
    <n v="71790"/>
    <n v="2393"/>
    <n v="67645"/>
    <n v="2254.8333333333335"/>
    <n v="8468"/>
    <n v="9700"/>
    <n v="71790"/>
    <n v="67645"/>
    <m/>
    <m/>
    <n v="209428"/>
    <n v="194474"/>
    <n v="138982"/>
    <n v="128868"/>
    <n v="266158"/>
    <n v="253340"/>
    <n v="614568"/>
    <n v="682.85333333333335"/>
    <n v="576682"/>
    <n v="640.75777777777773"/>
    <m/>
    <m/>
    <n v="0"/>
    <n v="0"/>
    <m/>
    <m/>
    <m/>
    <m/>
    <m/>
    <m/>
    <m/>
    <m/>
    <n v="0"/>
    <n v="0"/>
    <n v="0"/>
    <n v="0"/>
    <n v="3075.8533333333335"/>
    <n v="2895.5911111111113"/>
  </r>
  <r>
    <x v="9"/>
    <s v="Catawba Valley Community College"/>
    <m/>
    <n v="198233"/>
    <x v="6"/>
    <s v="sem"/>
    <s v="sem"/>
    <m/>
    <m/>
    <n v="37545"/>
    <n v="37404"/>
    <n v="9017"/>
    <n v="8322"/>
    <n v="39512"/>
    <n v="41293"/>
    <n v="86074"/>
    <n v="2869.1333333333332"/>
    <n v="87019"/>
    <n v="2900.6333333333332"/>
    <n v="7757"/>
    <n v="7850"/>
    <n v="86074"/>
    <n v="87019"/>
    <m/>
    <m/>
    <n v="223680"/>
    <n v="209476"/>
    <n v="158372"/>
    <n v="116515"/>
    <n v="241618"/>
    <n v="208507"/>
    <n v="623670"/>
    <n v="692.9666666666667"/>
    <n v="534498"/>
    <n v="593.88666666666666"/>
    <m/>
    <m/>
    <n v="0"/>
    <n v="0"/>
    <m/>
    <m/>
    <m/>
    <m/>
    <m/>
    <m/>
    <m/>
    <m/>
    <n v="0"/>
    <n v="0"/>
    <n v="0"/>
    <n v="0"/>
    <n v="3562.1"/>
    <n v="3494.52"/>
  </r>
  <r>
    <x v="9"/>
    <s v="Central Carolina Commuity College"/>
    <m/>
    <n v="198251"/>
    <x v="6"/>
    <s v="sem"/>
    <s v="sem"/>
    <m/>
    <m/>
    <n v="40598"/>
    <n v="37944"/>
    <n v="6543"/>
    <n v="7820"/>
    <n v="44917"/>
    <n v="42924"/>
    <n v="92058"/>
    <n v="3068.6"/>
    <n v="88688"/>
    <n v="2956.2666666666669"/>
    <n v="8093"/>
    <n v="11303"/>
    <n v="92058"/>
    <n v="88688"/>
    <m/>
    <m/>
    <n v="330817"/>
    <n v="278945"/>
    <n v="217935"/>
    <n v="198406"/>
    <n v="458628"/>
    <n v="380460"/>
    <n v="1007380"/>
    <n v="1119.3111111111111"/>
    <n v="857811"/>
    <n v="953.12333333333333"/>
    <m/>
    <m/>
    <n v="0"/>
    <n v="0"/>
    <m/>
    <m/>
    <m/>
    <m/>
    <m/>
    <m/>
    <m/>
    <m/>
    <n v="0"/>
    <n v="0"/>
    <n v="0"/>
    <n v="0"/>
    <n v="4187.9111111111106"/>
    <n v="3909.3900000000003"/>
  </r>
  <r>
    <x v="9"/>
    <s v="Cleveland Community College"/>
    <m/>
    <n v="198321"/>
    <x v="6"/>
    <s v="sem"/>
    <s v="sem"/>
    <m/>
    <m/>
    <n v="24588"/>
    <n v="21133"/>
    <n v="3693"/>
    <n v="3546"/>
    <n v="27649"/>
    <n v="24132"/>
    <n v="55930"/>
    <n v="1864.3333333333333"/>
    <n v="48811"/>
    <n v="1627.0333333333333"/>
    <n v="9183"/>
    <n v="10985"/>
    <n v="55930"/>
    <n v="48811"/>
    <m/>
    <m/>
    <n v="138157"/>
    <n v="127883"/>
    <n v="102884"/>
    <n v="107613"/>
    <n v="173327"/>
    <n v="165833"/>
    <n v="414368"/>
    <n v="460.4088888888889"/>
    <n v="401329"/>
    <n v="445.92111111111109"/>
    <m/>
    <m/>
    <n v="0"/>
    <n v="0"/>
    <m/>
    <m/>
    <m/>
    <m/>
    <m/>
    <m/>
    <m/>
    <m/>
    <n v="0"/>
    <n v="0"/>
    <n v="0"/>
    <n v="0"/>
    <n v="2324.7422222222222"/>
    <n v="2072.9544444444446"/>
  </r>
  <r>
    <x v="9"/>
    <s v="Coastal Carolina Community College "/>
    <m/>
    <n v="198330"/>
    <x v="6"/>
    <s v="sem"/>
    <s v="sem"/>
    <m/>
    <m/>
    <n v="43460"/>
    <n v="43196"/>
    <n v="16980"/>
    <n v="16005"/>
    <n v="45313"/>
    <n v="45362"/>
    <n v="105753"/>
    <n v="3525.1"/>
    <n v="104563"/>
    <n v="3485.4333333333334"/>
    <n v="824"/>
    <n v="780"/>
    <n v="105753"/>
    <n v="104563"/>
    <m/>
    <m/>
    <n v="192286"/>
    <n v="173589"/>
    <n v="145440"/>
    <n v="128148"/>
    <n v="247808"/>
    <n v="203123"/>
    <n v="585534"/>
    <n v="650.59333333333336"/>
    <n v="504860"/>
    <n v="560.95555555555552"/>
    <m/>
    <m/>
    <n v="0"/>
    <n v="0"/>
    <m/>
    <m/>
    <m/>
    <m/>
    <m/>
    <m/>
    <m/>
    <m/>
    <n v="0"/>
    <n v="0"/>
    <n v="0"/>
    <n v="0"/>
    <n v="4175.6933333333336"/>
    <n v="4046.3888888888887"/>
  </r>
  <r>
    <x v="9"/>
    <s v="Craven Community College "/>
    <m/>
    <n v="198367"/>
    <x v="6"/>
    <s v="sem"/>
    <s v="sem"/>
    <m/>
    <m/>
    <n v="28257"/>
    <n v="25388"/>
    <n v="7926"/>
    <n v="6474"/>
    <n v="29967"/>
    <n v="26513"/>
    <n v="66150"/>
    <n v="2205"/>
    <n v="58375"/>
    <n v="1945.8333333333333"/>
    <n v="5097"/>
    <n v="6385"/>
    <n v="66150"/>
    <n v="58375"/>
    <m/>
    <m/>
    <n v="121364"/>
    <n v="143777"/>
    <n v="98370"/>
    <n v="76869"/>
    <n v="165180"/>
    <n v="143498"/>
    <n v="384914"/>
    <n v="427.68222222222221"/>
    <n v="364144"/>
    <n v="404.60444444444443"/>
    <m/>
    <m/>
    <n v="0"/>
    <n v="0"/>
    <m/>
    <m/>
    <m/>
    <m/>
    <m/>
    <m/>
    <m/>
    <m/>
    <n v="0"/>
    <n v="0"/>
    <n v="0"/>
    <n v="0"/>
    <n v="2632.6822222222222"/>
    <n v="2350.4377777777777"/>
  </r>
  <r>
    <x v="9"/>
    <s v="Davidson County Community College "/>
    <m/>
    <n v="198376"/>
    <x v="6"/>
    <s v="sem"/>
    <s v="sem"/>
    <m/>
    <m/>
    <n v="34412"/>
    <n v="32097"/>
    <n v="6267"/>
    <n v="5610"/>
    <n v="37002"/>
    <n v="36081"/>
    <n v="77681"/>
    <n v="2589.3666666666668"/>
    <n v="73788"/>
    <n v="2459.6"/>
    <n v="6661"/>
    <n v="7197"/>
    <n v="77681"/>
    <n v="73788"/>
    <m/>
    <m/>
    <n v="163564"/>
    <n v="174253"/>
    <n v="132718"/>
    <n v="140374"/>
    <n v="217476"/>
    <n v="203354"/>
    <n v="513758"/>
    <n v="570.84222222222218"/>
    <n v="517981"/>
    <n v="575.53444444444449"/>
    <m/>
    <m/>
    <n v="0"/>
    <n v="0"/>
    <m/>
    <m/>
    <m/>
    <m/>
    <m/>
    <m/>
    <m/>
    <m/>
    <n v="0"/>
    <n v="0"/>
    <n v="0"/>
    <n v="0"/>
    <n v="3160.2088888888889"/>
    <n v="3035.1344444444444"/>
  </r>
  <r>
    <x v="9"/>
    <s v="Durham Technical Community College"/>
    <m/>
    <n v="198455"/>
    <x v="6"/>
    <s v="sem"/>
    <s v="sem"/>
    <m/>
    <m/>
    <n v="44978"/>
    <n v="42594"/>
    <n v="10855"/>
    <n v="10822"/>
    <n v="47449"/>
    <n v="44421"/>
    <n v="103282"/>
    <n v="3442.7333333333331"/>
    <n v="97837"/>
    <n v="3261.2333333333331"/>
    <n v="3161"/>
    <n v="4898"/>
    <n v="103282"/>
    <n v="97837"/>
    <m/>
    <m/>
    <n v="234333"/>
    <n v="208703"/>
    <n v="136865"/>
    <n v="149191"/>
    <n v="261315"/>
    <n v="248931"/>
    <n v="632513"/>
    <n v="702.79222222222222"/>
    <n v="606825"/>
    <n v="674.25"/>
    <m/>
    <m/>
    <n v="0"/>
    <n v="0"/>
    <m/>
    <m/>
    <m/>
    <m/>
    <m/>
    <m/>
    <m/>
    <m/>
    <n v="0"/>
    <n v="0"/>
    <n v="0"/>
    <n v="0"/>
    <n v="4145.525555555555"/>
    <n v="3935.4833333333331"/>
  </r>
  <r>
    <x v="9"/>
    <s v="Edgecombe Community College"/>
    <m/>
    <n v="198491"/>
    <x v="6"/>
    <s v="sem"/>
    <s v="sem"/>
    <m/>
    <m/>
    <n v="26157"/>
    <n v="22843"/>
    <n v="6782"/>
    <n v="6239"/>
    <n v="27853"/>
    <n v="24401"/>
    <n v="60792"/>
    <n v="2026.4"/>
    <n v="53483"/>
    <n v="1782.7666666666667"/>
    <n v="2842"/>
    <n v="3302"/>
    <n v="60792"/>
    <n v="53483"/>
    <m/>
    <m/>
    <n v="135108"/>
    <n v="121922"/>
    <n v="80470"/>
    <n v="50098"/>
    <n v="129989"/>
    <n v="125909"/>
    <n v="345567"/>
    <n v="383.96333333333331"/>
    <n v="297929"/>
    <n v="331.03222222222223"/>
    <m/>
    <m/>
    <n v="0"/>
    <n v="0"/>
    <m/>
    <m/>
    <m/>
    <m/>
    <m/>
    <m/>
    <m/>
    <m/>
    <n v="0"/>
    <n v="0"/>
    <n v="0"/>
    <n v="0"/>
    <n v="2410.3633333333332"/>
    <n v="2113.798888888889"/>
  </r>
  <r>
    <x v="9"/>
    <s v="Gaston College "/>
    <m/>
    <n v="198570"/>
    <x v="6"/>
    <s v="sem"/>
    <s v="sem"/>
    <m/>
    <m/>
    <n v="53217"/>
    <n v="48922"/>
    <n v="11773"/>
    <n v="11347"/>
    <n v="58379"/>
    <n v="54266"/>
    <n v="123369"/>
    <n v="4112.3"/>
    <n v="114535"/>
    <n v="3817.8333333333335"/>
    <n v="1587"/>
    <n v="3274"/>
    <n v="123369"/>
    <n v="114535"/>
    <m/>
    <m/>
    <n v="154344"/>
    <n v="132084"/>
    <n v="95516"/>
    <n v="79456"/>
    <n v="152499"/>
    <n v="139837"/>
    <n v="402359"/>
    <n v="447.06555555555553"/>
    <n v="351377"/>
    <n v="390.41888888888889"/>
    <m/>
    <m/>
    <n v="0"/>
    <n v="0"/>
    <m/>
    <m/>
    <m/>
    <m/>
    <m/>
    <m/>
    <m/>
    <m/>
    <n v="0"/>
    <n v="0"/>
    <n v="0"/>
    <n v="0"/>
    <n v="4559.3655555555561"/>
    <n v="4208.2522222222224"/>
  </r>
  <r>
    <x v="9"/>
    <s v="Johnston Community College"/>
    <m/>
    <n v="198774"/>
    <x v="6"/>
    <s v="sem"/>
    <s v="sem"/>
    <m/>
    <m/>
    <n v="38100"/>
    <n v="32635"/>
    <n v="3146"/>
    <n v="3495"/>
    <n v="40062"/>
    <n v="34394"/>
    <n v="81308"/>
    <n v="2710.2666666666669"/>
    <n v="70524"/>
    <n v="2350.8000000000002"/>
    <n v="8131"/>
    <n v="10311"/>
    <n v="81308"/>
    <n v="70524"/>
    <m/>
    <m/>
    <n v="163381"/>
    <n v="175510"/>
    <n v="145937"/>
    <n v="115940"/>
    <n v="233121"/>
    <n v="217644"/>
    <n v="542439"/>
    <n v="602.71"/>
    <n v="509094"/>
    <n v="565.66"/>
    <m/>
    <m/>
    <n v="0"/>
    <n v="0"/>
    <m/>
    <m/>
    <m/>
    <m/>
    <m/>
    <m/>
    <m/>
    <m/>
    <n v="0"/>
    <n v="0"/>
    <n v="0"/>
    <n v="0"/>
    <n v="3312.9766666666669"/>
    <n v="2916.46"/>
  </r>
  <r>
    <x v="9"/>
    <s v="Lenoir Community College "/>
    <m/>
    <n v="198817"/>
    <x v="6"/>
    <s v="sem"/>
    <s v="sem"/>
    <m/>
    <m/>
    <n v="23760"/>
    <n v="21347"/>
    <n v="7149"/>
    <n v="6893"/>
    <n v="25987"/>
    <n v="24935"/>
    <n v="56896"/>
    <n v="1896.5333333333333"/>
    <n v="53175"/>
    <n v="1772.5"/>
    <n v="7463"/>
    <n v="9797"/>
    <n v="56896"/>
    <n v="53175"/>
    <m/>
    <m/>
    <n v="464271"/>
    <n v="400035"/>
    <n v="282840"/>
    <n v="309060"/>
    <n v="500410"/>
    <n v="417827"/>
    <n v="1247521"/>
    <n v="1386.1344444444444"/>
    <n v="1126922"/>
    <n v="1252.1355555555556"/>
    <m/>
    <m/>
    <n v="0"/>
    <n v="0"/>
    <m/>
    <m/>
    <m/>
    <m/>
    <m/>
    <m/>
    <m/>
    <m/>
    <n v="0"/>
    <n v="0"/>
    <n v="0"/>
    <n v="0"/>
    <n v="3282.6677777777777"/>
    <n v="3024.6355555555556"/>
  </r>
  <r>
    <x v="9"/>
    <s v="Mitchell Community College "/>
    <m/>
    <n v="198987"/>
    <x v="6"/>
    <s v="sem"/>
    <s v="sem"/>
    <m/>
    <m/>
    <n v="26333"/>
    <n v="23766"/>
    <n v="5318"/>
    <n v="5482"/>
    <n v="28564"/>
    <n v="24921"/>
    <n v="60215"/>
    <n v="2007.1666666666667"/>
    <n v="54169"/>
    <n v="1805.6333333333334"/>
    <n v="8128"/>
    <n v="7618"/>
    <n v="60215"/>
    <n v="54169"/>
    <m/>
    <m/>
    <n v="110576"/>
    <n v="79375"/>
    <n v="81082"/>
    <n v="74119"/>
    <n v="171250"/>
    <n v="144527"/>
    <n v="362908"/>
    <n v="403.23111111111109"/>
    <n v="298021"/>
    <n v="331.13444444444445"/>
    <m/>
    <m/>
    <n v="0"/>
    <n v="0"/>
    <m/>
    <m/>
    <m/>
    <m/>
    <m/>
    <m/>
    <m/>
    <m/>
    <n v="0"/>
    <n v="0"/>
    <n v="0"/>
    <n v="0"/>
    <n v="2410.3977777777777"/>
    <n v="2136.7677777777781"/>
  </r>
  <r>
    <x v="9"/>
    <s v="Nash Community College"/>
    <m/>
    <n v="199087"/>
    <x v="6"/>
    <s v="sem"/>
    <s v="sem"/>
    <m/>
    <m/>
    <n v="29248"/>
    <n v="27819"/>
    <n v="6101"/>
    <n v="6276"/>
    <n v="28757"/>
    <n v="30276"/>
    <n v="64106"/>
    <n v="2136.8666666666668"/>
    <n v="64371"/>
    <n v="2145.6999999999998"/>
    <n v="5885"/>
    <n v="6614"/>
    <n v="64106"/>
    <n v="64371"/>
    <m/>
    <m/>
    <n v="139816"/>
    <n v="134496"/>
    <n v="84935"/>
    <n v="88270"/>
    <n v="187783"/>
    <n v="171824"/>
    <n v="412534"/>
    <n v="458.37111111111113"/>
    <n v="394590"/>
    <n v="438.43333333333334"/>
    <m/>
    <m/>
    <n v="0"/>
    <n v="0"/>
    <m/>
    <m/>
    <m/>
    <m/>
    <m/>
    <m/>
    <m/>
    <m/>
    <n v="0"/>
    <n v="0"/>
    <n v="0"/>
    <n v="0"/>
    <n v="2595.2377777777779"/>
    <n v="2584.1333333333332"/>
  </r>
  <r>
    <x v="9"/>
    <s v="Randolph Community College"/>
    <m/>
    <n v="199421"/>
    <x v="6"/>
    <s v="sem"/>
    <s v="sem"/>
    <m/>
    <m/>
    <n v="25306"/>
    <n v="23150"/>
    <n v="4767"/>
    <n v="5221"/>
    <n v="28143"/>
    <n v="25853"/>
    <n v="58216"/>
    <n v="1940.5333333333333"/>
    <n v="54224"/>
    <n v="1807.4666666666667"/>
    <n v="5945"/>
    <n v="6247"/>
    <n v="58216"/>
    <n v="54224"/>
    <m/>
    <m/>
    <n v="123972"/>
    <n v="139552"/>
    <n v="110611"/>
    <n v="78530"/>
    <n v="139516"/>
    <n v="119574"/>
    <n v="374099"/>
    <n v="415.66555555555556"/>
    <n v="337656"/>
    <n v="375.17333333333335"/>
    <m/>
    <m/>
    <n v="0"/>
    <n v="0"/>
    <m/>
    <m/>
    <m/>
    <m/>
    <m/>
    <m/>
    <m/>
    <m/>
    <n v="0"/>
    <n v="0"/>
    <n v="0"/>
    <n v="0"/>
    <n v="2356.1988888888891"/>
    <n v="2182.64"/>
  </r>
  <r>
    <x v="9"/>
    <s v="Richmond Community College"/>
    <m/>
    <n v="199449"/>
    <x v="6"/>
    <s v="sem"/>
    <s v="sem"/>
    <m/>
    <m/>
    <n v="20674"/>
    <n v="18281"/>
    <n v="3428"/>
    <n v="3664"/>
    <n v="22908"/>
    <n v="20950"/>
    <n v="47010"/>
    <n v="1567"/>
    <n v="42895"/>
    <n v="1429.8333333333333"/>
    <n v="7010"/>
    <n v="8226"/>
    <n v="47010"/>
    <n v="42895"/>
    <m/>
    <m/>
    <n v="167050"/>
    <n v="210388"/>
    <n v="135231"/>
    <n v="161077"/>
    <n v="234079"/>
    <n v="194080"/>
    <n v="536360"/>
    <n v="595.95555555555552"/>
    <n v="565545"/>
    <n v="628.38333333333333"/>
    <m/>
    <m/>
    <n v="0"/>
    <n v="0"/>
    <m/>
    <m/>
    <m/>
    <m/>
    <m/>
    <m/>
    <m/>
    <m/>
    <n v="0"/>
    <n v="0"/>
    <n v="0"/>
    <n v="0"/>
    <n v="2162.9555555555553"/>
    <n v="2058.2166666666667"/>
  </r>
  <r>
    <x v="9"/>
    <s v="Robeson Community College"/>
    <m/>
    <n v="199476"/>
    <x v="6"/>
    <s v="sem"/>
    <s v="sem"/>
    <m/>
    <m/>
    <n v="18060"/>
    <n v="16800"/>
    <n v="2718"/>
    <n v="3401"/>
    <n v="22389"/>
    <n v="19295"/>
    <n v="43167"/>
    <n v="1438.9"/>
    <n v="39496"/>
    <n v="1316.5333333333333"/>
    <n v="2977"/>
    <n v="3103"/>
    <n v="43167"/>
    <n v="39496"/>
    <m/>
    <m/>
    <n v="258014"/>
    <n v="247616"/>
    <n v="147349"/>
    <n v="207813"/>
    <n v="388581"/>
    <n v="325139"/>
    <n v="793944"/>
    <n v="882.16"/>
    <n v="780568"/>
    <n v="867.29777777777781"/>
    <m/>
    <m/>
    <n v="0"/>
    <n v="0"/>
    <m/>
    <m/>
    <m/>
    <m/>
    <m/>
    <m/>
    <m/>
    <m/>
    <n v="0"/>
    <n v="0"/>
    <n v="0"/>
    <n v="0"/>
    <n v="2321.06"/>
    <n v="2183.8311111111111"/>
  </r>
  <r>
    <x v="9"/>
    <s v="Sandhills Community College "/>
    <m/>
    <n v="199634"/>
    <x v="6"/>
    <s v="sem"/>
    <s v="sem"/>
    <m/>
    <m/>
    <n v="34149"/>
    <n v="32632"/>
    <n v="9542"/>
    <n v="9251"/>
    <n v="37027"/>
    <n v="34693"/>
    <n v="80718"/>
    <n v="2690.6"/>
    <n v="76576"/>
    <n v="2552.5333333333333"/>
    <n v="6753"/>
    <n v="8130"/>
    <n v="80718"/>
    <n v="76576"/>
    <m/>
    <m/>
    <n v="186643"/>
    <n v="156632"/>
    <n v="110955"/>
    <n v="104680"/>
    <n v="205482"/>
    <n v="184818"/>
    <n v="503080"/>
    <n v="558.97777777777776"/>
    <n v="446130"/>
    <n v="495.7"/>
    <m/>
    <m/>
    <n v="0"/>
    <n v="0"/>
    <m/>
    <m/>
    <m/>
    <m/>
    <m/>
    <m/>
    <m/>
    <m/>
    <n v="0"/>
    <n v="0"/>
    <n v="0"/>
    <n v="0"/>
    <n v="3249.5777777777776"/>
    <n v="3048.2333333333331"/>
  </r>
  <r>
    <x v="9"/>
    <s v="Stanly Community College"/>
    <m/>
    <n v="199740"/>
    <x v="6"/>
    <s v="sem"/>
    <s v="sem"/>
    <m/>
    <m/>
    <n v="23274"/>
    <n v="23185"/>
    <n v="5702"/>
    <n v="5257"/>
    <n v="24867"/>
    <n v="25313"/>
    <n v="53843"/>
    <n v="1794.7666666666667"/>
    <n v="53755"/>
    <n v="1791.8333333333333"/>
    <n v="4791"/>
    <n v="2925"/>
    <n v="53843"/>
    <n v="53755"/>
    <m/>
    <m/>
    <n v="136299"/>
    <n v="139033"/>
    <n v="102813"/>
    <n v="98465"/>
    <n v="151923"/>
    <n v="161073"/>
    <n v="391035"/>
    <n v="434.48333333333335"/>
    <n v="398571"/>
    <n v="442.85666666666668"/>
    <m/>
    <m/>
    <n v="0"/>
    <n v="0"/>
    <m/>
    <m/>
    <m/>
    <m/>
    <m/>
    <m/>
    <m/>
    <m/>
    <n v="0"/>
    <n v="0"/>
    <n v="0"/>
    <n v="0"/>
    <n v="2229.25"/>
    <n v="2234.69"/>
  </r>
  <r>
    <x v="9"/>
    <s v="Surry Community College "/>
    <m/>
    <n v="199768"/>
    <x v="6"/>
    <s v="sem"/>
    <s v="sem"/>
    <m/>
    <m/>
    <n v="26367"/>
    <n v="24646"/>
    <n v="4118"/>
    <n v="3912"/>
    <n v="29317"/>
    <n v="26647"/>
    <n v="59802"/>
    <n v="1993.4"/>
    <n v="55205"/>
    <n v="1840.1666666666667"/>
    <n v="10390"/>
    <n v="10146"/>
    <n v="59802"/>
    <n v="55205"/>
    <m/>
    <m/>
    <n v="134349"/>
    <n v="138334"/>
    <n v="114957"/>
    <n v="110297"/>
    <n v="203617"/>
    <n v="179938"/>
    <n v="452923"/>
    <n v="503.2477777777778"/>
    <n v="428569"/>
    <n v="476.1877777777778"/>
    <m/>
    <m/>
    <n v="0"/>
    <n v="0"/>
    <m/>
    <m/>
    <m/>
    <m/>
    <m/>
    <m/>
    <m/>
    <m/>
    <n v="0"/>
    <n v="0"/>
    <n v="0"/>
    <n v="0"/>
    <n v="2496.6477777777777"/>
    <n v="2316.3544444444447"/>
  </r>
  <r>
    <x v="9"/>
    <s v="Vance-Granville Community College "/>
    <m/>
    <n v="199838"/>
    <x v="6"/>
    <s v="sem"/>
    <s v="sem"/>
    <m/>
    <m/>
    <n v="28610"/>
    <n v="25600"/>
    <n v="4023"/>
    <n v="3675"/>
    <n v="31080"/>
    <n v="26575"/>
    <n v="63713"/>
    <n v="2123.7666666666669"/>
    <n v="55850"/>
    <n v="1861.6666666666667"/>
    <n v="10556"/>
    <n v="9970"/>
    <n v="63713"/>
    <n v="55850"/>
    <m/>
    <m/>
    <n v="189544"/>
    <n v="164131"/>
    <n v="143610"/>
    <n v="133045"/>
    <n v="231700"/>
    <n v="219290"/>
    <n v="564854"/>
    <n v="627.6155555555556"/>
    <n v="516466"/>
    <n v="573.85111111111109"/>
    <m/>
    <m/>
    <n v="0"/>
    <n v="0"/>
    <m/>
    <m/>
    <m/>
    <m/>
    <m/>
    <m/>
    <m/>
    <m/>
    <n v="0"/>
    <n v="0"/>
    <n v="0"/>
    <n v="0"/>
    <n v="2751.3822222222225"/>
    <n v="2435.5177777777781"/>
  </r>
  <r>
    <x v="9"/>
    <s v="Wayne Community College"/>
    <m/>
    <n v="199892"/>
    <x v="6"/>
    <s v="sem"/>
    <s v="sem"/>
    <m/>
    <m/>
    <n v="34724"/>
    <n v="30148"/>
    <n v="7737"/>
    <n v="6366"/>
    <n v="37243"/>
    <n v="32054"/>
    <n v="79704"/>
    <n v="2656.8"/>
    <n v="68568"/>
    <n v="2285.6"/>
    <n v="8253"/>
    <n v="7880"/>
    <n v="79704"/>
    <n v="68568"/>
    <m/>
    <m/>
    <n v="159864"/>
    <n v="145781"/>
    <n v="122006"/>
    <n v="101034"/>
    <n v="175857"/>
    <n v="184190"/>
    <n v="457727"/>
    <n v="508.58555555555557"/>
    <n v="431005"/>
    <n v="478.89444444444445"/>
    <m/>
    <m/>
    <n v="0"/>
    <n v="0"/>
    <m/>
    <m/>
    <m/>
    <m/>
    <m/>
    <m/>
    <m/>
    <m/>
    <n v="0"/>
    <n v="0"/>
    <n v="0"/>
    <n v="0"/>
    <n v="3165.3855555555556"/>
    <n v="2764.4944444444445"/>
  </r>
  <r>
    <x v="9"/>
    <s v="Western Piedmont Community College "/>
    <s v="Met the criteria for Two-Year 3 in 2015-16."/>
    <n v="199908"/>
    <x v="6"/>
    <s v="sem"/>
    <s v="sem"/>
    <m/>
    <m/>
    <n v="20371"/>
    <n v="18321"/>
    <n v="3658"/>
    <n v="3233"/>
    <n v="24372"/>
    <n v="20239"/>
    <n v="48401"/>
    <n v="1613.3666666666666"/>
    <n v="41793"/>
    <n v="1393.1"/>
    <n v="3927"/>
    <n v="4072"/>
    <n v="48401"/>
    <n v="41793"/>
    <m/>
    <m/>
    <n v="168922"/>
    <n v="148644"/>
    <n v="108322"/>
    <n v="89798"/>
    <n v="180549"/>
    <n v="171297"/>
    <n v="457793"/>
    <n v="508.6588888888889"/>
    <n v="409739"/>
    <n v="455.26555555555558"/>
    <m/>
    <m/>
    <n v="0"/>
    <n v="0"/>
    <m/>
    <m/>
    <m/>
    <m/>
    <m/>
    <m/>
    <m/>
    <m/>
    <n v="0"/>
    <n v="0"/>
    <n v="0"/>
    <n v="0"/>
    <n v="2122.0255555555555"/>
    <n v="1848.3655555555556"/>
  </r>
  <r>
    <x v="9"/>
    <s v="Wilkes Community College "/>
    <m/>
    <n v="199926"/>
    <x v="6"/>
    <s v="sem"/>
    <s v="sem"/>
    <m/>
    <m/>
    <n v="26895"/>
    <n v="23714"/>
    <n v="4197"/>
    <n v="3684"/>
    <n v="26604"/>
    <n v="25394"/>
    <n v="57696"/>
    <n v="1923.2"/>
    <n v="52792"/>
    <n v="1759.7333333333333"/>
    <n v="5793"/>
    <n v="6971"/>
    <n v="57696"/>
    <n v="52792"/>
    <m/>
    <m/>
    <n v="165838"/>
    <n v="164700"/>
    <n v="137763"/>
    <n v="123306"/>
    <n v="193033"/>
    <n v="178004"/>
    <n v="496634"/>
    <n v="551.81555555555553"/>
    <n v="466010"/>
    <n v="517.78888888888889"/>
    <m/>
    <m/>
    <n v="0"/>
    <n v="0"/>
    <m/>
    <m/>
    <m/>
    <m/>
    <m/>
    <m/>
    <m/>
    <m/>
    <n v="0"/>
    <n v="0"/>
    <n v="0"/>
    <n v="0"/>
    <n v="2475.0155555555557"/>
    <n v="2277.5222222222224"/>
  </r>
  <r>
    <x v="9"/>
    <s v="Beaufort County Community College "/>
    <m/>
    <n v="197966"/>
    <x v="8"/>
    <s v="sem"/>
    <s v="sem"/>
    <m/>
    <m/>
    <n v="16853"/>
    <n v="15133"/>
    <n v="2902"/>
    <n v="2255"/>
    <n v="17077"/>
    <n v="16020"/>
    <n v="36832"/>
    <n v="1227.7333333333333"/>
    <n v="33408"/>
    <n v="1113.5999999999999"/>
    <n v="4313"/>
    <n v="7091"/>
    <n v="36832"/>
    <n v="33408"/>
    <m/>
    <m/>
    <n v="46931"/>
    <n v="83582"/>
    <n v="61550"/>
    <n v="85432"/>
    <n v="82390"/>
    <n v="73520"/>
    <n v="190871"/>
    <n v="212.07888888888888"/>
    <n v="242534"/>
    <n v="269.48222222222222"/>
    <m/>
    <m/>
    <n v="0"/>
    <n v="0"/>
    <m/>
    <m/>
    <m/>
    <m/>
    <m/>
    <m/>
    <m/>
    <m/>
    <n v="0"/>
    <n v="0"/>
    <n v="0"/>
    <n v="0"/>
    <n v="1439.8122222222223"/>
    <n v="1383.0822222222221"/>
  </r>
  <r>
    <x v="9"/>
    <s v="Bladen Community College"/>
    <m/>
    <n v="198011"/>
    <x v="8"/>
    <s v="sem"/>
    <s v="sem"/>
    <m/>
    <m/>
    <n v="12966"/>
    <n v="11501"/>
    <n v="2475"/>
    <n v="2516"/>
    <n v="13111"/>
    <n v="13011"/>
    <n v="28552"/>
    <n v="951.73333333333335"/>
    <n v="27028"/>
    <n v="900.93333333333328"/>
    <n v="1508"/>
    <n v="2181"/>
    <n v="28552"/>
    <n v="27028"/>
    <m/>
    <m/>
    <n v="67444"/>
    <n v="77519"/>
    <n v="42971"/>
    <n v="48645"/>
    <n v="69866"/>
    <n v="64584"/>
    <n v="180281"/>
    <n v="200.31222222222223"/>
    <n v="190748"/>
    <n v="211.94222222222223"/>
    <m/>
    <m/>
    <n v="0"/>
    <n v="0"/>
    <m/>
    <m/>
    <m/>
    <m/>
    <m/>
    <m/>
    <m/>
    <m/>
    <n v="0"/>
    <n v="0"/>
    <n v="0"/>
    <n v="0"/>
    <n v="1152.0455555555557"/>
    <n v="1112.8755555555556"/>
  </r>
  <r>
    <x v="9"/>
    <s v="Blue Ridge Community College"/>
    <m/>
    <n v="198039"/>
    <x v="8"/>
    <s v="sem"/>
    <s v="sem"/>
    <m/>
    <m/>
    <n v="17761"/>
    <n v="16998"/>
    <n v="3764"/>
    <n v="3823"/>
    <n v="19498"/>
    <n v="18422"/>
    <n v="41023"/>
    <n v="1367.4333333333334"/>
    <n v="39243"/>
    <n v="1308.0999999999999"/>
    <n v="4356"/>
    <n v="4025"/>
    <n v="41023"/>
    <n v="39243"/>
    <m/>
    <m/>
    <n v="125049"/>
    <n v="108895"/>
    <n v="72913"/>
    <n v="65876"/>
    <n v="163301"/>
    <n v="146260"/>
    <n v="361263"/>
    <n v="401.40333333333331"/>
    <n v="321031"/>
    <n v="356.70111111111112"/>
    <m/>
    <m/>
    <n v="0"/>
    <n v="0"/>
    <m/>
    <m/>
    <m/>
    <m/>
    <m/>
    <m/>
    <m/>
    <m/>
    <n v="0"/>
    <n v="0"/>
    <n v="0"/>
    <n v="0"/>
    <n v="1768.8366666666666"/>
    <n v="1664.8011111111109"/>
  </r>
  <r>
    <x v="9"/>
    <s v="Brunswick Community College"/>
    <m/>
    <n v="198084"/>
    <x v="8"/>
    <s v="sem"/>
    <s v="sem"/>
    <m/>
    <m/>
    <n v="12102"/>
    <n v="12258"/>
    <n v="2520"/>
    <n v="2264"/>
    <n v="14267"/>
    <n v="14935"/>
    <n v="28889"/>
    <n v="962.9666666666667"/>
    <n v="29457"/>
    <n v="981.9"/>
    <n v="5922"/>
    <n v="5414"/>
    <n v="28889"/>
    <n v="29457"/>
    <m/>
    <m/>
    <n v="136672"/>
    <n v="137481"/>
    <n v="110086"/>
    <n v="100144"/>
    <n v="167255"/>
    <n v="153206"/>
    <n v="414013"/>
    <n v="460.01444444444445"/>
    <n v="390831"/>
    <n v="434.25666666666666"/>
    <m/>
    <m/>
    <n v="0"/>
    <n v="0"/>
    <m/>
    <m/>
    <m/>
    <m/>
    <m/>
    <m/>
    <m/>
    <m/>
    <n v="0"/>
    <n v="0"/>
    <n v="0"/>
    <n v="0"/>
    <n v="1422.9811111111112"/>
    <n v="1416.1566666666668"/>
  </r>
  <r>
    <x v="9"/>
    <s v="Carteret Community College"/>
    <m/>
    <n v="198206"/>
    <x v="8"/>
    <s v="sem"/>
    <s v="sem"/>
    <m/>
    <m/>
    <n v="13845"/>
    <n v="13549"/>
    <n v="2669"/>
    <n v="3049"/>
    <n v="14848"/>
    <n v="14174"/>
    <n v="31362"/>
    <n v="1045.4000000000001"/>
    <n v="30772"/>
    <n v="1025.7333333333333"/>
    <n v="504"/>
    <n v="933"/>
    <n v="31362"/>
    <n v="30772"/>
    <m/>
    <m/>
    <n v="125585"/>
    <n v="114481"/>
    <n v="67156"/>
    <n v="69975"/>
    <n v="131724"/>
    <n v="111231"/>
    <n v="324465"/>
    <n v="360.51666666666665"/>
    <n v="295687"/>
    <n v="328.54111111111109"/>
    <m/>
    <m/>
    <n v="0"/>
    <n v="0"/>
    <m/>
    <m/>
    <m/>
    <m/>
    <m/>
    <m/>
    <m/>
    <m/>
    <n v="0"/>
    <n v="0"/>
    <n v="0"/>
    <n v="0"/>
    <n v="1405.9166666666667"/>
    <n v="1354.2744444444445"/>
  </r>
  <r>
    <x v="9"/>
    <s v="College of the Albemarle"/>
    <m/>
    <n v="197814"/>
    <x v="8"/>
    <s v="sem"/>
    <s v="sem"/>
    <m/>
    <m/>
    <n v="21150"/>
    <n v="19567"/>
    <n v="3432"/>
    <n v="3342"/>
    <n v="22026"/>
    <n v="20631"/>
    <n v="46608"/>
    <n v="1553.6"/>
    <n v="43540"/>
    <n v="1451.3333333333333"/>
    <n v="5029"/>
    <n v="6093"/>
    <n v="46608"/>
    <n v="43540"/>
    <m/>
    <m/>
    <n v="111392"/>
    <n v="106129"/>
    <n v="58854"/>
    <n v="43599"/>
    <n v="120772"/>
    <n v="123921"/>
    <n v="291018"/>
    <n v="323.35333333333335"/>
    <n v="273649"/>
    <n v="304.05444444444447"/>
    <m/>
    <m/>
    <n v="0"/>
    <n v="0"/>
    <m/>
    <m/>
    <m/>
    <m/>
    <m/>
    <m/>
    <m/>
    <m/>
    <n v="0"/>
    <n v="0"/>
    <n v="0"/>
    <n v="0"/>
    <n v="1876.9533333333334"/>
    <n v="1755.3877777777777"/>
  </r>
  <r>
    <x v="9"/>
    <s v="Halifax Community College "/>
    <m/>
    <n v="198640"/>
    <x v="8"/>
    <s v="sem"/>
    <s v="sem"/>
    <m/>
    <m/>
    <n v="12768"/>
    <n v="10451"/>
    <n v="1823"/>
    <n v="1845"/>
    <n v="13326"/>
    <n v="12051"/>
    <n v="27917"/>
    <n v="930.56666666666672"/>
    <n v="24347"/>
    <n v="811.56666666666672"/>
    <n v="2072"/>
    <n v="2420"/>
    <n v="27917"/>
    <n v="24347"/>
    <m/>
    <m/>
    <n v="96868"/>
    <n v="99092"/>
    <n v="44255"/>
    <n v="44094"/>
    <n v="99942"/>
    <n v="88704"/>
    <n v="241065"/>
    <n v="267.85000000000002"/>
    <n v="231890"/>
    <n v="257.65555555555557"/>
    <m/>
    <m/>
    <n v="0"/>
    <n v="0"/>
    <m/>
    <m/>
    <m/>
    <m/>
    <m/>
    <m/>
    <m/>
    <m/>
    <n v="0"/>
    <n v="0"/>
    <n v="0"/>
    <n v="0"/>
    <n v="1198.4166666666667"/>
    <n v="1069.2222222222222"/>
  </r>
  <r>
    <x v="9"/>
    <s v="Haywood Community College"/>
    <m/>
    <n v="198668"/>
    <x v="8"/>
    <s v="sem"/>
    <s v="sem"/>
    <m/>
    <m/>
    <n v="17476"/>
    <n v="14408"/>
    <n v="3652"/>
    <n v="3587"/>
    <n v="18125"/>
    <n v="16610"/>
    <n v="39253"/>
    <n v="1308.4333333333334"/>
    <n v="34605"/>
    <n v="1153.5"/>
    <n v="3247"/>
    <n v="4156"/>
    <n v="39253"/>
    <n v="34605"/>
    <m/>
    <m/>
    <n v="81067"/>
    <n v="67322"/>
    <n v="41088"/>
    <n v="41334"/>
    <n v="97485"/>
    <n v="81388"/>
    <n v="219640"/>
    <n v="244.04444444444445"/>
    <n v="190044"/>
    <n v="211.16"/>
    <m/>
    <m/>
    <n v="0"/>
    <n v="0"/>
    <m/>
    <m/>
    <m/>
    <m/>
    <m/>
    <m/>
    <m/>
    <m/>
    <n v="0"/>
    <n v="0"/>
    <n v="0"/>
    <n v="0"/>
    <n v="1552.4777777777779"/>
    <n v="1364.66"/>
  </r>
  <r>
    <x v="9"/>
    <s v="Isothermal Community College "/>
    <m/>
    <n v="198710"/>
    <x v="8"/>
    <s v="sem"/>
    <s v="sem"/>
    <m/>
    <m/>
    <n v="17569"/>
    <n v="14696"/>
    <n v="3846"/>
    <n v="3240"/>
    <n v="18349"/>
    <n v="16220"/>
    <n v="39764"/>
    <n v="1325.4666666666667"/>
    <n v="34156"/>
    <n v="1138.5333333333333"/>
    <n v="8219"/>
    <n v="9398"/>
    <n v="39764"/>
    <n v="34156"/>
    <m/>
    <m/>
    <n v="108928"/>
    <n v="78217"/>
    <n v="56596"/>
    <n v="60040"/>
    <n v="120722"/>
    <n v="98179"/>
    <n v="286246"/>
    <n v="318.05111111111108"/>
    <n v="236436"/>
    <n v="262.70666666666665"/>
    <m/>
    <m/>
    <n v="0"/>
    <n v="0"/>
    <m/>
    <m/>
    <m/>
    <m/>
    <m/>
    <m/>
    <m/>
    <m/>
    <n v="0"/>
    <n v="0"/>
    <n v="0"/>
    <n v="0"/>
    <n v="1643.5177777777778"/>
    <n v="1401.24"/>
  </r>
  <r>
    <x v="9"/>
    <s v="James Sprunt Community College"/>
    <m/>
    <n v="198729"/>
    <x v="8"/>
    <s v="sem"/>
    <s v="sem"/>
    <m/>
    <m/>
    <n v="11156"/>
    <n v="9186"/>
    <n v="956"/>
    <n v="708"/>
    <n v="12283"/>
    <n v="10001"/>
    <n v="24395"/>
    <n v="813.16666666666663"/>
    <n v="19895"/>
    <n v="663.16666666666663"/>
    <n v="3483"/>
    <n v="4164"/>
    <n v="24395"/>
    <n v="19895"/>
    <m/>
    <m/>
    <n v="59460"/>
    <n v="69709"/>
    <n v="36247"/>
    <n v="37412"/>
    <n v="69443"/>
    <n v="48983"/>
    <n v="165150"/>
    <n v="183.5"/>
    <n v="156104"/>
    <n v="173.44888888888889"/>
    <m/>
    <m/>
    <n v="0"/>
    <n v="0"/>
    <m/>
    <m/>
    <m/>
    <m/>
    <m/>
    <m/>
    <m/>
    <m/>
    <n v="0"/>
    <n v="0"/>
    <n v="0"/>
    <n v="0"/>
    <n v="996.66666666666663"/>
    <n v="836.61555555555549"/>
  </r>
  <r>
    <x v="9"/>
    <s v="Martin Community College "/>
    <m/>
    <n v="198905"/>
    <x v="8"/>
    <s v="sem"/>
    <s v="sem"/>
    <m/>
    <m/>
    <n v="5821"/>
    <n v="4569"/>
    <n v="463"/>
    <n v="512"/>
    <n v="6878"/>
    <n v="5225"/>
    <n v="13162"/>
    <n v="438.73333333333335"/>
    <n v="10306"/>
    <n v="343.53333333333336"/>
    <n v="2088"/>
    <n v="2482"/>
    <n v="13162"/>
    <n v="10306"/>
    <m/>
    <m/>
    <n v="56614"/>
    <n v="63569"/>
    <n v="63394"/>
    <n v="49378"/>
    <n v="94738"/>
    <n v="78078"/>
    <n v="214746"/>
    <n v="238.60666666666665"/>
    <n v="191025"/>
    <n v="212.25"/>
    <m/>
    <m/>
    <n v="0"/>
    <n v="0"/>
    <m/>
    <m/>
    <m/>
    <m/>
    <m/>
    <m/>
    <m/>
    <m/>
    <n v="0"/>
    <n v="0"/>
    <n v="0"/>
    <n v="0"/>
    <n v="677.34"/>
    <n v="555.7833333333333"/>
  </r>
  <r>
    <x v="9"/>
    <s v="Mayland Community College"/>
    <m/>
    <n v="198914"/>
    <x v="8"/>
    <s v="sem"/>
    <s v="sem"/>
    <m/>
    <m/>
    <n v="7470"/>
    <n v="6426"/>
    <n v="502"/>
    <n v="439"/>
    <n v="8718"/>
    <n v="7689"/>
    <n v="16690"/>
    <n v="556.33333333333337"/>
    <n v="14554"/>
    <n v="485.13333333333333"/>
    <n v="5700"/>
    <n v="5649"/>
    <n v="16690"/>
    <n v="14554"/>
    <m/>
    <m/>
    <n v="171918"/>
    <n v="182278"/>
    <n v="134038"/>
    <n v="146480"/>
    <n v="217673"/>
    <n v="186903"/>
    <n v="523629"/>
    <n v="581.80999999999995"/>
    <n v="515661"/>
    <n v="572.95666666666671"/>
    <m/>
    <m/>
    <n v="0"/>
    <n v="0"/>
    <m/>
    <m/>
    <m/>
    <m/>
    <m/>
    <m/>
    <m/>
    <m/>
    <n v="0"/>
    <n v="0"/>
    <n v="0"/>
    <n v="0"/>
    <n v="1138.1433333333334"/>
    <n v="1058.0900000000001"/>
  </r>
  <r>
    <x v="9"/>
    <s v="McDowell Technical Community College"/>
    <m/>
    <n v="198923"/>
    <x v="8"/>
    <s v="sem"/>
    <s v="sem"/>
    <m/>
    <m/>
    <n v="9083"/>
    <n v="7193"/>
    <n v="2888"/>
    <n v="2090"/>
    <n v="9037"/>
    <n v="7704"/>
    <n v="21008"/>
    <n v="700.26666666666665"/>
    <n v="16987"/>
    <n v="566.23333333333335"/>
    <n v="4163"/>
    <n v="5080"/>
    <n v="21008"/>
    <n v="16987"/>
    <m/>
    <m/>
    <n v="140884"/>
    <n v="115721"/>
    <n v="54433"/>
    <n v="69267"/>
    <n v="86183"/>
    <n v="120324"/>
    <n v="281500"/>
    <n v="312.77777777777777"/>
    <n v="305312"/>
    <n v="339.23555555555555"/>
    <m/>
    <m/>
    <n v="0"/>
    <n v="0"/>
    <m/>
    <m/>
    <m/>
    <m/>
    <m/>
    <m/>
    <m/>
    <m/>
    <n v="0"/>
    <n v="0"/>
    <n v="0"/>
    <n v="0"/>
    <n v="1013.0444444444445"/>
    <n v="905.46888888888884"/>
  </r>
  <r>
    <x v="9"/>
    <s v="Montgomery Community College"/>
    <m/>
    <n v="199023"/>
    <x v="8"/>
    <s v="sem"/>
    <s v="sem"/>
    <m/>
    <m/>
    <n v="7566"/>
    <n v="6921"/>
    <n v="1394"/>
    <n v="1222"/>
    <n v="7177"/>
    <n v="7217"/>
    <n v="16137"/>
    <n v="537.9"/>
    <n v="15360"/>
    <n v="512"/>
    <n v="1345"/>
    <n v="1965"/>
    <n v="16137"/>
    <n v="15360"/>
    <m/>
    <m/>
    <n v="81718"/>
    <n v="56138"/>
    <n v="59390"/>
    <n v="35045"/>
    <n v="77484"/>
    <n v="72626"/>
    <n v="218592"/>
    <n v="242.88"/>
    <n v="163809"/>
    <n v="182.01"/>
    <m/>
    <m/>
    <n v="0"/>
    <n v="0"/>
    <m/>
    <m/>
    <m/>
    <m/>
    <m/>
    <m/>
    <m/>
    <m/>
    <n v="0"/>
    <n v="0"/>
    <n v="0"/>
    <n v="0"/>
    <n v="780.78"/>
    <n v="694.01"/>
  </r>
  <r>
    <x v="9"/>
    <s v="Pamlico Community College"/>
    <m/>
    <n v="199263"/>
    <x v="8"/>
    <s v="sem"/>
    <s v="sem"/>
    <m/>
    <m/>
    <n v="4270"/>
    <n v="4005"/>
    <n v="376"/>
    <n v="711"/>
    <n v="4189"/>
    <n v="4203"/>
    <n v="8835"/>
    <n v="294.5"/>
    <n v="8919"/>
    <n v="297.3"/>
    <n v="2842"/>
    <n v="954"/>
    <n v="8835"/>
    <n v="8919"/>
    <m/>
    <m/>
    <n v="50574"/>
    <n v="46676"/>
    <n v="54471"/>
    <n v="31923"/>
    <n v="50096"/>
    <n v="55543"/>
    <n v="155141"/>
    <n v="172.37888888888889"/>
    <n v="134142"/>
    <n v="149.04666666666665"/>
    <m/>
    <m/>
    <n v="0"/>
    <n v="0"/>
    <m/>
    <m/>
    <m/>
    <m/>
    <m/>
    <m/>
    <m/>
    <m/>
    <n v="0"/>
    <n v="0"/>
    <n v="0"/>
    <n v="0"/>
    <n v="466.87888888888892"/>
    <n v="446.34666666666669"/>
  </r>
  <r>
    <x v="9"/>
    <s v="Piedmont Community College"/>
    <m/>
    <n v="199324"/>
    <x v="8"/>
    <s v="sem"/>
    <s v="sem"/>
    <m/>
    <m/>
    <n v="12817"/>
    <n v="11458"/>
    <n v="1937"/>
    <n v="1706"/>
    <n v="14237"/>
    <n v="12329"/>
    <n v="28991"/>
    <n v="966.36666666666667"/>
    <n v="25493"/>
    <n v="849.76666666666665"/>
    <n v="2179"/>
    <n v="2596"/>
    <n v="28991"/>
    <n v="25493"/>
    <m/>
    <m/>
    <n v="175740"/>
    <n v="154167"/>
    <n v="102610"/>
    <n v="92181"/>
    <n v="211653"/>
    <n v="164957"/>
    <n v="490003"/>
    <n v="544.44777777777779"/>
    <n v="411305"/>
    <n v="457.00555555555553"/>
    <m/>
    <m/>
    <n v="0"/>
    <n v="0"/>
    <m/>
    <m/>
    <m/>
    <m/>
    <m/>
    <m/>
    <m/>
    <m/>
    <n v="0"/>
    <n v="0"/>
    <n v="0"/>
    <n v="0"/>
    <n v="1510.8144444444445"/>
    <n v="1306.7722222222221"/>
  </r>
  <r>
    <x v="9"/>
    <s v="Roanoke-Chowan Community College"/>
    <m/>
    <n v="199467"/>
    <x v="8"/>
    <s v="sem"/>
    <s v="sem"/>
    <m/>
    <m/>
    <n v="6371"/>
    <n v="6201"/>
    <n v="557"/>
    <n v="574"/>
    <n v="7629"/>
    <n v="6991"/>
    <n v="14557"/>
    <n v="485.23333333333335"/>
    <n v="13766"/>
    <n v="458.86666666666667"/>
    <n v="2405"/>
    <n v="2339"/>
    <n v="14557"/>
    <n v="13766"/>
    <m/>
    <m/>
    <n v="67198"/>
    <n v="56321"/>
    <n v="56299"/>
    <n v="40676"/>
    <n v="51701"/>
    <n v="54837"/>
    <n v="175198"/>
    <n v="194.66444444444446"/>
    <n v="151834"/>
    <n v="168.70444444444445"/>
    <m/>
    <m/>
    <n v="0"/>
    <n v="0"/>
    <m/>
    <m/>
    <m/>
    <m/>
    <m/>
    <m/>
    <m/>
    <m/>
    <n v="0"/>
    <n v="0"/>
    <n v="0"/>
    <n v="0"/>
    <n v="679.89777777777783"/>
    <n v="627.57111111111112"/>
  </r>
  <r>
    <x v="9"/>
    <s v="Rockingham Community College "/>
    <m/>
    <n v="199485"/>
    <x v="8"/>
    <s v="sem"/>
    <s v="sem"/>
    <m/>
    <m/>
    <n v="15628"/>
    <n v="14299"/>
    <n v="2748"/>
    <n v="3060"/>
    <n v="17684"/>
    <n v="15616"/>
    <n v="36060"/>
    <n v="1202"/>
    <n v="32975"/>
    <n v="1099.1666666666667"/>
    <n v="3413"/>
    <n v="4015"/>
    <n v="36060"/>
    <n v="32975"/>
    <m/>
    <m/>
    <n v="70173"/>
    <n v="61908"/>
    <n v="59393"/>
    <n v="45656"/>
    <n v="96863"/>
    <n v="82708"/>
    <n v="226429"/>
    <n v="251.58777777777777"/>
    <n v="190272"/>
    <n v="211.41333333333333"/>
    <m/>
    <m/>
    <n v="0"/>
    <n v="0"/>
    <m/>
    <m/>
    <m/>
    <m/>
    <m/>
    <m/>
    <m/>
    <m/>
    <n v="0"/>
    <n v="0"/>
    <n v="0"/>
    <n v="0"/>
    <n v="1453.5877777777778"/>
    <n v="1310.5800000000002"/>
  </r>
  <r>
    <x v="9"/>
    <s v="Sampson Community College"/>
    <m/>
    <n v="199625"/>
    <x v="8"/>
    <s v="sem"/>
    <s v="sem"/>
    <m/>
    <m/>
    <n v="11035"/>
    <n v="10712"/>
    <n v="1318"/>
    <n v="1353"/>
    <n v="12463"/>
    <n v="11796"/>
    <n v="24816"/>
    <n v="827.2"/>
    <n v="23861"/>
    <n v="795.36666666666667"/>
    <n v="5101"/>
    <n v="4724"/>
    <n v="24816"/>
    <n v="23861"/>
    <m/>
    <m/>
    <n v="141856"/>
    <n v="137899"/>
    <n v="134598"/>
    <n v="108715"/>
    <n v="203244"/>
    <n v="196333"/>
    <n v="479698"/>
    <n v="532.99777777777774"/>
    <n v="442947"/>
    <n v="492.16333333333336"/>
    <m/>
    <m/>
    <n v="0"/>
    <n v="0"/>
    <m/>
    <m/>
    <m/>
    <m/>
    <m/>
    <m/>
    <m/>
    <m/>
    <n v="0"/>
    <n v="0"/>
    <n v="0"/>
    <n v="0"/>
    <n v="1360.1977777777779"/>
    <n v="1287.53"/>
  </r>
  <r>
    <x v="9"/>
    <s v="South Piedmont Community College"/>
    <m/>
    <n v="197850"/>
    <x v="8"/>
    <s v="sem"/>
    <s v="sem"/>
    <m/>
    <m/>
    <n v="16644"/>
    <n v="15790"/>
    <n v="3431"/>
    <n v="3326"/>
    <n v="18932"/>
    <n v="17404"/>
    <n v="39007"/>
    <n v="1300.2333333333333"/>
    <n v="36520"/>
    <n v="1217.3333333333333"/>
    <n v="8530"/>
    <n v="9745"/>
    <n v="39007"/>
    <n v="36520"/>
    <m/>
    <m/>
    <n v="225177"/>
    <n v="189477"/>
    <n v="131897"/>
    <n v="127956"/>
    <n v="254542"/>
    <n v="232965"/>
    <n v="611616"/>
    <n v="679.57333333333338"/>
    <n v="550398"/>
    <n v="611.55333333333328"/>
    <m/>
    <m/>
    <n v="0"/>
    <n v="0"/>
    <m/>
    <m/>
    <m/>
    <m/>
    <m/>
    <m/>
    <m/>
    <m/>
    <n v="0"/>
    <n v="0"/>
    <n v="0"/>
    <n v="0"/>
    <n v="1979.8066666666668"/>
    <n v="1828.8866666666665"/>
  </r>
  <r>
    <x v="9"/>
    <s v="Southeastern Community College "/>
    <m/>
    <n v="199722"/>
    <x v="8"/>
    <s v="sem"/>
    <s v="sem"/>
    <m/>
    <m/>
    <n v="11278"/>
    <n v="11149"/>
    <n v="2836"/>
    <n v="3284"/>
    <n v="13128"/>
    <n v="11615"/>
    <n v="27242"/>
    <n v="908.06666666666672"/>
    <n v="26048"/>
    <n v="868.26666666666665"/>
    <n v="2832"/>
    <n v="4155"/>
    <n v="27242"/>
    <n v="26048"/>
    <m/>
    <m/>
    <n v="229827"/>
    <n v="248065"/>
    <n v="167402"/>
    <n v="152863"/>
    <n v="245837"/>
    <n v="249370"/>
    <n v="643066"/>
    <n v="714.51777777777772"/>
    <n v="650298"/>
    <n v="722.55333333333328"/>
    <m/>
    <m/>
    <n v="0"/>
    <n v="0"/>
    <m/>
    <m/>
    <m/>
    <m/>
    <m/>
    <m/>
    <m/>
    <m/>
    <n v="0"/>
    <n v="0"/>
    <n v="0"/>
    <n v="0"/>
    <n v="1622.5844444444444"/>
    <n v="1590.82"/>
  </r>
  <r>
    <x v="9"/>
    <s v="Southwestern Community College "/>
    <m/>
    <n v="199731"/>
    <x v="8"/>
    <s v="sem"/>
    <s v="sem"/>
    <m/>
    <m/>
    <n v="19125"/>
    <n v="19017"/>
    <n v="4405"/>
    <n v="4044"/>
    <n v="21225"/>
    <n v="21642"/>
    <n v="44755"/>
    <n v="1491.8333333333333"/>
    <n v="44703"/>
    <n v="1490.1"/>
    <n v="7518"/>
    <n v="7838"/>
    <n v="44755"/>
    <n v="44703"/>
    <m/>
    <m/>
    <n v="164990"/>
    <n v="142728"/>
    <n v="101355"/>
    <n v="85135"/>
    <n v="141363"/>
    <n v="172334"/>
    <n v="407708"/>
    <n v="453.00888888888886"/>
    <n v="400197"/>
    <n v="444.66333333333336"/>
    <m/>
    <m/>
    <n v="0"/>
    <n v="0"/>
    <m/>
    <m/>
    <m/>
    <m/>
    <m/>
    <m/>
    <m/>
    <m/>
    <n v="0"/>
    <n v="0"/>
    <n v="0"/>
    <n v="0"/>
    <n v="1944.8422222222221"/>
    <n v="1934.7633333333333"/>
  </r>
  <r>
    <x v="9"/>
    <s v="Tri-County Community College "/>
    <m/>
    <n v="199795"/>
    <x v="8"/>
    <s v="sem"/>
    <s v="sem"/>
    <m/>
    <m/>
    <n v="12513"/>
    <n v="9995"/>
    <n v="1678"/>
    <n v="1807"/>
    <n v="11444"/>
    <n v="9515"/>
    <n v="25635"/>
    <n v="854.5"/>
    <n v="21317"/>
    <n v="710.56666666666672"/>
    <n v="4776"/>
    <n v="5154"/>
    <n v="25635"/>
    <n v="21317"/>
    <m/>
    <m/>
    <n v="40806"/>
    <n v="55031"/>
    <n v="30140"/>
    <n v="57865"/>
    <n v="59109"/>
    <n v="71584"/>
    <n v="130055"/>
    <n v="144.50555555555556"/>
    <n v="184480"/>
    <n v="204.97777777777779"/>
    <m/>
    <m/>
    <n v="0"/>
    <n v="0"/>
    <m/>
    <m/>
    <m/>
    <m/>
    <m/>
    <m/>
    <m/>
    <m/>
    <n v="0"/>
    <n v="0"/>
    <n v="0"/>
    <n v="0"/>
    <n v="999.00555555555559"/>
    <n v="915.54444444444448"/>
  </r>
  <r>
    <x v="9"/>
    <s v="Wilson Community College"/>
    <m/>
    <n v="199953"/>
    <x v="8"/>
    <s v="sem"/>
    <s v="sem"/>
    <m/>
    <m/>
    <n v="16448"/>
    <n v="14126"/>
    <n v="5864"/>
    <n v="5393"/>
    <n v="16761"/>
    <n v="15196"/>
    <n v="39073"/>
    <n v="1302.4333333333334"/>
    <n v="34715"/>
    <n v="1157.1666666666667"/>
    <n v="4157"/>
    <n v="4480"/>
    <n v="39073"/>
    <n v="34715"/>
    <m/>
    <m/>
    <n v="113968"/>
    <n v="107967"/>
    <n v="67068"/>
    <n v="67928"/>
    <n v="132840"/>
    <n v="116265"/>
    <n v="313876"/>
    <n v="348.75111111111113"/>
    <n v="292160"/>
    <n v="324.62222222222221"/>
    <m/>
    <m/>
    <n v="0"/>
    <n v="0"/>
    <m/>
    <m/>
    <m/>
    <m/>
    <m/>
    <m/>
    <m/>
    <m/>
    <n v="0"/>
    <n v="0"/>
    <n v="0"/>
    <n v="0"/>
    <n v="1651.1844444444446"/>
    <n v="1481.788888888889"/>
  </r>
  <r>
    <x v="10"/>
    <s v="Oklahoma State University Main Campus"/>
    <m/>
    <n v="207388"/>
    <x v="0"/>
    <s v="sem"/>
    <s v="sem"/>
    <m/>
    <m/>
    <n v="270811"/>
    <n v="274208"/>
    <n v="31296"/>
    <n v="32539"/>
    <n v="298924"/>
    <n v="304054"/>
    <n v="601031"/>
    <n v="20034.366666666665"/>
    <n v="610801"/>
    <n v="20360.033333333333"/>
    <m/>
    <m/>
    <n v="0"/>
    <n v="0"/>
    <m/>
    <m/>
    <m/>
    <m/>
    <m/>
    <m/>
    <m/>
    <m/>
    <n v="0"/>
    <n v="0"/>
    <n v="0"/>
    <n v="0"/>
    <m/>
    <m/>
    <n v="0"/>
    <n v="0"/>
    <m/>
    <m/>
    <m/>
    <m/>
    <m/>
    <m/>
    <m/>
    <m/>
    <n v="0"/>
    <n v="0"/>
    <n v="0"/>
    <n v="0"/>
    <n v="20034.366666666665"/>
    <n v="20360.033333333333"/>
  </r>
  <r>
    <x v="10"/>
    <s v="University of Oklahoma Norman Campus"/>
    <m/>
    <n v="207500"/>
    <x v="0"/>
    <s v="sem"/>
    <s v="sem"/>
    <m/>
    <m/>
    <n v="252553"/>
    <n v="256575"/>
    <n v="43602"/>
    <n v="46493"/>
    <n v="284124"/>
    <n v="286914"/>
    <n v="580279"/>
    <n v="19342.633333333335"/>
    <n v="589982"/>
    <n v="19666.066666666666"/>
    <m/>
    <m/>
    <n v="0"/>
    <n v="0"/>
    <m/>
    <m/>
    <m/>
    <m/>
    <m/>
    <m/>
    <m/>
    <m/>
    <n v="0"/>
    <n v="0"/>
    <n v="0"/>
    <n v="0"/>
    <m/>
    <m/>
    <n v="0"/>
    <n v="0"/>
    <m/>
    <m/>
    <m/>
    <m/>
    <m/>
    <m/>
    <m/>
    <m/>
    <n v="0"/>
    <n v="0"/>
    <n v="0"/>
    <n v="0"/>
    <n v="19342.633333333335"/>
    <n v="19666.066666666666"/>
  </r>
  <r>
    <x v="10"/>
    <s v="Northeastern State University"/>
    <m/>
    <n v="207263"/>
    <x v="2"/>
    <s v="sem"/>
    <s v="sem"/>
    <m/>
    <m/>
    <n v="78117"/>
    <n v="76132"/>
    <n v="13090"/>
    <n v="12459"/>
    <n v="82292"/>
    <n v="82479"/>
    <n v="173499"/>
    <n v="5783.3"/>
    <n v="171070"/>
    <n v="5702.333333333333"/>
    <m/>
    <m/>
    <n v="0"/>
    <n v="0"/>
    <m/>
    <m/>
    <m/>
    <m/>
    <m/>
    <m/>
    <m/>
    <m/>
    <n v="0"/>
    <n v="0"/>
    <n v="0"/>
    <n v="0"/>
    <m/>
    <m/>
    <n v="0"/>
    <n v="0"/>
    <m/>
    <m/>
    <n v="8181"/>
    <n v="8732"/>
    <n v="3526"/>
    <n v="3876"/>
    <n v="9001"/>
    <n v="9190"/>
    <n v="20708"/>
    <n v="862.83333333333337"/>
    <n v="21798"/>
    <n v="908.25"/>
    <n v="6646.1333333333332"/>
    <n v="6610.583333333333"/>
  </r>
  <r>
    <x v="10"/>
    <s v="University of Central Oklahoma"/>
    <m/>
    <n v="206941"/>
    <x v="2"/>
    <s v="sem"/>
    <s v="sem"/>
    <m/>
    <m/>
    <n v="164252"/>
    <n v="161996"/>
    <n v="27735"/>
    <n v="27169"/>
    <n v="177266"/>
    <n v="177623"/>
    <n v="369253"/>
    <n v="12308.433333333332"/>
    <n v="366788"/>
    <n v="12226.266666666666"/>
    <m/>
    <m/>
    <n v="0"/>
    <n v="0"/>
    <m/>
    <m/>
    <m/>
    <m/>
    <m/>
    <m/>
    <m/>
    <m/>
    <n v="0"/>
    <n v="0"/>
    <n v="0"/>
    <n v="0"/>
    <m/>
    <m/>
    <n v="0"/>
    <n v="0"/>
    <m/>
    <m/>
    <n v="11327"/>
    <n v="11593"/>
    <n v="3979"/>
    <n v="3878"/>
    <n v="11666"/>
    <n v="11908"/>
    <n v="26972"/>
    <n v="1123.8333333333333"/>
    <n v="27379"/>
    <n v="1140.7916666666667"/>
    <n v="13432.266666666666"/>
    <n v="13367.058333333332"/>
  </r>
  <r>
    <x v="10"/>
    <s v="Southeastern Oklahoma State University "/>
    <m/>
    <n v="207847"/>
    <x v="3"/>
    <s v="sem"/>
    <s v="sem"/>
    <m/>
    <m/>
    <n v="39072"/>
    <n v="37732"/>
    <n v="6902"/>
    <n v="6455"/>
    <n v="43681"/>
    <n v="40150"/>
    <n v="89655"/>
    <n v="2988.5"/>
    <n v="84337"/>
    <n v="2811.2333333333331"/>
    <m/>
    <m/>
    <n v="0"/>
    <n v="0"/>
    <m/>
    <m/>
    <m/>
    <m/>
    <m/>
    <m/>
    <m/>
    <m/>
    <n v="0"/>
    <n v="0"/>
    <n v="0"/>
    <n v="0"/>
    <m/>
    <m/>
    <n v="0"/>
    <n v="0"/>
    <m/>
    <m/>
    <n v="2378"/>
    <n v="2906"/>
    <n v="948"/>
    <n v="1395"/>
    <n v="2497"/>
    <n v="3557"/>
    <n v="5823"/>
    <n v="242.625"/>
    <n v="7858"/>
    <n v="327.41666666666669"/>
    <n v="3231.125"/>
    <n v="3138.6499999999996"/>
  </r>
  <r>
    <x v="10"/>
    <s v="Cameron University "/>
    <m/>
    <n v="206914"/>
    <x v="4"/>
    <s v="sem"/>
    <s v="sem"/>
    <m/>
    <m/>
    <n v="54809"/>
    <n v="50766"/>
    <n v="9751"/>
    <n v="8739"/>
    <n v="56036"/>
    <n v="54264"/>
    <n v="120596"/>
    <n v="4019.8666666666668"/>
    <n v="113769"/>
    <n v="3792.3"/>
    <m/>
    <m/>
    <n v="0"/>
    <n v="0"/>
    <m/>
    <m/>
    <m/>
    <m/>
    <m/>
    <m/>
    <m/>
    <m/>
    <n v="0"/>
    <n v="0"/>
    <n v="0"/>
    <n v="0"/>
    <m/>
    <m/>
    <n v="0"/>
    <n v="0"/>
    <m/>
    <m/>
    <n v="3001"/>
    <n v="2833"/>
    <n v="976"/>
    <n v="1046"/>
    <n v="3052"/>
    <n v="2786"/>
    <n v="7029"/>
    <n v="292.875"/>
    <n v="6665"/>
    <n v="277.70833333333331"/>
    <n v="4312.7416666666668"/>
    <n v="4070.0083333333337"/>
  </r>
  <r>
    <x v="10"/>
    <s v="East Central University "/>
    <m/>
    <n v="207041"/>
    <x v="4"/>
    <s v="sem"/>
    <s v="sem"/>
    <m/>
    <m/>
    <n v="45299"/>
    <n v="44217"/>
    <n v="7194"/>
    <n v="6519"/>
    <n v="46882"/>
    <n v="48395"/>
    <n v="99375"/>
    <n v="3312.5"/>
    <n v="99131"/>
    <n v="3304.3666666666668"/>
    <m/>
    <m/>
    <n v="0"/>
    <n v="0"/>
    <m/>
    <m/>
    <m/>
    <m/>
    <m/>
    <m/>
    <m/>
    <m/>
    <n v="0"/>
    <n v="0"/>
    <n v="0"/>
    <n v="0"/>
    <m/>
    <m/>
    <n v="0"/>
    <n v="0"/>
    <m/>
    <m/>
    <n v="5301"/>
    <n v="4764"/>
    <n v="3439"/>
    <n v="2752"/>
    <n v="4910"/>
    <n v="4765"/>
    <n v="13650"/>
    <n v="568.75"/>
    <n v="12281"/>
    <n v="511.70833333333331"/>
    <n v="3881.25"/>
    <n v="3816.0750000000003"/>
  </r>
  <r>
    <x v="10"/>
    <s v="Langston University"/>
    <m/>
    <n v="207209"/>
    <x v="4"/>
    <s v="sem"/>
    <s v="sem"/>
    <m/>
    <m/>
    <n v="23800"/>
    <n v="24409"/>
    <n v="2102"/>
    <n v="2351"/>
    <n v="28337"/>
    <n v="30045"/>
    <n v="54239"/>
    <n v="1807.9666666666667"/>
    <n v="56805"/>
    <n v="1893.5"/>
    <m/>
    <m/>
    <n v="0"/>
    <n v="0"/>
    <m/>
    <m/>
    <m/>
    <m/>
    <m/>
    <m/>
    <m/>
    <m/>
    <n v="0"/>
    <n v="0"/>
    <n v="0"/>
    <n v="0"/>
    <m/>
    <m/>
    <n v="0"/>
    <n v="0"/>
    <m/>
    <m/>
    <n v="2859"/>
    <n v="3082"/>
    <n v="1268"/>
    <n v="1183"/>
    <n v="2857"/>
    <n v="2868"/>
    <n v="6984"/>
    <n v="291"/>
    <n v="7133"/>
    <n v="297.20833333333331"/>
    <n v="2098.9666666666667"/>
    <n v="2190.7083333333335"/>
  </r>
  <r>
    <x v="10"/>
    <s v="Northwestern Oklahoma State University "/>
    <m/>
    <n v="207306"/>
    <x v="4"/>
    <s v="sem"/>
    <s v="sem"/>
    <m/>
    <m/>
    <n v="23455"/>
    <n v="23062"/>
    <n v="3222"/>
    <n v="3313"/>
    <n v="25578"/>
    <n v="24792"/>
    <n v="52255"/>
    <n v="1741.8333333333333"/>
    <n v="51167"/>
    <n v="1705.5666666666666"/>
    <m/>
    <m/>
    <n v="0"/>
    <n v="0"/>
    <m/>
    <m/>
    <m/>
    <m/>
    <m/>
    <m/>
    <m/>
    <m/>
    <n v="0"/>
    <n v="0"/>
    <n v="0"/>
    <n v="0"/>
    <m/>
    <m/>
    <n v="0"/>
    <n v="0"/>
    <m/>
    <m/>
    <n v="955"/>
    <n v="932"/>
    <n v="595"/>
    <n v="662"/>
    <n v="936"/>
    <n v="1002"/>
    <n v="2486"/>
    <n v="103.58333333333333"/>
    <n v="2596"/>
    <n v="108.16666666666667"/>
    <n v="1845.4166666666665"/>
    <n v="1813.7333333333333"/>
  </r>
  <r>
    <x v="10"/>
    <s v="Southwestern Oklahoma State University"/>
    <s v="Met the criteria for Four-Year 4 in 2015-16."/>
    <n v="207865"/>
    <x v="4"/>
    <s v="sem"/>
    <s v="sem"/>
    <m/>
    <m/>
    <n v="51263"/>
    <n v="51752"/>
    <n v="8254"/>
    <n v="7880"/>
    <n v="57552"/>
    <n v="58726"/>
    <n v="117069"/>
    <n v="3902.3"/>
    <n v="118358"/>
    <n v="3945.2666666666669"/>
    <m/>
    <m/>
    <n v="0"/>
    <n v="0"/>
    <m/>
    <m/>
    <m/>
    <m/>
    <m/>
    <m/>
    <m/>
    <m/>
    <n v="0"/>
    <n v="0"/>
    <n v="0"/>
    <n v="0"/>
    <m/>
    <m/>
    <n v="0"/>
    <n v="0"/>
    <m/>
    <m/>
    <n v="5007"/>
    <n v="5456"/>
    <n v="1819"/>
    <n v="2039"/>
    <n v="5224"/>
    <n v="5206"/>
    <n v="12050"/>
    <n v="502.08333333333331"/>
    <n v="12701"/>
    <n v="529.20833333333337"/>
    <n v="4404.3833333333332"/>
    <n v="4474.4750000000004"/>
  </r>
  <r>
    <x v="10"/>
    <s v="Oklahoma Panhandle State University "/>
    <m/>
    <n v="207351"/>
    <x v="5"/>
    <s v="sem"/>
    <s v="sem"/>
    <m/>
    <m/>
    <n v="14077"/>
    <n v="14454"/>
    <n v="1625"/>
    <n v="1498"/>
    <n v="15644"/>
    <n v="15779"/>
    <n v="31346"/>
    <n v="1044.8666666666666"/>
    <n v="31731"/>
    <n v="1057.7"/>
    <m/>
    <m/>
    <n v="0"/>
    <n v="0"/>
    <m/>
    <m/>
    <m/>
    <m/>
    <m/>
    <m/>
    <m/>
    <m/>
    <n v="0"/>
    <n v="0"/>
    <n v="0"/>
    <n v="0"/>
    <m/>
    <m/>
    <n v="0"/>
    <n v="0"/>
    <m/>
    <m/>
    <m/>
    <m/>
    <m/>
    <m/>
    <m/>
    <m/>
    <n v="0"/>
    <n v="0"/>
    <n v="0"/>
    <n v="0"/>
    <n v="1044.8666666666666"/>
    <n v="1057.7"/>
  </r>
  <r>
    <x v="10"/>
    <s v="Rogers State University"/>
    <m/>
    <n v="207661"/>
    <x v="5"/>
    <s v="sem"/>
    <s v="sem"/>
    <m/>
    <m/>
    <n v="41331"/>
    <n v="38946"/>
    <n v="5534"/>
    <n v="5428"/>
    <n v="43046"/>
    <n v="43945"/>
    <n v="89911"/>
    <n v="2997.0333333333333"/>
    <n v="88319"/>
    <n v="2943.9666666666667"/>
    <m/>
    <m/>
    <n v="0"/>
    <n v="0"/>
    <m/>
    <m/>
    <m/>
    <m/>
    <m/>
    <m/>
    <m/>
    <m/>
    <n v="0"/>
    <n v="0"/>
    <n v="0"/>
    <n v="0"/>
    <m/>
    <m/>
    <n v="0"/>
    <n v="0"/>
    <m/>
    <m/>
    <m/>
    <n v="90"/>
    <m/>
    <n v="24"/>
    <n v="75"/>
    <n v="147"/>
    <n v="75"/>
    <n v="3.125"/>
    <n v="261"/>
    <n v="10.875"/>
    <n v="3000.1583333333333"/>
    <n v="2954.8416666666667"/>
  </r>
  <r>
    <x v="10"/>
    <s v="University of Science and Arts of Oklahoma"/>
    <m/>
    <n v="207722"/>
    <x v="5"/>
    <s v="sem"/>
    <s v="sem"/>
    <m/>
    <m/>
    <n v="11160"/>
    <n v="10419"/>
    <n v="3746"/>
    <n v="3426"/>
    <n v="12121"/>
    <n v="12134"/>
    <n v="27027"/>
    <n v="900.9"/>
    <n v="25979"/>
    <n v="865.9666666666667"/>
    <m/>
    <m/>
    <n v="0"/>
    <n v="0"/>
    <m/>
    <m/>
    <m/>
    <m/>
    <m/>
    <m/>
    <m/>
    <m/>
    <n v="0"/>
    <n v="0"/>
    <n v="0"/>
    <n v="0"/>
    <m/>
    <m/>
    <n v="0"/>
    <n v="0"/>
    <m/>
    <m/>
    <m/>
    <m/>
    <m/>
    <m/>
    <m/>
    <m/>
    <n v="0"/>
    <n v="0"/>
    <n v="0"/>
    <n v="0"/>
    <n v="900.9"/>
    <n v="865.9666666666667"/>
  </r>
  <r>
    <x v="10"/>
    <s v="Oklahoma State University Technical Branch-Okmulgee "/>
    <m/>
    <n v="207564"/>
    <x v="11"/>
    <s v="sem"/>
    <s v="sem"/>
    <m/>
    <m/>
    <n v="34146"/>
    <n v="31082"/>
    <n v="22966"/>
    <n v="21058"/>
    <n v="37481"/>
    <n v="30300"/>
    <n v="94593"/>
    <n v="3153.1"/>
    <n v="82440"/>
    <n v="2748"/>
    <m/>
    <m/>
    <n v="0"/>
    <n v="0"/>
    <m/>
    <m/>
    <m/>
    <m/>
    <m/>
    <m/>
    <m/>
    <m/>
    <n v="0"/>
    <n v="0"/>
    <n v="0"/>
    <n v="0"/>
    <m/>
    <m/>
    <n v="0"/>
    <n v="0"/>
    <m/>
    <m/>
    <m/>
    <m/>
    <m/>
    <m/>
    <m/>
    <m/>
    <n v="0"/>
    <n v="0"/>
    <n v="0"/>
    <n v="0"/>
    <n v="3153.1"/>
    <n v="2748"/>
  </r>
  <r>
    <x v="10"/>
    <s v="Oklahoma State University-Oklahoma City "/>
    <m/>
    <n v="207397"/>
    <x v="11"/>
    <s v="sem"/>
    <s v="sem"/>
    <m/>
    <m/>
    <n v="57101"/>
    <n v="51692"/>
    <n v="14474"/>
    <n v="13199"/>
    <n v="59222"/>
    <n v="52100"/>
    <n v="130797"/>
    <n v="4359.8999999999996"/>
    <n v="116991"/>
    <n v="3899.7"/>
    <m/>
    <m/>
    <n v="0"/>
    <n v="0"/>
    <m/>
    <m/>
    <m/>
    <m/>
    <m/>
    <m/>
    <m/>
    <m/>
    <n v="0"/>
    <n v="0"/>
    <n v="0"/>
    <n v="0"/>
    <m/>
    <m/>
    <n v="0"/>
    <n v="0"/>
    <m/>
    <m/>
    <m/>
    <m/>
    <m/>
    <m/>
    <m/>
    <m/>
    <n v="0"/>
    <n v="0"/>
    <n v="0"/>
    <n v="0"/>
    <n v="4359.8999999999996"/>
    <n v="3899.7"/>
  </r>
  <r>
    <x v="10"/>
    <s v="Oklahoma City Community College "/>
    <m/>
    <n v="207449"/>
    <x v="7"/>
    <s v="sem"/>
    <s v="sem"/>
    <m/>
    <m/>
    <n v="108444"/>
    <n v="109037"/>
    <n v="29437"/>
    <n v="29565"/>
    <n v="117007"/>
    <n v="117407"/>
    <n v="254888"/>
    <n v="8496.2666666666664"/>
    <n v="256009"/>
    <n v="8533.6333333333332"/>
    <m/>
    <m/>
    <n v="0"/>
    <n v="0"/>
    <m/>
    <m/>
    <m/>
    <m/>
    <m/>
    <m/>
    <m/>
    <m/>
    <n v="0"/>
    <n v="0"/>
    <n v="0"/>
    <n v="0"/>
    <m/>
    <m/>
    <n v="0"/>
    <n v="0"/>
    <m/>
    <m/>
    <m/>
    <m/>
    <m/>
    <m/>
    <m/>
    <m/>
    <n v="0"/>
    <n v="0"/>
    <n v="0"/>
    <n v="0"/>
    <n v="8496.2666666666664"/>
    <n v="8533.6333333333332"/>
  </r>
  <r>
    <x v="10"/>
    <s v="Rose State College "/>
    <s v="Reclassified: Met the criteria for Two-Year 2 institution in 2013-14, 2014-15, and 2015-16."/>
    <n v="207670"/>
    <x v="6"/>
    <s v="sem"/>
    <s v="sem"/>
    <m/>
    <m/>
    <n v="55931"/>
    <n v="54325"/>
    <n v="13164"/>
    <n v="12374"/>
    <n v="61619"/>
    <n v="60460"/>
    <n v="130714"/>
    <n v="4357.1333333333332"/>
    <n v="127159"/>
    <n v="4238.6333333333332"/>
    <m/>
    <m/>
    <n v="0"/>
    <n v="0"/>
    <m/>
    <m/>
    <m/>
    <m/>
    <m/>
    <m/>
    <m/>
    <m/>
    <n v="0"/>
    <n v="0"/>
    <n v="0"/>
    <n v="0"/>
    <m/>
    <m/>
    <n v="0"/>
    <n v="0"/>
    <m/>
    <m/>
    <m/>
    <m/>
    <m/>
    <m/>
    <m/>
    <m/>
    <n v="0"/>
    <n v="0"/>
    <n v="0"/>
    <n v="0"/>
    <n v="4357.1333333333332"/>
    <n v="4238.6333333333332"/>
  </r>
  <r>
    <x v="10"/>
    <s v="Tulsa Community College "/>
    <m/>
    <n v="207935"/>
    <x v="7"/>
    <s v="sem"/>
    <s v="sem"/>
    <m/>
    <m/>
    <n v="146613"/>
    <n v="141385"/>
    <n v="38601"/>
    <n v="36977"/>
    <n v="151596"/>
    <n v="145935"/>
    <n v="336810"/>
    <n v="11227"/>
    <n v="324297"/>
    <n v="10809.9"/>
    <m/>
    <m/>
    <n v="0"/>
    <n v="0"/>
    <m/>
    <m/>
    <m/>
    <m/>
    <m/>
    <m/>
    <m/>
    <m/>
    <n v="0"/>
    <n v="0"/>
    <n v="0"/>
    <n v="0"/>
    <m/>
    <m/>
    <n v="0"/>
    <n v="0"/>
    <m/>
    <m/>
    <m/>
    <m/>
    <m/>
    <m/>
    <m/>
    <m/>
    <n v="0"/>
    <n v="0"/>
    <n v="0"/>
    <n v="0"/>
    <n v="11227"/>
    <n v="10809.9"/>
  </r>
  <r>
    <x v="10"/>
    <s v="Carl Albert State College"/>
    <s v="Reclassified: Met the criteria for Two-Year 3 institution in 2013-14, 2014-15, and 2015-16."/>
    <n v="206923"/>
    <x v="8"/>
    <s v="sem"/>
    <s v="sem"/>
    <m/>
    <m/>
    <n v="25251"/>
    <n v="22334"/>
    <n v="3594"/>
    <n v="3711"/>
    <n v="25176"/>
    <n v="25461"/>
    <n v="54021"/>
    <n v="1800.7"/>
    <n v="51506"/>
    <n v="1716.8666666666666"/>
    <m/>
    <m/>
    <n v="0"/>
    <n v="0"/>
    <m/>
    <m/>
    <m/>
    <m/>
    <m/>
    <m/>
    <m/>
    <m/>
    <n v="0"/>
    <n v="0"/>
    <n v="0"/>
    <n v="0"/>
    <m/>
    <m/>
    <n v="0"/>
    <n v="0"/>
    <m/>
    <m/>
    <m/>
    <m/>
    <m/>
    <m/>
    <m/>
    <m/>
    <n v="0"/>
    <n v="0"/>
    <n v="0"/>
    <n v="0"/>
    <n v="1800.7"/>
    <n v="1716.8666666666666"/>
  </r>
  <r>
    <x v="10"/>
    <s v="Northern Oklahoma College "/>
    <m/>
    <n v="207281"/>
    <x v="6"/>
    <s v="sem"/>
    <s v="sem"/>
    <m/>
    <m/>
    <n v="42385"/>
    <n v="41313"/>
    <n v="6597"/>
    <n v="6873"/>
    <n v="44449"/>
    <n v="43735"/>
    <n v="93431"/>
    <n v="3114.3666666666668"/>
    <n v="91921"/>
    <n v="3064.0333333333333"/>
    <m/>
    <m/>
    <n v="0"/>
    <n v="0"/>
    <m/>
    <m/>
    <m/>
    <m/>
    <m/>
    <m/>
    <m/>
    <m/>
    <n v="0"/>
    <n v="0"/>
    <n v="0"/>
    <n v="0"/>
    <m/>
    <m/>
    <n v="0"/>
    <n v="0"/>
    <m/>
    <m/>
    <m/>
    <m/>
    <m/>
    <m/>
    <m/>
    <m/>
    <n v="0"/>
    <n v="0"/>
    <n v="0"/>
    <n v="0"/>
    <n v="3114.3666666666668"/>
    <n v="3064.0333333333333"/>
  </r>
  <r>
    <x v="10"/>
    <s v="Connors State College "/>
    <m/>
    <n v="206996"/>
    <x v="8"/>
    <s v="sem"/>
    <s v="sem"/>
    <m/>
    <m/>
    <n v="22697"/>
    <n v="22353"/>
    <n v="3871"/>
    <n v="3663"/>
    <n v="25437"/>
    <n v="25050"/>
    <n v="52005"/>
    <n v="1733.5"/>
    <n v="51066"/>
    <n v="1702.2"/>
    <m/>
    <m/>
    <n v="0"/>
    <n v="0"/>
    <m/>
    <m/>
    <m/>
    <m/>
    <m/>
    <m/>
    <m/>
    <m/>
    <n v="0"/>
    <n v="0"/>
    <n v="0"/>
    <n v="0"/>
    <m/>
    <m/>
    <n v="0"/>
    <n v="0"/>
    <m/>
    <m/>
    <m/>
    <m/>
    <m/>
    <m/>
    <m/>
    <m/>
    <n v="0"/>
    <n v="0"/>
    <n v="0"/>
    <n v="0"/>
    <n v="1733.5"/>
    <n v="1702.2"/>
  </r>
  <r>
    <x v="10"/>
    <s v="Eastern Oklahoma State College "/>
    <m/>
    <n v="207050"/>
    <x v="8"/>
    <s v="sem"/>
    <s v="sem"/>
    <m/>
    <m/>
    <n v="16632"/>
    <n v="15420"/>
    <n v="2516"/>
    <n v="2479"/>
    <n v="17056"/>
    <n v="16667"/>
    <n v="36204"/>
    <n v="1206.8"/>
    <n v="34566"/>
    <n v="1152.2"/>
    <m/>
    <m/>
    <n v="0"/>
    <n v="0"/>
    <m/>
    <m/>
    <m/>
    <m/>
    <m/>
    <m/>
    <m/>
    <m/>
    <n v="0"/>
    <n v="0"/>
    <n v="0"/>
    <n v="0"/>
    <m/>
    <m/>
    <n v="0"/>
    <n v="0"/>
    <m/>
    <m/>
    <m/>
    <m/>
    <m/>
    <m/>
    <m/>
    <m/>
    <n v="0"/>
    <n v="0"/>
    <n v="0"/>
    <n v="0"/>
    <n v="1206.8"/>
    <n v="1152.2"/>
  </r>
  <r>
    <x v="10"/>
    <s v="Murray State College "/>
    <m/>
    <n v="207236"/>
    <x v="8"/>
    <s v="sem"/>
    <s v="sem"/>
    <m/>
    <m/>
    <n v="21035"/>
    <n v="20969"/>
    <n v="3549"/>
    <n v="3362"/>
    <n v="24452"/>
    <n v="23249"/>
    <n v="49036"/>
    <n v="1634.5333333333333"/>
    <n v="47580"/>
    <n v="1586"/>
    <m/>
    <m/>
    <n v="0"/>
    <n v="0"/>
    <m/>
    <m/>
    <m/>
    <m/>
    <m/>
    <m/>
    <m/>
    <m/>
    <n v="0"/>
    <n v="0"/>
    <n v="0"/>
    <n v="0"/>
    <m/>
    <m/>
    <n v="0"/>
    <n v="0"/>
    <m/>
    <m/>
    <m/>
    <m/>
    <m/>
    <m/>
    <m/>
    <m/>
    <n v="0"/>
    <n v="0"/>
    <n v="0"/>
    <n v="0"/>
    <n v="1634.5333333333333"/>
    <n v="1586"/>
  </r>
  <r>
    <x v="10"/>
    <s v="Northeastern Oklahoma A &amp; M College "/>
    <m/>
    <n v="207290"/>
    <x v="8"/>
    <s v="sem"/>
    <s v="sem"/>
    <m/>
    <m/>
    <n v="26358"/>
    <n v="23924"/>
    <n v="3383"/>
    <n v="3378"/>
    <n v="28072"/>
    <n v="26505"/>
    <n v="57813"/>
    <n v="1927.1"/>
    <n v="53807"/>
    <n v="1793.5666666666666"/>
    <m/>
    <m/>
    <n v="0"/>
    <n v="0"/>
    <m/>
    <m/>
    <m/>
    <m/>
    <m/>
    <m/>
    <m/>
    <m/>
    <n v="0"/>
    <n v="0"/>
    <n v="0"/>
    <n v="0"/>
    <m/>
    <m/>
    <n v="0"/>
    <n v="0"/>
    <m/>
    <m/>
    <m/>
    <m/>
    <m/>
    <m/>
    <m/>
    <m/>
    <n v="0"/>
    <n v="0"/>
    <n v="0"/>
    <n v="0"/>
    <n v="1927.1"/>
    <n v="1793.5666666666666"/>
  </r>
  <r>
    <x v="10"/>
    <s v="Redlands Community College"/>
    <m/>
    <n v="207069"/>
    <x v="8"/>
    <s v="sem"/>
    <s v="sem"/>
    <m/>
    <m/>
    <n v="18087"/>
    <n v="17561"/>
    <n v="3338"/>
    <n v="3449"/>
    <n v="19077"/>
    <n v="18503"/>
    <n v="40502"/>
    <n v="1350.0666666666666"/>
    <n v="39513"/>
    <n v="1317.1"/>
    <m/>
    <m/>
    <n v="0"/>
    <n v="0"/>
    <m/>
    <m/>
    <m/>
    <m/>
    <m/>
    <m/>
    <m/>
    <m/>
    <n v="0"/>
    <n v="0"/>
    <n v="0"/>
    <n v="0"/>
    <m/>
    <m/>
    <n v="0"/>
    <n v="0"/>
    <m/>
    <m/>
    <m/>
    <m/>
    <m/>
    <m/>
    <m/>
    <m/>
    <n v="0"/>
    <n v="0"/>
    <n v="0"/>
    <n v="0"/>
    <n v="1350.0666666666666"/>
    <n v="1317.1"/>
  </r>
  <r>
    <x v="10"/>
    <s v="Seminole State College "/>
    <m/>
    <n v="207740"/>
    <x v="8"/>
    <s v="sem"/>
    <s v="sem"/>
    <m/>
    <m/>
    <n v="18201"/>
    <n v="19542"/>
    <n v="3142"/>
    <n v="2664"/>
    <n v="19784"/>
    <n v="19000"/>
    <n v="41127"/>
    <n v="1370.9"/>
    <n v="41206"/>
    <n v="1373.5333333333333"/>
    <m/>
    <m/>
    <n v="0"/>
    <n v="0"/>
    <m/>
    <m/>
    <m/>
    <m/>
    <m/>
    <m/>
    <m/>
    <m/>
    <n v="0"/>
    <n v="0"/>
    <n v="0"/>
    <n v="0"/>
    <m/>
    <m/>
    <n v="0"/>
    <n v="0"/>
    <m/>
    <m/>
    <m/>
    <m/>
    <m/>
    <m/>
    <m/>
    <m/>
    <n v="0"/>
    <n v="0"/>
    <n v="0"/>
    <n v="0"/>
    <n v="1370.9"/>
    <n v="1373.5333333333333"/>
  </r>
  <r>
    <x v="10"/>
    <s v="Western Oklahoma State College "/>
    <m/>
    <n v="208035"/>
    <x v="8"/>
    <s v="sem"/>
    <s v="sem"/>
    <m/>
    <m/>
    <n v="13510"/>
    <n v="12667"/>
    <n v="2598"/>
    <n v="2553"/>
    <n v="13422"/>
    <n v="12924"/>
    <n v="29530"/>
    <n v="984.33333333333337"/>
    <n v="28144"/>
    <n v="938.13333333333333"/>
    <m/>
    <m/>
    <n v="0"/>
    <n v="0"/>
    <m/>
    <m/>
    <m/>
    <m/>
    <m/>
    <m/>
    <m/>
    <m/>
    <n v="0"/>
    <n v="0"/>
    <n v="0"/>
    <n v="0"/>
    <m/>
    <m/>
    <n v="0"/>
    <n v="0"/>
    <m/>
    <m/>
    <m/>
    <m/>
    <m/>
    <m/>
    <m/>
    <m/>
    <n v="0"/>
    <n v="0"/>
    <n v="0"/>
    <n v="0"/>
    <n v="984.33333333333337"/>
    <n v="938.13333333333333"/>
  </r>
  <r>
    <x v="10"/>
    <s v="Canadian Valley Technology Center                 "/>
    <m/>
    <n v="365374"/>
    <x v="9"/>
    <m/>
    <m/>
    <m/>
    <m/>
    <m/>
    <m/>
    <m/>
    <m/>
    <m/>
    <m/>
    <n v="0"/>
    <n v="0"/>
    <n v="0"/>
    <n v="0"/>
    <m/>
    <m/>
    <n v="0"/>
    <n v="0"/>
    <m/>
    <m/>
    <m/>
    <m/>
    <m/>
    <m/>
    <n v="935037"/>
    <n v="944778.75"/>
    <n v="935037"/>
    <n v="1038.93"/>
    <n v="944778.75"/>
    <n v="1049.7541666666666"/>
    <m/>
    <m/>
    <n v="0"/>
    <n v="0"/>
    <m/>
    <m/>
    <m/>
    <m/>
    <m/>
    <m/>
    <m/>
    <m/>
    <n v="0"/>
    <n v="0"/>
    <n v="0"/>
    <n v="0"/>
    <n v="1038.93"/>
    <n v="1049.7541666666666"/>
  </r>
  <r>
    <x v="10"/>
    <s v="Francis Tuttle Technology Center                  "/>
    <m/>
    <n v="245999"/>
    <x v="9"/>
    <m/>
    <m/>
    <m/>
    <m/>
    <m/>
    <m/>
    <m/>
    <m/>
    <m/>
    <m/>
    <n v="0"/>
    <n v="0"/>
    <n v="0"/>
    <n v="0"/>
    <m/>
    <m/>
    <n v="0"/>
    <n v="0"/>
    <m/>
    <m/>
    <m/>
    <m/>
    <m/>
    <m/>
    <n v="1473299.25"/>
    <n v="1635128.74"/>
    <n v="1473299.25"/>
    <n v="1636.9991666666667"/>
    <n v="1635128.74"/>
    <n v="1816.809711111111"/>
    <m/>
    <m/>
    <n v="0"/>
    <n v="0"/>
    <m/>
    <m/>
    <m/>
    <m/>
    <m/>
    <m/>
    <m/>
    <m/>
    <n v="0"/>
    <n v="0"/>
    <n v="0"/>
    <n v="0"/>
    <n v="1636.9991666666667"/>
    <n v="1816.809711111111"/>
  </r>
  <r>
    <x v="10"/>
    <s v="Metro Technology Centers                          "/>
    <s v="Met the criteria for Technical Institute or College 2 in 2015-16."/>
    <n v="363165"/>
    <x v="9"/>
    <m/>
    <m/>
    <m/>
    <m/>
    <m/>
    <m/>
    <m/>
    <m/>
    <m/>
    <m/>
    <n v="0"/>
    <n v="0"/>
    <n v="0"/>
    <n v="0"/>
    <m/>
    <m/>
    <n v="0"/>
    <n v="0"/>
    <m/>
    <m/>
    <m/>
    <m/>
    <m/>
    <m/>
    <n v="970385.26"/>
    <n v="827239.3"/>
    <n v="970385.26"/>
    <n v="1078.2058444444444"/>
    <n v="827239.3"/>
    <n v="919.15477777777778"/>
    <m/>
    <m/>
    <n v="0"/>
    <n v="0"/>
    <m/>
    <m/>
    <m/>
    <m/>
    <m/>
    <m/>
    <m/>
    <m/>
    <n v="0"/>
    <n v="0"/>
    <n v="0"/>
    <n v="0"/>
    <n v="1078.2058444444444"/>
    <n v="919.15477777777778"/>
  </r>
  <r>
    <x v="10"/>
    <s v="Autry Technology Center                           "/>
    <m/>
    <n v="365213"/>
    <x v="10"/>
    <m/>
    <m/>
    <m/>
    <m/>
    <m/>
    <m/>
    <m/>
    <m/>
    <m/>
    <m/>
    <n v="0"/>
    <n v="0"/>
    <n v="0"/>
    <n v="0"/>
    <m/>
    <m/>
    <n v="0"/>
    <n v="0"/>
    <m/>
    <m/>
    <m/>
    <m/>
    <m/>
    <m/>
    <n v="489608.81"/>
    <n v="512368.79"/>
    <n v="489608.81"/>
    <n v="544.00978888888892"/>
    <n v="512368.79"/>
    <n v="569.29865555555557"/>
    <m/>
    <m/>
    <n v="0"/>
    <n v="0"/>
    <m/>
    <m/>
    <m/>
    <m/>
    <m/>
    <m/>
    <m/>
    <m/>
    <n v="0"/>
    <n v="0"/>
    <n v="0"/>
    <n v="0"/>
    <n v="544.00978888888892"/>
    <n v="569.29865555555557"/>
  </r>
  <r>
    <x v="10"/>
    <s v="Caddo Kiowa Technology Center                     "/>
    <m/>
    <n v="364946"/>
    <x v="10"/>
    <m/>
    <m/>
    <m/>
    <m/>
    <m/>
    <m/>
    <m/>
    <m/>
    <m/>
    <m/>
    <n v="0"/>
    <n v="0"/>
    <n v="0"/>
    <n v="0"/>
    <m/>
    <m/>
    <n v="0"/>
    <n v="0"/>
    <m/>
    <m/>
    <m/>
    <m/>
    <m/>
    <m/>
    <n v="308988.84999999998"/>
    <n v="326203.46000000002"/>
    <n v="308988.84999999998"/>
    <n v="343.32094444444442"/>
    <n v="326203.46000000002"/>
    <n v="362.4482888888889"/>
    <m/>
    <m/>
    <n v="0"/>
    <n v="0"/>
    <m/>
    <m/>
    <m/>
    <m/>
    <m/>
    <m/>
    <m/>
    <m/>
    <n v="0"/>
    <n v="0"/>
    <n v="0"/>
    <n v="0"/>
    <n v="343.32094444444442"/>
    <n v="362.4482888888889"/>
  </r>
  <r>
    <x v="10"/>
    <s v="Central Technology Center                         "/>
    <m/>
    <n v="246017"/>
    <x v="10"/>
    <m/>
    <m/>
    <m/>
    <m/>
    <m/>
    <m/>
    <m/>
    <m/>
    <m/>
    <m/>
    <n v="0"/>
    <n v="0"/>
    <n v="0"/>
    <n v="0"/>
    <m/>
    <m/>
    <n v="0"/>
    <n v="0"/>
    <m/>
    <m/>
    <m/>
    <m/>
    <m/>
    <m/>
    <n v="781502.7"/>
    <n v="674821.75"/>
    <n v="781502.7"/>
    <n v="868.3363333333333"/>
    <n v="674821.75"/>
    <n v="749.80194444444442"/>
    <m/>
    <m/>
    <n v="0"/>
    <n v="0"/>
    <m/>
    <m/>
    <m/>
    <m/>
    <m/>
    <m/>
    <m/>
    <m/>
    <n v="0"/>
    <n v="0"/>
    <n v="0"/>
    <n v="0"/>
    <n v="868.3363333333333"/>
    <n v="749.80194444444442"/>
  </r>
  <r>
    <x v="10"/>
    <s v="Chisholm Trail Technology Center                  "/>
    <m/>
    <n v="375656"/>
    <x v="10"/>
    <m/>
    <m/>
    <m/>
    <m/>
    <m/>
    <m/>
    <m/>
    <m/>
    <m/>
    <m/>
    <n v="0"/>
    <n v="0"/>
    <n v="0"/>
    <n v="0"/>
    <m/>
    <m/>
    <n v="0"/>
    <n v="0"/>
    <m/>
    <m/>
    <m/>
    <m/>
    <m/>
    <m/>
    <n v="79315"/>
    <n v="79246.5"/>
    <n v="79315"/>
    <n v="88.12777777777778"/>
    <n v="79246.5"/>
    <n v="88.051666666666662"/>
    <m/>
    <m/>
    <n v="0"/>
    <n v="0"/>
    <m/>
    <m/>
    <m/>
    <m/>
    <m/>
    <m/>
    <m/>
    <m/>
    <n v="0"/>
    <n v="0"/>
    <n v="0"/>
    <n v="0"/>
    <n v="88.12777777777778"/>
    <n v="88.051666666666662"/>
  </r>
  <r>
    <x v="10"/>
    <s v="Eastern Oklahoma County Technology Center         "/>
    <m/>
    <n v="418348"/>
    <x v="10"/>
    <m/>
    <m/>
    <m/>
    <m/>
    <m/>
    <m/>
    <m/>
    <m/>
    <m/>
    <m/>
    <n v="0"/>
    <n v="0"/>
    <n v="0"/>
    <n v="0"/>
    <m/>
    <m/>
    <n v="0"/>
    <n v="0"/>
    <m/>
    <m/>
    <m/>
    <m/>
    <m/>
    <m/>
    <n v="317099.25"/>
    <n v="332625.7"/>
    <n v="317099.25"/>
    <n v="352.33249999999998"/>
    <n v="332625.7"/>
    <n v="369.5841111111111"/>
    <m/>
    <m/>
    <n v="0"/>
    <n v="0"/>
    <m/>
    <m/>
    <m/>
    <m/>
    <m/>
    <m/>
    <m/>
    <m/>
    <n v="0"/>
    <n v="0"/>
    <n v="0"/>
    <n v="0"/>
    <n v="352.33249999999998"/>
    <n v="369.5841111111111"/>
  </r>
  <r>
    <x v="10"/>
    <s v="Gordon Cooper Technology Center                   "/>
    <m/>
    <n v="375683"/>
    <x v="10"/>
    <m/>
    <m/>
    <m/>
    <m/>
    <m/>
    <m/>
    <m/>
    <m/>
    <m/>
    <m/>
    <n v="0"/>
    <n v="0"/>
    <n v="0"/>
    <n v="0"/>
    <m/>
    <m/>
    <n v="0"/>
    <n v="0"/>
    <m/>
    <m/>
    <m/>
    <m/>
    <m/>
    <m/>
    <n v="668274.5"/>
    <n v="647099.75"/>
    <n v="668274.5"/>
    <n v="742.52722222222224"/>
    <n v="647099.75"/>
    <n v="718.9997222222222"/>
    <m/>
    <m/>
    <n v="0"/>
    <n v="0"/>
    <m/>
    <m/>
    <m/>
    <m/>
    <m/>
    <m/>
    <m/>
    <m/>
    <n v="0"/>
    <n v="0"/>
    <n v="0"/>
    <n v="0"/>
    <n v="742.52722222222224"/>
    <n v="718.9997222222222"/>
  </r>
  <r>
    <x v="10"/>
    <s v="Great Plains Technology Center                    "/>
    <m/>
    <n v="364548"/>
    <x v="10"/>
    <m/>
    <m/>
    <m/>
    <m/>
    <m/>
    <m/>
    <m/>
    <m/>
    <m/>
    <m/>
    <n v="0"/>
    <n v="0"/>
    <n v="0"/>
    <n v="0"/>
    <m/>
    <m/>
    <n v="0"/>
    <n v="0"/>
    <m/>
    <m/>
    <m/>
    <m/>
    <m/>
    <m/>
    <n v="779041.5"/>
    <n v="702816.2"/>
    <n v="779041.5"/>
    <n v="865.60166666666669"/>
    <n v="702816.2"/>
    <n v="780.90688888888883"/>
    <m/>
    <m/>
    <n v="0"/>
    <n v="0"/>
    <m/>
    <m/>
    <m/>
    <m/>
    <m/>
    <m/>
    <m/>
    <m/>
    <n v="0"/>
    <n v="0"/>
    <n v="0"/>
    <n v="0"/>
    <n v="865.60166666666669"/>
    <n v="780.90688888888883"/>
  </r>
  <r>
    <x v="10"/>
    <s v="Green Country Technology Center                   "/>
    <m/>
    <n v="428019"/>
    <x v="10"/>
    <m/>
    <m/>
    <m/>
    <m/>
    <m/>
    <m/>
    <m/>
    <m/>
    <m/>
    <m/>
    <n v="0"/>
    <n v="0"/>
    <n v="0"/>
    <n v="0"/>
    <m/>
    <m/>
    <n v="0"/>
    <n v="0"/>
    <m/>
    <m/>
    <m/>
    <m/>
    <m/>
    <m/>
    <n v="213318.5"/>
    <n v="213296.5"/>
    <n v="213318.5"/>
    <n v="237.02055555555555"/>
    <n v="213296.5"/>
    <n v="236.99611111111111"/>
    <m/>
    <m/>
    <n v="0"/>
    <n v="0"/>
    <m/>
    <m/>
    <m/>
    <m/>
    <m/>
    <m/>
    <m/>
    <m/>
    <n v="0"/>
    <n v="0"/>
    <n v="0"/>
    <n v="0"/>
    <n v="237.02055555555555"/>
    <n v="236.99611111111111"/>
  </r>
  <r>
    <x v="10"/>
    <s v="High Plains Technology Center                     "/>
    <m/>
    <n v="208053"/>
    <x v="10"/>
    <m/>
    <m/>
    <m/>
    <m/>
    <m/>
    <m/>
    <m/>
    <m/>
    <m/>
    <m/>
    <n v="0"/>
    <n v="0"/>
    <n v="0"/>
    <n v="0"/>
    <m/>
    <m/>
    <n v="0"/>
    <n v="0"/>
    <m/>
    <m/>
    <m/>
    <m/>
    <m/>
    <m/>
    <n v="200514.84"/>
    <n v="224694.75"/>
    <n v="200514.84"/>
    <n v="222.79426666666666"/>
    <n v="224694.75"/>
    <n v="249.66083333333333"/>
    <m/>
    <m/>
    <n v="0"/>
    <n v="0"/>
    <m/>
    <m/>
    <m/>
    <m/>
    <m/>
    <m/>
    <m/>
    <m/>
    <n v="0"/>
    <n v="0"/>
    <n v="0"/>
    <n v="0"/>
    <n v="222.79426666666666"/>
    <n v="249.66083333333333"/>
  </r>
  <r>
    <x v="10"/>
    <s v="Indian Capital Technology Center-Muskogee         "/>
    <m/>
    <n v="418296"/>
    <x v="10"/>
    <m/>
    <m/>
    <m/>
    <m/>
    <m/>
    <m/>
    <m/>
    <m/>
    <m/>
    <m/>
    <n v="0"/>
    <n v="0"/>
    <n v="0"/>
    <n v="0"/>
    <m/>
    <m/>
    <n v="0"/>
    <n v="0"/>
    <m/>
    <m/>
    <m/>
    <m/>
    <m/>
    <m/>
    <n v="542714.25"/>
    <n v="480193.5"/>
    <n v="542714.25"/>
    <n v="603.01583333333338"/>
    <n v="480193.5"/>
    <n v="533.54833333333329"/>
    <m/>
    <m/>
    <n v="0"/>
    <n v="0"/>
    <m/>
    <m/>
    <m/>
    <m/>
    <m/>
    <m/>
    <m/>
    <m/>
    <n v="0"/>
    <n v="0"/>
    <n v="0"/>
    <n v="0"/>
    <n v="603.01583333333338"/>
    <n v="533.54833333333329"/>
  </r>
  <r>
    <x v="10"/>
    <s v="Indian Capital Technology Center-Sallisaw         "/>
    <m/>
    <n v="421540"/>
    <x v="10"/>
    <m/>
    <m/>
    <m/>
    <m/>
    <m/>
    <m/>
    <m/>
    <m/>
    <m/>
    <m/>
    <n v="0"/>
    <n v="0"/>
    <n v="0"/>
    <n v="0"/>
    <m/>
    <m/>
    <n v="0"/>
    <n v="0"/>
    <m/>
    <m/>
    <m/>
    <m/>
    <m/>
    <m/>
    <n v="152925"/>
    <n v="150387"/>
    <n v="152925"/>
    <n v="169.91666666666666"/>
    <n v="150387"/>
    <n v="167.09666666666666"/>
    <m/>
    <m/>
    <n v="0"/>
    <n v="0"/>
    <m/>
    <m/>
    <m/>
    <m/>
    <m/>
    <m/>
    <m/>
    <m/>
    <n v="0"/>
    <n v="0"/>
    <n v="0"/>
    <n v="0"/>
    <n v="169.91666666666666"/>
    <n v="167.09666666666666"/>
  </r>
  <r>
    <x v="10"/>
    <s v="Indian Capital Technology Center-Stilwell         "/>
    <m/>
    <n v="421559"/>
    <x v="10"/>
    <m/>
    <m/>
    <m/>
    <m/>
    <m/>
    <m/>
    <m/>
    <m/>
    <m/>
    <m/>
    <n v="0"/>
    <n v="0"/>
    <n v="0"/>
    <n v="0"/>
    <m/>
    <m/>
    <n v="0"/>
    <n v="0"/>
    <m/>
    <m/>
    <m/>
    <m/>
    <m/>
    <m/>
    <n v="110196"/>
    <n v="96167"/>
    <n v="110196"/>
    <n v="122.44"/>
    <n v="96167"/>
    <n v="106.85222222222222"/>
    <m/>
    <m/>
    <n v="0"/>
    <n v="0"/>
    <m/>
    <m/>
    <m/>
    <m/>
    <m/>
    <m/>
    <m/>
    <m/>
    <n v="0"/>
    <n v="0"/>
    <n v="0"/>
    <n v="0"/>
    <n v="122.44"/>
    <n v="106.85222222222222"/>
  </r>
  <r>
    <x v="10"/>
    <s v="Indian Capital Technology Center-Tahlequah        "/>
    <m/>
    <n v="208026"/>
    <x v="10"/>
    <m/>
    <m/>
    <m/>
    <m/>
    <m/>
    <m/>
    <m/>
    <m/>
    <m/>
    <m/>
    <n v="0"/>
    <n v="0"/>
    <n v="0"/>
    <n v="0"/>
    <m/>
    <m/>
    <n v="0"/>
    <n v="0"/>
    <m/>
    <m/>
    <m/>
    <m/>
    <m/>
    <m/>
    <n v="166934"/>
    <n v="174916"/>
    <n v="166934"/>
    <n v="185.48222222222222"/>
    <n v="174916"/>
    <n v="194.35111111111112"/>
    <m/>
    <m/>
    <n v="0"/>
    <n v="0"/>
    <m/>
    <m/>
    <m/>
    <m/>
    <m/>
    <m/>
    <m/>
    <m/>
    <n v="0"/>
    <n v="0"/>
    <n v="0"/>
    <n v="0"/>
    <n v="185.48222222222222"/>
    <n v="194.35111111111112"/>
  </r>
  <r>
    <x v="10"/>
    <s v="Kiamichi Technology Center-Atoka                  "/>
    <m/>
    <n v="375692"/>
    <x v="10"/>
    <m/>
    <m/>
    <m/>
    <m/>
    <m/>
    <m/>
    <m/>
    <m/>
    <m/>
    <m/>
    <n v="0"/>
    <n v="0"/>
    <n v="0"/>
    <n v="0"/>
    <m/>
    <m/>
    <n v="0"/>
    <n v="0"/>
    <m/>
    <m/>
    <m/>
    <m/>
    <m/>
    <m/>
    <n v="114243"/>
    <n v="104397"/>
    <n v="114243"/>
    <n v="126.93666666666667"/>
    <n v="104397"/>
    <n v="115.99666666666667"/>
    <m/>
    <m/>
    <n v="0"/>
    <n v="0"/>
    <m/>
    <m/>
    <m/>
    <m/>
    <m/>
    <m/>
    <m/>
    <m/>
    <n v="0"/>
    <n v="0"/>
    <n v="0"/>
    <n v="0"/>
    <n v="126.93666666666667"/>
    <n v="115.99666666666667"/>
  </r>
  <r>
    <x v="10"/>
    <s v="Kiamichi Technology Center-Durant                 "/>
    <m/>
    <n v="375708"/>
    <x v="10"/>
    <m/>
    <m/>
    <m/>
    <m/>
    <m/>
    <m/>
    <m/>
    <m/>
    <m/>
    <m/>
    <n v="0"/>
    <n v="0"/>
    <n v="0"/>
    <n v="0"/>
    <m/>
    <m/>
    <n v="0"/>
    <n v="0"/>
    <m/>
    <m/>
    <m/>
    <m/>
    <m/>
    <m/>
    <n v="164452"/>
    <n v="166267"/>
    <n v="164452"/>
    <n v="182.72444444444446"/>
    <n v="166267"/>
    <n v="184.74111111111111"/>
    <m/>
    <m/>
    <n v="0"/>
    <n v="0"/>
    <m/>
    <m/>
    <m/>
    <m/>
    <m/>
    <m/>
    <m/>
    <m/>
    <n v="0"/>
    <n v="0"/>
    <n v="0"/>
    <n v="0"/>
    <n v="182.72444444444446"/>
    <n v="184.74111111111111"/>
  </r>
  <r>
    <x v="10"/>
    <s v="Kiamichi Technology Center-Hugo                   "/>
    <m/>
    <n v="375717"/>
    <x v="10"/>
    <m/>
    <m/>
    <m/>
    <m/>
    <m/>
    <m/>
    <m/>
    <m/>
    <m/>
    <m/>
    <n v="0"/>
    <n v="0"/>
    <n v="0"/>
    <n v="0"/>
    <m/>
    <m/>
    <n v="0"/>
    <n v="0"/>
    <m/>
    <m/>
    <m/>
    <m/>
    <m/>
    <m/>
    <n v="160634.5"/>
    <n v="114268.75"/>
    <n v="160634.5"/>
    <n v="178.48277777777778"/>
    <n v="114268.75"/>
    <n v="126.96527777777777"/>
    <m/>
    <m/>
    <n v="0"/>
    <n v="0"/>
    <m/>
    <m/>
    <m/>
    <m/>
    <m/>
    <m/>
    <m/>
    <m/>
    <n v="0"/>
    <n v="0"/>
    <n v="0"/>
    <n v="0"/>
    <n v="178.48277777777778"/>
    <n v="126.96527777777777"/>
  </r>
  <r>
    <x v="10"/>
    <s v="Kiamichi Technology Center-Idabel                 "/>
    <m/>
    <n v="375735"/>
    <x v="10"/>
    <m/>
    <m/>
    <m/>
    <m/>
    <m/>
    <m/>
    <m/>
    <m/>
    <m/>
    <m/>
    <n v="0"/>
    <n v="0"/>
    <n v="0"/>
    <n v="0"/>
    <m/>
    <m/>
    <n v="0"/>
    <n v="0"/>
    <m/>
    <m/>
    <m/>
    <m/>
    <m/>
    <m/>
    <n v="197236"/>
    <n v="187449.5"/>
    <n v="197236"/>
    <n v="219.15111111111111"/>
    <n v="187449.5"/>
    <n v="208.27722222222224"/>
    <m/>
    <m/>
    <n v="0"/>
    <n v="0"/>
    <m/>
    <m/>
    <m/>
    <m/>
    <m/>
    <m/>
    <m/>
    <m/>
    <n v="0"/>
    <n v="0"/>
    <n v="0"/>
    <n v="0"/>
    <n v="219.15111111111111"/>
    <n v="208.27722222222224"/>
  </r>
  <r>
    <x v="10"/>
    <s v="Kiamichi Technology Center-McAlester              "/>
    <m/>
    <n v="375726"/>
    <x v="10"/>
    <m/>
    <m/>
    <m/>
    <m/>
    <m/>
    <m/>
    <m/>
    <m/>
    <m/>
    <m/>
    <n v="0"/>
    <n v="0"/>
    <n v="0"/>
    <n v="0"/>
    <m/>
    <m/>
    <n v="0"/>
    <n v="0"/>
    <m/>
    <m/>
    <m/>
    <m/>
    <m/>
    <m/>
    <n v="240644"/>
    <n v="275178.5"/>
    <n v="240644"/>
    <n v="267.3822222222222"/>
    <n v="275178.5"/>
    <n v="305.75388888888887"/>
    <m/>
    <m/>
    <n v="0"/>
    <n v="0"/>
    <m/>
    <m/>
    <m/>
    <m/>
    <m/>
    <m/>
    <m/>
    <m/>
    <n v="0"/>
    <n v="0"/>
    <n v="0"/>
    <n v="0"/>
    <n v="267.3822222222222"/>
    <n v="305.75388888888887"/>
  </r>
  <r>
    <x v="10"/>
    <s v="Kiamichi Technology Center-Poteau                 "/>
    <m/>
    <n v="375744"/>
    <x v="10"/>
    <m/>
    <m/>
    <m/>
    <m/>
    <m/>
    <m/>
    <m/>
    <m/>
    <m/>
    <m/>
    <n v="0"/>
    <n v="0"/>
    <n v="0"/>
    <n v="0"/>
    <m/>
    <m/>
    <n v="0"/>
    <n v="0"/>
    <m/>
    <m/>
    <m/>
    <m/>
    <m/>
    <m/>
    <n v="232694"/>
    <n v="211050.65"/>
    <n v="232694"/>
    <n v="258.54888888888888"/>
    <n v="211050.65"/>
    <n v="234.50072222222221"/>
    <m/>
    <m/>
    <n v="0"/>
    <n v="0"/>
    <m/>
    <m/>
    <m/>
    <m/>
    <m/>
    <m/>
    <m/>
    <m/>
    <n v="0"/>
    <n v="0"/>
    <n v="0"/>
    <n v="0"/>
    <n v="258.54888888888888"/>
    <n v="234.50072222222221"/>
  </r>
  <r>
    <x v="10"/>
    <s v="Kiamichi Technology Center-Spiro                  "/>
    <m/>
    <n v="375753"/>
    <x v="10"/>
    <m/>
    <m/>
    <m/>
    <m/>
    <m/>
    <m/>
    <m/>
    <m/>
    <m/>
    <m/>
    <n v="0"/>
    <n v="0"/>
    <n v="0"/>
    <n v="0"/>
    <m/>
    <m/>
    <n v="0"/>
    <n v="0"/>
    <m/>
    <m/>
    <m/>
    <m/>
    <m/>
    <m/>
    <n v="29974"/>
    <n v="27897"/>
    <n v="29974"/>
    <n v="33.304444444444442"/>
    <n v="27897"/>
    <n v="30.996666666666666"/>
    <m/>
    <m/>
    <n v="0"/>
    <n v="0"/>
    <m/>
    <m/>
    <m/>
    <m/>
    <m/>
    <m/>
    <m/>
    <m/>
    <n v="0"/>
    <n v="0"/>
    <n v="0"/>
    <n v="0"/>
    <n v="33.304444444444442"/>
    <n v="30.996666666666666"/>
  </r>
  <r>
    <x v="10"/>
    <s v="Kiamichi Technology Center-Stigler                "/>
    <m/>
    <n v="405748"/>
    <x v="10"/>
    <m/>
    <m/>
    <m/>
    <m/>
    <m/>
    <m/>
    <m/>
    <m/>
    <m/>
    <m/>
    <n v="0"/>
    <n v="0"/>
    <n v="0"/>
    <n v="0"/>
    <m/>
    <m/>
    <n v="0"/>
    <n v="0"/>
    <m/>
    <m/>
    <m/>
    <m/>
    <m/>
    <m/>
    <n v="67562.5"/>
    <n v="74897.5"/>
    <n v="67562.5"/>
    <n v="75.069444444444443"/>
    <n v="74897.5"/>
    <n v="83.219444444444449"/>
    <m/>
    <m/>
    <n v="0"/>
    <n v="0"/>
    <m/>
    <m/>
    <m/>
    <m/>
    <m/>
    <m/>
    <m/>
    <m/>
    <n v="0"/>
    <n v="0"/>
    <n v="0"/>
    <n v="0"/>
    <n v="75.069444444444443"/>
    <n v="83.219444444444449"/>
  </r>
  <r>
    <x v="10"/>
    <s v="Kiamichi Technology Center-Talihina               "/>
    <m/>
    <n v="375762"/>
    <x v="10"/>
    <m/>
    <m/>
    <m/>
    <m/>
    <m/>
    <m/>
    <m/>
    <m/>
    <m/>
    <m/>
    <n v="0"/>
    <n v="0"/>
    <n v="0"/>
    <n v="0"/>
    <m/>
    <m/>
    <n v="0"/>
    <n v="0"/>
    <m/>
    <m/>
    <m/>
    <m/>
    <m/>
    <m/>
    <n v="69959.5"/>
    <n v="67477"/>
    <n v="69959.5"/>
    <n v="77.732777777777784"/>
    <n v="67477"/>
    <n v="74.974444444444444"/>
    <m/>
    <m/>
    <n v="0"/>
    <n v="0"/>
    <m/>
    <m/>
    <m/>
    <m/>
    <m/>
    <m/>
    <m/>
    <m/>
    <n v="0"/>
    <n v="0"/>
    <n v="0"/>
    <n v="0"/>
    <n v="77.732777777777784"/>
    <n v="74.974444444444444"/>
  </r>
  <r>
    <x v="10"/>
    <s v="Meridian Technology Center                        "/>
    <m/>
    <n v="365480"/>
    <x v="10"/>
    <m/>
    <m/>
    <m/>
    <m/>
    <m/>
    <m/>
    <m/>
    <m/>
    <m/>
    <m/>
    <n v="0"/>
    <n v="0"/>
    <n v="0"/>
    <n v="0"/>
    <m/>
    <m/>
    <n v="0"/>
    <n v="0"/>
    <m/>
    <m/>
    <m/>
    <m/>
    <m/>
    <m/>
    <n v="526645.25"/>
    <n v="527896.05000000005"/>
    <n v="526645.25"/>
    <n v="585.16138888888884"/>
    <n v="527896.05000000005"/>
    <n v="586.55116666666675"/>
    <m/>
    <m/>
    <n v="0"/>
    <n v="0"/>
    <m/>
    <m/>
    <m/>
    <m/>
    <m/>
    <m/>
    <m/>
    <m/>
    <n v="0"/>
    <n v="0"/>
    <n v="0"/>
    <n v="0"/>
    <n v="585.16138888888884"/>
    <n v="586.55116666666675"/>
  </r>
  <r>
    <x v="10"/>
    <s v="Mid-America Technology Center                     "/>
    <m/>
    <n v="418320"/>
    <x v="10"/>
    <m/>
    <m/>
    <m/>
    <m/>
    <m/>
    <m/>
    <m/>
    <m/>
    <m/>
    <m/>
    <n v="0"/>
    <n v="0"/>
    <n v="0"/>
    <n v="0"/>
    <m/>
    <m/>
    <n v="0"/>
    <n v="0"/>
    <m/>
    <m/>
    <m/>
    <m/>
    <m/>
    <m/>
    <n v="515076.5"/>
    <n v="524868.5"/>
    <n v="515076.5"/>
    <n v="572.30722222222221"/>
    <n v="524868.5"/>
    <n v="583.1872222222222"/>
    <m/>
    <m/>
    <n v="0"/>
    <n v="0"/>
    <m/>
    <m/>
    <m/>
    <m/>
    <m/>
    <m/>
    <m/>
    <m/>
    <n v="0"/>
    <n v="0"/>
    <n v="0"/>
    <n v="0"/>
    <n v="572.30722222222221"/>
    <n v="583.1872222222222"/>
  </r>
  <r>
    <x v="10"/>
    <s v="Mid-Del Technology Center                         "/>
    <m/>
    <n v="431017"/>
    <x v="10"/>
    <m/>
    <m/>
    <m/>
    <m/>
    <m/>
    <m/>
    <m/>
    <m/>
    <m/>
    <m/>
    <n v="0"/>
    <n v="0"/>
    <n v="0"/>
    <n v="0"/>
    <m/>
    <m/>
    <n v="0"/>
    <n v="0"/>
    <m/>
    <m/>
    <m/>
    <m/>
    <m/>
    <m/>
    <n v="373767"/>
    <n v="370422.5"/>
    <n v="373767"/>
    <n v="415.29666666666668"/>
    <n v="370422.5"/>
    <n v="411.58055555555558"/>
    <m/>
    <m/>
    <n v="0"/>
    <n v="0"/>
    <m/>
    <m/>
    <m/>
    <m/>
    <m/>
    <m/>
    <m/>
    <m/>
    <n v="0"/>
    <n v="0"/>
    <n v="0"/>
    <n v="0"/>
    <n v="415.29666666666668"/>
    <n v="411.58055555555558"/>
  </r>
  <r>
    <x v="10"/>
    <s v="Moore Norman Technology Center                    "/>
    <s v="Met the criteria for Technical Institute or College 1 in 2015-16."/>
    <n v="248606"/>
    <x v="10"/>
    <m/>
    <m/>
    <m/>
    <m/>
    <m/>
    <m/>
    <m/>
    <m/>
    <m/>
    <m/>
    <n v="0"/>
    <n v="0"/>
    <n v="0"/>
    <n v="0"/>
    <m/>
    <m/>
    <n v="0"/>
    <n v="0"/>
    <m/>
    <m/>
    <m/>
    <m/>
    <m/>
    <m/>
    <n v="853141.49"/>
    <n v="909019.3"/>
    <n v="853141.49"/>
    <n v="947.93498888888882"/>
    <n v="909019.3"/>
    <n v="1010.0214444444445"/>
    <m/>
    <m/>
    <n v="0"/>
    <n v="0"/>
    <m/>
    <m/>
    <m/>
    <m/>
    <m/>
    <m/>
    <m/>
    <m/>
    <n v="0"/>
    <n v="0"/>
    <n v="0"/>
    <n v="0"/>
    <n v="947.93498888888882"/>
    <n v="1010.0214444444445"/>
  </r>
  <r>
    <x v="10"/>
    <s v="Northeast Technology Center-Afton                 "/>
    <m/>
    <n v="420459"/>
    <x v="10"/>
    <m/>
    <m/>
    <m/>
    <m/>
    <m/>
    <m/>
    <m/>
    <m/>
    <m/>
    <m/>
    <n v="0"/>
    <n v="0"/>
    <n v="0"/>
    <n v="0"/>
    <m/>
    <m/>
    <n v="0"/>
    <n v="0"/>
    <m/>
    <m/>
    <m/>
    <m/>
    <m/>
    <m/>
    <n v="256838"/>
    <n v="262885"/>
    <n v="256838"/>
    <n v="285.37555555555554"/>
    <n v="262885"/>
    <n v="292.09444444444443"/>
    <m/>
    <m/>
    <n v="0"/>
    <n v="0"/>
    <m/>
    <m/>
    <m/>
    <m/>
    <m/>
    <m/>
    <m/>
    <m/>
    <n v="0"/>
    <n v="0"/>
    <n v="0"/>
    <n v="0"/>
    <n v="285.37555555555554"/>
    <n v="292.09444444444443"/>
  </r>
  <r>
    <x v="10"/>
    <s v="Northeast Technology Center-Claremore"/>
    <m/>
    <n v="456560"/>
    <x v="10"/>
    <m/>
    <m/>
    <m/>
    <m/>
    <m/>
    <m/>
    <m/>
    <m/>
    <m/>
    <m/>
    <n v="0"/>
    <n v="0"/>
    <n v="0"/>
    <n v="0"/>
    <m/>
    <m/>
    <n v="0"/>
    <n v="0"/>
    <m/>
    <m/>
    <m/>
    <m/>
    <m/>
    <m/>
    <n v="137697.75"/>
    <n v="144973.75"/>
    <n v="137697.75"/>
    <n v="152.9975"/>
    <n v="144973.75"/>
    <n v="161.08194444444445"/>
    <m/>
    <m/>
    <n v="0"/>
    <n v="0"/>
    <m/>
    <m/>
    <m/>
    <m/>
    <m/>
    <m/>
    <m/>
    <m/>
    <n v="0"/>
    <n v="0"/>
    <n v="0"/>
    <n v="0"/>
    <n v="152.9975"/>
    <n v="161.08194444444445"/>
  </r>
  <r>
    <x v="10"/>
    <s v="Northeast Technology Center-Kansas                "/>
    <m/>
    <n v="432074"/>
    <x v="10"/>
    <m/>
    <m/>
    <m/>
    <m/>
    <m/>
    <m/>
    <m/>
    <m/>
    <m/>
    <m/>
    <n v="0"/>
    <n v="0"/>
    <n v="0"/>
    <n v="0"/>
    <m/>
    <m/>
    <n v="0"/>
    <n v="0"/>
    <m/>
    <m/>
    <m/>
    <m/>
    <m/>
    <m/>
    <n v="171379"/>
    <n v="158667"/>
    <n v="171379"/>
    <n v="190.42111111111112"/>
    <n v="158667"/>
    <n v="176.29666666666665"/>
    <m/>
    <m/>
    <n v="0"/>
    <n v="0"/>
    <m/>
    <m/>
    <m/>
    <m/>
    <m/>
    <m/>
    <m/>
    <m/>
    <n v="0"/>
    <n v="0"/>
    <n v="0"/>
    <n v="0"/>
    <n v="190.42111111111112"/>
    <n v="176.29666666666665"/>
  </r>
  <r>
    <x v="10"/>
    <s v="Northeast Technology Center-Pryor                 "/>
    <m/>
    <n v="418339"/>
    <x v="10"/>
    <m/>
    <m/>
    <m/>
    <m/>
    <m/>
    <m/>
    <m/>
    <m/>
    <m/>
    <m/>
    <n v="0"/>
    <n v="0"/>
    <n v="0"/>
    <n v="0"/>
    <m/>
    <m/>
    <n v="0"/>
    <n v="0"/>
    <m/>
    <m/>
    <m/>
    <m/>
    <m/>
    <m/>
    <n v="259014"/>
    <n v="288306.5"/>
    <n v="259014"/>
    <n v="287.79333333333335"/>
    <n v="288306.5"/>
    <n v="320.34055555555557"/>
    <m/>
    <m/>
    <n v="0"/>
    <n v="0"/>
    <m/>
    <m/>
    <m/>
    <m/>
    <m/>
    <m/>
    <m/>
    <m/>
    <n v="0"/>
    <n v="0"/>
    <n v="0"/>
    <n v="0"/>
    <n v="287.79333333333335"/>
    <n v="320.34055555555557"/>
  </r>
  <r>
    <x v="10"/>
    <s v="Northwest Technology Center-Alva                  "/>
    <m/>
    <n v="366623"/>
    <x v="10"/>
    <m/>
    <m/>
    <m/>
    <m/>
    <m/>
    <m/>
    <m/>
    <m/>
    <m/>
    <m/>
    <n v="0"/>
    <n v="0"/>
    <n v="0"/>
    <n v="0"/>
    <m/>
    <m/>
    <n v="0"/>
    <n v="0"/>
    <m/>
    <m/>
    <m/>
    <m/>
    <m/>
    <m/>
    <n v="102790.5"/>
    <n v="129689.25"/>
    <n v="102790.5"/>
    <n v="114.21166666666667"/>
    <n v="129689.25"/>
    <n v="144.09916666666666"/>
    <m/>
    <m/>
    <n v="0"/>
    <n v="0"/>
    <m/>
    <m/>
    <m/>
    <m/>
    <m/>
    <m/>
    <m/>
    <m/>
    <n v="0"/>
    <n v="0"/>
    <n v="0"/>
    <n v="0"/>
    <n v="114.21166666666667"/>
    <n v="144.09916666666666"/>
  </r>
  <r>
    <x v="10"/>
    <s v="Northwest Technology Center-Fairview              "/>
    <m/>
    <n v="407601"/>
    <x v="10"/>
    <m/>
    <m/>
    <m/>
    <m/>
    <m/>
    <m/>
    <m/>
    <m/>
    <m/>
    <m/>
    <n v="0"/>
    <n v="0"/>
    <n v="0"/>
    <n v="0"/>
    <m/>
    <m/>
    <n v="0"/>
    <n v="0"/>
    <m/>
    <m/>
    <m/>
    <m/>
    <m/>
    <m/>
    <n v="78207"/>
    <n v="78132.5"/>
    <n v="78207"/>
    <n v="86.896666666666661"/>
    <n v="78132.5"/>
    <n v="86.813888888888883"/>
    <m/>
    <m/>
    <n v="0"/>
    <n v="0"/>
    <m/>
    <m/>
    <m/>
    <m/>
    <m/>
    <m/>
    <m/>
    <m/>
    <n v="0"/>
    <n v="0"/>
    <n v="0"/>
    <n v="0"/>
    <n v="86.896666666666661"/>
    <n v="86.813888888888883"/>
  </r>
  <r>
    <x v="10"/>
    <s v="Pioneer Technology Center                         "/>
    <m/>
    <n v="364627"/>
    <x v="10"/>
    <m/>
    <m/>
    <m/>
    <m/>
    <m/>
    <m/>
    <m/>
    <m/>
    <m/>
    <m/>
    <n v="0"/>
    <n v="0"/>
    <n v="0"/>
    <n v="0"/>
    <m/>
    <m/>
    <n v="0"/>
    <n v="0"/>
    <m/>
    <m/>
    <m/>
    <m/>
    <m/>
    <m/>
    <n v="305325"/>
    <n v="320423.09999999998"/>
    <n v="305325"/>
    <n v="339.25"/>
    <n v="320423.09999999998"/>
    <n v="356.02566666666667"/>
    <m/>
    <m/>
    <n v="0"/>
    <n v="0"/>
    <m/>
    <m/>
    <m/>
    <m/>
    <m/>
    <m/>
    <m/>
    <m/>
    <n v="0"/>
    <n v="0"/>
    <n v="0"/>
    <n v="0"/>
    <n v="339.25"/>
    <n v="356.02566666666667"/>
  </r>
  <r>
    <x v="10"/>
    <s v="Pontotoc Technology Center                        "/>
    <m/>
    <n v="206905"/>
    <x v="10"/>
    <m/>
    <m/>
    <m/>
    <m/>
    <m/>
    <m/>
    <m/>
    <m/>
    <m/>
    <m/>
    <n v="0"/>
    <n v="0"/>
    <n v="0"/>
    <n v="0"/>
    <m/>
    <m/>
    <n v="0"/>
    <n v="0"/>
    <m/>
    <m/>
    <m/>
    <m/>
    <m/>
    <m/>
    <n v="189665.75"/>
    <n v="167886"/>
    <n v="189665.75"/>
    <n v="210.73972222222221"/>
    <n v="167886"/>
    <n v="186.54"/>
    <m/>
    <m/>
    <n v="0"/>
    <n v="0"/>
    <m/>
    <m/>
    <m/>
    <m/>
    <m/>
    <m/>
    <m/>
    <m/>
    <n v="0"/>
    <n v="0"/>
    <n v="0"/>
    <n v="0"/>
    <n v="210.73972222222221"/>
    <n v="186.54"/>
  </r>
  <r>
    <x v="10"/>
    <s v="Red River Technology Center                       "/>
    <m/>
    <n v="250993"/>
    <x v="10"/>
    <m/>
    <m/>
    <m/>
    <m/>
    <m/>
    <m/>
    <m/>
    <m/>
    <m/>
    <m/>
    <n v="0"/>
    <n v="0"/>
    <n v="0"/>
    <n v="0"/>
    <m/>
    <m/>
    <n v="0"/>
    <n v="0"/>
    <m/>
    <m/>
    <m/>
    <m/>
    <m/>
    <m/>
    <n v="310533.03999999998"/>
    <n v="291348.40000000002"/>
    <n v="310533.03999999998"/>
    <n v="345.03671111111106"/>
    <n v="291348.40000000002"/>
    <n v="323.72044444444447"/>
    <m/>
    <m/>
    <n v="0"/>
    <n v="0"/>
    <m/>
    <m/>
    <m/>
    <m/>
    <m/>
    <m/>
    <m/>
    <m/>
    <n v="0"/>
    <n v="0"/>
    <n v="0"/>
    <n v="0"/>
    <n v="345.03671111111106"/>
    <n v="323.72044444444447"/>
  </r>
  <r>
    <x v="10"/>
    <s v="Southern Oklahoma Technology Center               "/>
    <m/>
    <n v="365198"/>
    <x v="10"/>
    <m/>
    <m/>
    <m/>
    <m/>
    <m/>
    <m/>
    <m/>
    <m/>
    <m/>
    <m/>
    <n v="0"/>
    <n v="0"/>
    <n v="0"/>
    <n v="0"/>
    <m/>
    <m/>
    <n v="0"/>
    <n v="0"/>
    <m/>
    <m/>
    <m/>
    <m/>
    <m/>
    <m/>
    <n v="409493.15"/>
    <n v="428926.95"/>
    <n v="409493.15"/>
    <n v="454.99238888888891"/>
    <n v="428926.95"/>
    <n v="476.58550000000002"/>
    <m/>
    <m/>
    <n v="0"/>
    <n v="0"/>
    <m/>
    <m/>
    <m/>
    <m/>
    <m/>
    <m/>
    <m/>
    <m/>
    <n v="0"/>
    <n v="0"/>
    <n v="0"/>
    <n v="0"/>
    <n v="454.99238888888891"/>
    <n v="476.58550000000002"/>
  </r>
  <r>
    <x v="10"/>
    <s v="Southwest Technology Center                       "/>
    <m/>
    <n v="368364"/>
    <x v="10"/>
    <m/>
    <m/>
    <m/>
    <m/>
    <m/>
    <m/>
    <m/>
    <m/>
    <m/>
    <m/>
    <n v="0"/>
    <n v="0"/>
    <n v="0"/>
    <n v="0"/>
    <m/>
    <m/>
    <n v="0"/>
    <n v="0"/>
    <m/>
    <m/>
    <m/>
    <m/>
    <m/>
    <m/>
    <n v="211122"/>
    <n v="216640.45"/>
    <n v="211122"/>
    <n v="234.58"/>
    <n v="216640.45"/>
    <n v="240.71161111111113"/>
    <m/>
    <m/>
    <n v="0"/>
    <n v="0"/>
    <m/>
    <m/>
    <m/>
    <m/>
    <m/>
    <m/>
    <m/>
    <m/>
    <n v="0"/>
    <n v="0"/>
    <n v="0"/>
    <n v="0"/>
    <n v="234.58"/>
    <n v="240.71161111111113"/>
  </r>
  <r>
    <x v="10"/>
    <s v="Tri County Technology Center                      "/>
    <m/>
    <n v="418287"/>
    <x v="10"/>
    <m/>
    <m/>
    <m/>
    <m/>
    <m/>
    <m/>
    <m/>
    <m/>
    <m/>
    <m/>
    <n v="0"/>
    <n v="0"/>
    <n v="0"/>
    <n v="0"/>
    <m/>
    <m/>
    <n v="0"/>
    <n v="0"/>
    <m/>
    <m/>
    <m/>
    <m/>
    <m/>
    <m/>
    <n v="366819.65"/>
    <n v="353226.5"/>
    <n v="366819.65"/>
    <n v="407.57738888888889"/>
    <n v="353226.5"/>
    <n v="392.47388888888889"/>
    <m/>
    <m/>
    <n v="0"/>
    <n v="0"/>
    <m/>
    <m/>
    <m/>
    <m/>
    <m/>
    <m/>
    <m/>
    <m/>
    <n v="0"/>
    <n v="0"/>
    <n v="0"/>
    <n v="0"/>
    <n v="407.57738888888889"/>
    <n v="392.47388888888889"/>
  </r>
  <r>
    <x v="10"/>
    <s v="Tulsa County Area Voc Tech School Dist 18-Peoria  "/>
    <m/>
    <n v="207607"/>
    <x v="10"/>
    <m/>
    <m/>
    <m/>
    <m/>
    <m/>
    <m/>
    <m/>
    <m/>
    <m/>
    <m/>
    <n v="0"/>
    <n v="0"/>
    <n v="0"/>
    <n v="0"/>
    <m/>
    <m/>
    <n v="0"/>
    <n v="0"/>
    <m/>
    <m/>
    <m/>
    <m/>
    <m/>
    <m/>
    <n v="328585.5"/>
    <n v="391456"/>
    <n v="328585.5"/>
    <n v="365.09500000000003"/>
    <n v="391456"/>
    <n v="434.95111111111112"/>
    <m/>
    <m/>
    <n v="0"/>
    <n v="0"/>
    <m/>
    <m/>
    <m/>
    <m/>
    <m/>
    <m/>
    <m/>
    <m/>
    <n v="0"/>
    <n v="0"/>
    <n v="0"/>
    <n v="0"/>
    <n v="365.09500000000003"/>
    <n v="434.95111111111112"/>
  </r>
  <r>
    <x v="10"/>
    <s v="Tulsa Technology Center-Broken Arrow Campus       "/>
    <m/>
    <n v="261393"/>
    <x v="10"/>
    <m/>
    <m/>
    <m/>
    <m/>
    <m/>
    <m/>
    <m/>
    <m/>
    <m/>
    <m/>
    <n v="0"/>
    <n v="0"/>
    <n v="0"/>
    <n v="0"/>
    <m/>
    <m/>
    <n v="0"/>
    <n v="0"/>
    <m/>
    <m/>
    <m/>
    <m/>
    <m/>
    <m/>
    <n v="818329.08"/>
    <n v="682564.63"/>
    <n v="818329.08"/>
    <n v="909.25453333333326"/>
    <n v="682564.63"/>
    <n v="758.40514444444443"/>
    <m/>
    <m/>
    <n v="0"/>
    <n v="0"/>
    <m/>
    <m/>
    <m/>
    <m/>
    <m/>
    <m/>
    <m/>
    <m/>
    <n v="0"/>
    <n v="0"/>
    <n v="0"/>
    <n v="0"/>
    <n v="909.25453333333326"/>
    <n v="758.40514444444443"/>
  </r>
  <r>
    <x v="10"/>
    <s v="Tulsa Technology Center-Lemley Campus             "/>
    <s v="Reclassified: Met the criteria for Technical Institute or College 1 in 2013-14, 2014-15, and 2015-16."/>
    <n v="261375"/>
    <x v="9"/>
    <m/>
    <m/>
    <m/>
    <m/>
    <m/>
    <m/>
    <m/>
    <m/>
    <m/>
    <m/>
    <n v="0"/>
    <n v="0"/>
    <n v="0"/>
    <n v="0"/>
    <m/>
    <m/>
    <n v="0"/>
    <n v="0"/>
    <m/>
    <m/>
    <m/>
    <m/>
    <m/>
    <m/>
    <n v="910498.9"/>
    <n v="903772.5"/>
    <n v="910498.9"/>
    <n v="1011.6654444444445"/>
    <n v="903772.5"/>
    <n v="1004.1916666666667"/>
    <m/>
    <m/>
    <n v="0"/>
    <n v="0"/>
    <m/>
    <m/>
    <m/>
    <m/>
    <m/>
    <m/>
    <m/>
    <m/>
    <n v="0"/>
    <n v="0"/>
    <n v="0"/>
    <n v="0"/>
    <n v="1011.6654444444445"/>
    <n v="1004.1916666666667"/>
  </r>
  <r>
    <x v="10"/>
    <s v="Tulsa Technology Center-Owasso NEW"/>
    <m/>
    <n v="482264"/>
    <x v="10"/>
    <m/>
    <m/>
    <m/>
    <m/>
    <m/>
    <m/>
    <m/>
    <m/>
    <m/>
    <m/>
    <n v="0"/>
    <n v="0"/>
    <n v="0"/>
    <n v="0"/>
    <m/>
    <m/>
    <n v="0"/>
    <n v="0"/>
    <m/>
    <m/>
    <m/>
    <m/>
    <m/>
    <m/>
    <n v="163738"/>
    <n v="186104"/>
    <n v="163738"/>
    <n v="181.93111111111111"/>
    <n v="186104"/>
    <n v="206.78222222222223"/>
    <m/>
    <m/>
    <n v="0"/>
    <n v="0"/>
    <m/>
    <m/>
    <m/>
    <m/>
    <m/>
    <m/>
    <m/>
    <m/>
    <n v="0"/>
    <n v="0"/>
    <n v="0"/>
    <n v="0"/>
    <n v="181.93111111111111"/>
    <n v="206.78222222222223"/>
  </r>
  <r>
    <x v="10"/>
    <s v="Tulsa Technology Center-Riverside Campus          "/>
    <m/>
    <n v="261384"/>
    <x v="10"/>
    <m/>
    <m/>
    <m/>
    <m/>
    <m/>
    <m/>
    <m/>
    <m/>
    <m/>
    <m/>
    <n v="0"/>
    <n v="0"/>
    <n v="0"/>
    <n v="0"/>
    <m/>
    <m/>
    <n v="0"/>
    <n v="0"/>
    <m/>
    <m/>
    <m/>
    <m/>
    <m/>
    <m/>
    <n v="392910"/>
    <n v="322709"/>
    <n v="392910"/>
    <n v="436.56666666666666"/>
    <n v="322709"/>
    <n v="358.56555555555553"/>
    <m/>
    <m/>
    <n v="0"/>
    <n v="0"/>
    <m/>
    <m/>
    <m/>
    <m/>
    <m/>
    <m/>
    <m/>
    <m/>
    <n v="0"/>
    <n v="0"/>
    <n v="0"/>
    <n v="0"/>
    <n v="436.56666666666666"/>
    <n v="358.56555555555553"/>
  </r>
  <r>
    <x v="10"/>
    <s v="Tulsa Technology Center-Sand Springs NEW"/>
    <m/>
    <n v="482273"/>
    <x v="10"/>
    <m/>
    <m/>
    <m/>
    <m/>
    <m/>
    <m/>
    <m/>
    <m/>
    <m/>
    <m/>
    <n v="0"/>
    <n v="0"/>
    <n v="0"/>
    <n v="0"/>
    <m/>
    <m/>
    <n v="0"/>
    <n v="0"/>
    <m/>
    <m/>
    <m/>
    <m/>
    <m/>
    <m/>
    <n v="101121"/>
    <n v="100815"/>
    <n v="101121"/>
    <n v="112.35666666666667"/>
    <n v="100815"/>
    <n v="112.01666666666667"/>
    <m/>
    <m/>
    <n v="0"/>
    <n v="0"/>
    <m/>
    <m/>
    <m/>
    <m/>
    <m/>
    <m/>
    <m/>
    <m/>
    <n v="0"/>
    <n v="0"/>
    <n v="0"/>
    <n v="0"/>
    <n v="112.35666666666667"/>
    <n v="112.01666666666667"/>
  </r>
  <r>
    <x v="10"/>
    <s v="Wes Watkins Technology Center                     "/>
    <m/>
    <n v="418357"/>
    <x v="10"/>
    <m/>
    <m/>
    <m/>
    <m/>
    <m/>
    <m/>
    <m/>
    <m/>
    <m/>
    <m/>
    <n v="0"/>
    <n v="0"/>
    <n v="0"/>
    <n v="0"/>
    <m/>
    <m/>
    <n v="0"/>
    <n v="0"/>
    <m/>
    <m/>
    <m/>
    <m/>
    <m/>
    <m/>
    <n v="135962.25"/>
    <n v="139335.5"/>
    <n v="135962.25"/>
    <n v="151.06916666666666"/>
    <n v="139335.5"/>
    <n v="154.81722222222223"/>
    <m/>
    <m/>
    <n v="0"/>
    <n v="0"/>
    <m/>
    <m/>
    <m/>
    <m/>
    <m/>
    <m/>
    <m/>
    <m/>
    <n v="0"/>
    <n v="0"/>
    <n v="0"/>
    <n v="0"/>
    <n v="151.06916666666666"/>
    <n v="154.81722222222223"/>
  </r>
  <r>
    <x v="10"/>
    <s v="Western Technology Center                         "/>
    <m/>
    <n v="418302"/>
    <x v="10"/>
    <m/>
    <m/>
    <m/>
    <m/>
    <m/>
    <m/>
    <m/>
    <m/>
    <m/>
    <m/>
    <n v="0"/>
    <n v="0"/>
    <n v="0"/>
    <n v="0"/>
    <m/>
    <m/>
    <n v="0"/>
    <n v="0"/>
    <m/>
    <m/>
    <m/>
    <m/>
    <m/>
    <m/>
    <n v="344205"/>
    <n v="348534.5"/>
    <n v="344205"/>
    <n v="382.45"/>
    <n v="348534.5"/>
    <n v="387.26055555555558"/>
    <m/>
    <m/>
    <n v="0"/>
    <n v="0"/>
    <m/>
    <m/>
    <m/>
    <m/>
    <m/>
    <m/>
    <m/>
    <m/>
    <n v="0"/>
    <n v="0"/>
    <n v="0"/>
    <n v="0"/>
    <n v="382.45"/>
    <n v="387.26055555555558"/>
  </r>
  <r>
    <x v="11"/>
    <s v="Clemson University"/>
    <m/>
    <n v="217882"/>
    <x v="0"/>
    <s v="sem"/>
    <m/>
    <m/>
    <m/>
    <n v="230725"/>
    <n v="239314"/>
    <n v="27386"/>
    <n v="30561"/>
    <n v="259711"/>
    <n v="270799"/>
    <n v="517822"/>
    <n v="17260.733333333334"/>
    <n v="540674"/>
    <n v="18022.466666666667"/>
    <n v="602"/>
    <n v="690"/>
    <n v="517822"/>
    <n v="540674"/>
    <m/>
    <m/>
    <m/>
    <m/>
    <m/>
    <m/>
    <m/>
    <m/>
    <n v="0"/>
    <n v="0"/>
    <n v="0"/>
    <n v="0"/>
    <m/>
    <m/>
    <n v="0"/>
    <n v="0"/>
    <m/>
    <m/>
    <n v="36042"/>
    <n v="35979"/>
    <n v="14839"/>
    <n v="14891"/>
    <n v="38004"/>
    <n v="38794"/>
    <n v="88885"/>
    <n v="3703.5416666666665"/>
    <n v="89664"/>
    <n v="3736"/>
    <n v="20964.275000000001"/>
    <n v="21758.466666666667"/>
  </r>
  <r>
    <x v="11"/>
    <s v="University of South Carolina-Columbia"/>
    <m/>
    <n v="218663"/>
    <x v="0"/>
    <s v="sem"/>
    <m/>
    <m/>
    <m/>
    <n v="332362"/>
    <n v="340004"/>
    <n v="33976"/>
    <n v="37254"/>
    <n v="365066"/>
    <n v="376645"/>
    <n v="731404"/>
    <n v="24380.133333333335"/>
    <n v="753903"/>
    <n v="25130.1"/>
    <n v="13"/>
    <m/>
    <n v="731404"/>
    <n v="0"/>
    <m/>
    <m/>
    <m/>
    <m/>
    <m/>
    <m/>
    <m/>
    <m/>
    <n v="0"/>
    <n v="0"/>
    <n v="0"/>
    <n v="0"/>
    <m/>
    <m/>
    <n v="0"/>
    <n v="0"/>
    <m/>
    <m/>
    <n v="45516"/>
    <n v="48232"/>
    <n v="18512"/>
    <n v="20466"/>
    <n v="53369"/>
    <n v="51432"/>
    <n v="117397"/>
    <n v="4891.541666666667"/>
    <n v="120130"/>
    <n v="5005.416666666667"/>
    <n v="29271.675000000003"/>
    <n v="30135.516666666666"/>
  </r>
  <r>
    <x v="11"/>
    <s v="College of Charleston"/>
    <m/>
    <n v="217819"/>
    <x v="2"/>
    <s v="sem"/>
    <m/>
    <m/>
    <m/>
    <n v="141147"/>
    <n v="141190"/>
    <n v="15459"/>
    <n v="15224"/>
    <n v="149077"/>
    <n v="148699"/>
    <n v="305683"/>
    <n v="10189.433333333332"/>
    <n v="305113"/>
    <n v="10170.433333333332"/>
    <n v="540"/>
    <n v="687"/>
    <n v="305683"/>
    <n v="305113"/>
    <m/>
    <m/>
    <m/>
    <m/>
    <m/>
    <m/>
    <m/>
    <m/>
    <n v="0"/>
    <n v="0"/>
    <n v="0"/>
    <n v="0"/>
    <m/>
    <m/>
    <n v="0"/>
    <n v="0"/>
    <m/>
    <m/>
    <n v="6299"/>
    <n v="6067"/>
    <n v="4208"/>
    <n v="3342"/>
    <n v="4982"/>
    <n v="5416"/>
    <n v="15489"/>
    <n v="645.375"/>
    <n v="14825"/>
    <n v="617.70833333333337"/>
    <n v="10834.808333333332"/>
    <n v="10788.141666666666"/>
  </r>
  <r>
    <x v="11"/>
    <s v="The Citadel, the Military College of South Carolina "/>
    <m/>
    <n v="217864"/>
    <x v="2"/>
    <s v="sem"/>
    <m/>
    <m/>
    <m/>
    <n v="43851"/>
    <n v="44310"/>
    <n v="6273"/>
    <n v="5527"/>
    <n v="46758"/>
    <n v="45731"/>
    <n v="96882"/>
    <n v="3229.4"/>
    <n v="95568"/>
    <n v="3185.6"/>
    <m/>
    <n v="207"/>
    <n v="0"/>
    <n v="95568"/>
    <m/>
    <m/>
    <m/>
    <m/>
    <m/>
    <m/>
    <m/>
    <m/>
    <n v="0"/>
    <n v="0"/>
    <n v="0"/>
    <n v="0"/>
    <m/>
    <m/>
    <n v="0"/>
    <n v="0"/>
    <m/>
    <m/>
    <n v="5021"/>
    <n v="4763"/>
    <n v="4038"/>
    <n v="3989"/>
    <n v="4842"/>
    <n v="5104"/>
    <n v="13901"/>
    <n v="579.20833333333337"/>
    <n v="13856"/>
    <n v="577.33333333333337"/>
    <n v="3808.6083333333336"/>
    <n v="3762.9333333333334"/>
  </r>
  <r>
    <x v="11"/>
    <s v="Winthrop University "/>
    <m/>
    <n v="218964"/>
    <x v="2"/>
    <s v="sem"/>
    <m/>
    <m/>
    <m/>
    <n v="65805.5"/>
    <n v="66279"/>
    <n v="5700"/>
    <n v="5191.5"/>
    <n v="70682.5"/>
    <n v="72321"/>
    <n v="142188"/>
    <n v="4739.6000000000004"/>
    <n v="143791.5"/>
    <n v="4793.05"/>
    <n v="1315"/>
    <n v="1260"/>
    <n v="142188"/>
    <n v="143791.5"/>
    <m/>
    <m/>
    <m/>
    <m/>
    <m/>
    <m/>
    <m/>
    <m/>
    <n v="0"/>
    <n v="0"/>
    <n v="0"/>
    <n v="0"/>
    <m/>
    <m/>
    <n v="0"/>
    <n v="0"/>
    <m/>
    <m/>
    <n v="6275"/>
    <n v="6069.5"/>
    <n v="3238"/>
    <n v="3245"/>
    <n v="7150"/>
    <n v="6676"/>
    <n v="16663"/>
    <n v="694.29166666666663"/>
    <n v="15990.5"/>
    <n v="666.27083333333337"/>
    <n v="5433.8916666666673"/>
    <n v="5459.3208333333332"/>
  </r>
  <r>
    <x v="11"/>
    <s v="Coastal Carolina University"/>
    <s v="Met the criteria for Four-Year 4 in 2013-14 and 2014-15."/>
    <n v="218724"/>
    <x v="4"/>
    <s v="sem"/>
    <m/>
    <m/>
    <m/>
    <n v="115341"/>
    <n v="121612"/>
    <n v="12250"/>
    <n v="13272"/>
    <n v="136581"/>
    <n v="141528"/>
    <n v="264172"/>
    <n v="8805.7333333333336"/>
    <n v="276412"/>
    <n v="9213.7333333333336"/>
    <m/>
    <m/>
    <n v="0"/>
    <n v="0"/>
    <m/>
    <m/>
    <m/>
    <m/>
    <m/>
    <m/>
    <m/>
    <m/>
    <n v="0"/>
    <n v="0"/>
    <n v="0"/>
    <n v="0"/>
    <m/>
    <m/>
    <n v="0"/>
    <n v="0"/>
    <m/>
    <m/>
    <n v="3545"/>
    <n v="3667"/>
    <n v="4226"/>
    <n v="4237"/>
    <n v="3788"/>
    <n v="4101"/>
    <n v="11559"/>
    <n v="481.625"/>
    <n v="12005"/>
    <n v="500.20833333333331"/>
    <n v="9287.3583333333336"/>
    <n v="9713.9416666666675"/>
  </r>
  <r>
    <x v="11"/>
    <s v="Francis Marion University "/>
    <m/>
    <n v="218061"/>
    <x v="4"/>
    <s v="sem"/>
    <m/>
    <m/>
    <m/>
    <n v="45527"/>
    <n v="44475"/>
    <n v="2938"/>
    <n v="2832"/>
    <n v="48881"/>
    <n v="48855"/>
    <n v="97346"/>
    <n v="3244.8666666666668"/>
    <n v="96162"/>
    <n v="3205.4"/>
    <n v="1305"/>
    <n v="1050"/>
    <n v="97346"/>
    <n v="96162"/>
    <m/>
    <m/>
    <m/>
    <m/>
    <m/>
    <m/>
    <m/>
    <m/>
    <n v="0"/>
    <n v="0"/>
    <n v="0"/>
    <n v="0"/>
    <m/>
    <m/>
    <n v="0"/>
    <n v="0"/>
    <m/>
    <m/>
    <n v="2318"/>
    <n v="2462"/>
    <n v="2126"/>
    <n v="2136"/>
    <n v="1968"/>
    <n v="2162"/>
    <n v="6412"/>
    <n v="267.16666666666669"/>
    <n v="6760"/>
    <n v="281.66666666666669"/>
    <n v="3512.0333333333333"/>
    <n v="3487.0666666666666"/>
  </r>
  <r>
    <x v="11"/>
    <s v="South Carolina State University "/>
    <m/>
    <n v="218733"/>
    <x v="4"/>
    <s v="sem"/>
    <m/>
    <m/>
    <m/>
    <n v="38486"/>
    <n v="36666"/>
    <n v="3210"/>
    <n v="2592"/>
    <n v="41045"/>
    <n v="36978"/>
    <n v="82741"/>
    <n v="2758.0333333333333"/>
    <n v="76236"/>
    <n v="2541.1999999999998"/>
    <m/>
    <n v="1929"/>
    <n v="0"/>
    <n v="76236"/>
    <m/>
    <m/>
    <m/>
    <m/>
    <m/>
    <m/>
    <m/>
    <m/>
    <n v="0"/>
    <n v="0"/>
    <n v="0"/>
    <n v="0"/>
    <m/>
    <m/>
    <n v="0"/>
    <n v="0"/>
    <m/>
    <m/>
    <n v="3528"/>
    <n v="3257"/>
    <n v="1763"/>
    <n v="1331"/>
    <n v="3580"/>
    <n v="3083"/>
    <n v="8871"/>
    <n v="369.625"/>
    <n v="7671"/>
    <n v="319.625"/>
    <n v="3127.6583333333333"/>
    <n v="2860.8249999999998"/>
  </r>
  <r>
    <x v="11"/>
    <s v="Lander University"/>
    <m/>
    <n v="218229"/>
    <x v="5"/>
    <s v="sem"/>
    <m/>
    <m/>
    <m/>
    <n v="36079"/>
    <n v="34809"/>
    <n v="3157.5"/>
    <n v="3332"/>
    <n v="38793.5"/>
    <n v="38071.5"/>
    <n v="78030"/>
    <n v="2601"/>
    <n v="76212.5"/>
    <n v="2540.4166666666665"/>
    <n v="145"/>
    <n v="173"/>
    <n v="78030"/>
    <n v="76212.5"/>
    <m/>
    <m/>
    <m/>
    <m/>
    <m/>
    <m/>
    <m/>
    <m/>
    <n v="0"/>
    <n v="0"/>
    <n v="0"/>
    <n v="0"/>
    <m/>
    <m/>
    <n v="0"/>
    <n v="0"/>
    <m/>
    <m/>
    <n v="522"/>
    <n v="387"/>
    <n v="696"/>
    <n v="564"/>
    <n v="357"/>
    <n v="159"/>
    <n v="1575"/>
    <n v="65.625"/>
    <n v="1110"/>
    <n v="46.25"/>
    <n v="2666.625"/>
    <n v="2586.6666666666665"/>
  </r>
  <r>
    <x v="11"/>
    <s v="University of South Carolina-Aiken"/>
    <m/>
    <n v="218645"/>
    <x v="5"/>
    <s v="sem"/>
    <m/>
    <m/>
    <m/>
    <n v="38369"/>
    <n v="38537"/>
    <n v="5644"/>
    <n v="5543"/>
    <n v="42738"/>
    <n v="44039"/>
    <n v="86751"/>
    <n v="2891.7"/>
    <n v="88119"/>
    <n v="2937.3"/>
    <n v="851"/>
    <m/>
    <n v="86751"/>
    <n v="0"/>
    <m/>
    <m/>
    <m/>
    <m/>
    <m/>
    <m/>
    <m/>
    <m/>
    <n v="0"/>
    <n v="0"/>
    <n v="0"/>
    <n v="0"/>
    <m/>
    <m/>
    <n v="0"/>
    <n v="0"/>
    <m/>
    <m/>
    <n v="942"/>
    <n v="916"/>
    <n v="693"/>
    <n v="990"/>
    <n v="1062"/>
    <n v="598"/>
    <n v="2697"/>
    <n v="112.375"/>
    <n v="2504"/>
    <n v="104.33333333333333"/>
    <n v="3004.0749999999998"/>
    <n v="3041.6333333333337"/>
  </r>
  <r>
    <x v="11"/>
    <s v="University of South Carolina-Beaufort"/>
    <m/>
    <n v="218654"/>
    <x v="5"/>
    <s v="sem"/>
    <m/>
    <m/>
    <m/>
    <n v="20510"/>
    <n v="22425"/>
    <n v="1970"/>
    <n v="2413"/>
    <n v="24032"/>
    <n v="27210"/>
    <n v="46512"/>
    <n v="1550.4"/>
    <n v="52048"/>
    <n v="1734.9333333333334"/>
    <n v="22"/>
    <m/>
    <n v="46512"/>
    <n v="0"/>
    <m/>
    <m/>
    <m/>
    <m/>
    <m/>
    <m/>
    <m/>
    <m/>
    <n v="0"/>
    <n v="0"/>
    <n v="0"/>
    <n v="0"/>
    <m/>
    <m/>
    <n v="0"/>
    <n v="0"/>
    <m/>
    <m/>
    <n v="0"/>
    <n v="0"/>
    <n v="0"/>
    <n v="0"/>
    <n v="0"/>
    <n v="0"/>
    <n v="0"/>
    <n v="0"/>
    <n v="0"/>
    <n v="0"/>
    <n v="1550.4"/>
    <n v="1734.9333333333334"/>
  </r>
  <r>
    <x v="11"/>
    <s v="University of South Carolina-Upstate"/>
    <m/>
    <n v="218742"/>
    <x v="5"/>
    <s v="sem"/>
    <m/>
    <m/>
    <m/>
    <n v="66177"/>
    <n v="65967"/>
    <n v="9824"/>
    <n v="9713"/>
    <n v="71856"/>
    <n v="74337"/>
    <n v="147857"/>
    <n v="4928.5666666666666"/>
    <n v="150017"/>
    <n v="5000.5666666666666"/>
    <n v="1958"/>
    <m/>
    <n v="147857"/>
    <n v="0"/>
    <m/>
    <m/>
    <m/>
    <m/>
    <m/>
    <m/>
    <m/>
    <m/>
    <n v="0"/>
    <n v="0"/>
    <n v="0"/>
    <n v="0"/>
    <m/>
    <m/>
    <n v="0"/>
    <n v="0"/>
    <m/>
    <m/>
    <n v="535"/>
    <n v="804"/>
    <n v="1161"/>
    <n v="1158"/>
    <n v="716"/>
    <n v="1100"/>
    <n v="2412"/>
    <n v="100.5"/>
    <n v="3062"/>
    <n v="127.58333333333333"/>
    <n v="5029.0666666666666"/>
    <n v="5128.1499999999996"/>
  </r>
  <r>
    <x v="11"/>
    <s v="Florence-Darlington Technical College "/>
    <m/>
    <n v="218025"/>
    <x v="7"/>
    <s v="sem"/>
    <m/>
    <m/>
    <m/>
    <n v="65084"/>
    <n v="58176.65"/>
    <n v="23630"/>
    <n v="21463.31"/>
    <n v="64630"/>
    <n v="64642.23"/>
    <n v="153344"/>
    <n v="5111.4666666666662"/>
    <n v="144282.19"/>
    <n v="4809.4063333333334"/>
    <m/>
    <n v="5648"/>
    <n v="0"/>
    <n v="144282.19"/>
    <m/>
    <m/>
    <m/>
    <m/>
    <m/>
    <m/>
    <m/>
    <m/>
    <n v="0"/>
    <n v="0"/>
    <n v="0"/>
    <n v="0"/>
    <m/>
    <m/>
    <n v="0"/>
    <n v="0"/>
    <m/>
    <m/>
    <n v="0"/>
    <n v="0"/>
    <n v="0"/>
    <n v="0"/>
    <n v="0"/>
    <n v="0"/>
    <n v="0"/>
    <n v="0"/>
    <n v="0"/>
    <n v="0"/>
    <n v="5111.4666666666662"/>
    <n v="4809.4063333333334"/>
  </r>
  <r>
    <x v="11"/>
    <s v="Greenville Technical College "/>
    <s v="Met the criteria for Two-Year 2 in 2015-16."/>
    <n v="218113"/>
    <x v="7"/>
    <s v="sem"/>
    <m/>
    <m/>
    <m/>
    <n v="119149"/>
    <n v="111501.59"/>
    <n v="44397"/>
    <n v="44371.669999999991"/>
    <n v="125597"/>
    <n v="121373.01999999999"/>
    <n v="289143"/>
    <n v="9638.1"/>
    <n v="277246.27999999997"/>
    <n v="9241.5426666666663"/>
    <n v="11069"/>
    <n v="10990"/>
    <n v="289143"/>
    <n v="277246.27999999997"/>
    <m/>
    <m/>
    <m/>
    <m/>
    <m/>
    <m/>
    <m/>
    <m/>
    <n v="0"/>
    <n v="0"/>
    <n v="0"/>
    <n v="0"/>
    <m/>
    <m/>
    <n v="0"/>
    <n v="0"/>
    <m/>
    <m/>
    <n v="0"/>
    <n v="0"/>
    <n v="0"/>
    <n v="0"/>
    <n v="0"/>
    <n v="0"/>
    <n v="0"/>
    <n v="0"/>
    <n v="0"/>
    <n v="0"/>
    <n v="9638.1"/>
    <n v="9241.5426666666663"/>
  </r>
  <r>
    <x v="11"/>
    <s v="Horry-Georgetown Technical College "/>
    <m/>
    <n v="218140"/>
    <x v="7"/>
    <s v="sem"/>
    <m/>
    <m/>
    <m/>
    <n v="72910"/>
    <n v="71191.489999999991"/>
    <n v="25040"/>
    <n v="24157.759999999998"/>
    <n v="72440"/>
    <n v="70838.500000000015"/>
    <n v="170390"/>
    <n v="5679.666666666667"/>
    <n v="166187.75"/>
    <n v="5539.5916666666662"/>
    <n v="8076"/>
    <n v="7748"/>
    <n v="170390"/>
    <n v="166187.75"/>
    <m/>
    <m/>
    <m/>
    <m/>
    <m/>
    <m/>
    <m/>
    <m/>
    <n v="0"/>
    <n v="0"/>
    <n v="0"/>
    <n v="0"/>
    <m/>
    <m/>
    <n v="0"/>
    <n v="0"/>
    <m/>
    <m/>
    <n v="0"/>
    <n v="0"/>
    <n v="0"/>
    <n v="0"/>
    <n v="0"/>
    <n v="0"/>
    <n v="0"/>
    <n v="0"/>
    <n v="0"/>
    <n v="0"/>
    <n v="5679.666666666667"/>
    <n v="5539.5916666666662"/>
  </r>
  <r>
    <x v="11"/>
    <s v="Midlands Technical College "/>
    <m/>
    <n v="218353"/>
    <x v="7"/>
    <s v="sem"/>
    <m/>
    <m/>
    <m/>
    <n v="108123"/>
    <n v="104991.03999999999"/>
    <n v="47113"/>
    <n v="45845.77"/>
    <n v="124963"/>
    <n v="122986.37999999999"/>
    <n v="280199"/>
    <n v="9339.9666666666672"/>
    <n v="273823.19"/>
    <n v="9127.4396666666671"/>
    <n v="2088"/>
    <n v="2773"/>
    <n v="280199"/>
    <n v="273823.19"/>
    <m/>
    <m/>
    <m/>
    <m/>
    <m/>
    <m/>
    <m/>
    <m/>
    <n v="0"/>
    <n v="0"/>
    <n v="0"/>
    <n v="0"/>
    <m/>
    <m/>
    <n v="0"/>
    <n v="0"/>
    <m/>
    <m/>
    <n v="0"/>
    <n v="0"/>
    <n v="0"/>
    <n v="0"/>
    <n v="0"/>
    <n v="0"/>
    <n v="0"/>
    <n v="0"/>
    <n v="0"/>
    <n v="0"/>
    <n v="9339.9666666666672"/>
    <n v="9127.4396666666671"/>
  </r>
  <r>
    <x v="11"/>
    <s v="Piedmont Technical College "/>
    <m/>
    <n v="218520"/>
    <x v="7"/>
    <s v="sem"/>
    <m/>
    <m/>
    <m/>
    <n v="59183"/>
    <n v="53621.7"/>
    <n v="24912"/>
    <n v="21821.420000000002"/>
    <n v="59286"/>
    <n v="54750.71"/>
    <n v="143381"/>
    <n v="4779.3666666666668"/>
    <n v="130193.82999999999"/>
    <n v="4339.7943333333333"/>
    <n v="9809"/>
    <n v="10490"/>
    <n v="143381"/>
    <n v="130193.82999999999"/>
    <m/>
    <m/>
    <m/>
    <m/>
    <m/>
    <m/>
    <m/>
    <m/>
    <n v="0"/>
    <n v="0"/>
    <n v="0"/>
    <n v="0"/>
    <m/>
    <m/>
    <n v="0"/>
    <n v="0"/>
    <m/>
    <m/>
    <n v="0"/>
    <n v="0"/>
    <n v="0"/>
    <n v="0"/>
    <n v="0"/>
    <n v="0"/>
    <n v="0"/>
    <n v="0"/>
    <n v="0"/>
    <n v="0"/>
    <n v="4779.3666666666668"/>
    <n v="4339.7943333333333"/>
  </r>
  <r>
    <x v="11"/>
    <s v="Tri-County Technical College "/>
    <s v="Met the criteria for Two-Year 2 in 2014-15 and 2015-16."/>
    <n v="218885"/>
    <x v="7"/>
    <s v="sem"/>
    <m/>
    <m/>
    <m/>
    <n v="67323"/>
    <n v="65636.63"/>
    <n v="22403"/>
    <n v="20882.349999999999"/>
    <n v="73907"/>
    <n v="70375.72"/>
    <n v="163633"/>
    <n v="5454.4333333333334"/>
    <n v="156894.70000000001"/>
    <n v="5229.8233333333337"/>
    <n v="6991"/>
    <n v="7531"/>
    <n v="163633"/>
    <n v="156894.70000000001"/>
    <m/>
    <m/>
    <m/>
    <m/>
    <m/>
    <m/>
    <m/>
    <m/>
    <n v="0"/>
    <n v="0"/>
    <n v="0"/>
    <n v="0"/>
    <m/>
    <m/>
    <n v="0"/>
    <n v="0"/>
    <m/>
    <m/>
    <n v="0"/>
    <n v="0"/>
    <n v="0"/>
    <n v="0"/>
    <n v="0"/>
    <n v="0"/>
    <n v="0"/>
    <n v="0"/>
    <n v="0"/>
    <n v="0"/>
    <n v="5454.4333333333334"/>
    <n v="5229.8233333333337"/>
  </r>
  <r>
    <x v="11"/>
    <s v="Trident Technical College "/>
    <m/>
    <n v="218894"/>
    <x v="7"/>
    <s v="sem"/>
    <m/>
    <m/>
    <m/>
    <n v="157015"/>
    <n v="151197.64000000001"/>
    <n v="70830"/>
    <n v="59262.51"/>
    <n v="161267"/>
    <n v="149345.72999999998"/>
    <n v="389112"/>
    <n v="12970.4"/>
    <n v="359805.88"/>
    <n v="11993.529333333334"/>
    <n v="15313"/>
    <n v="17691"/>
    <n v="389112"/>
    <n v="359805.88"/>
    <m/>
    <m/>
    <m/>
    <m/>
    <m/>
    <m/>
    <m/>
    <m/>
    <n v="0"/>
    <n v="0"/>
    <n v="0"/>
    <n v="0"/>
    <m/>
    <m/>
    <n v="0"/>
    <n v="0"/>
    <m/>
    <m/>
    <n v="0"/>
    <n v="0"/>
    <n v="0"/>
    <n v="0"/>
    <n v="0"/>
    <n v="0"/>
    <n v="0"/>
    <n v="0"/>
    <n v="0"/>
    <n v="0"/>
    <n v="12970.4"/>
    <n v="11993.529333333334"/>
  </r>
  <r>
    <x v="11"/>
    <s v="Aiken Technical College "/>
    <m/>
    <n v="217615"/>
    <x v="6"/>
    <s v="sem"/>
    <m/>
    <m/>
    <m/>
    <n v="23384"/>
    <n v="21150.17"/>
    <n v="9984"/>
    <n v="8302.92"/>
    <n v="23672"/>
    <n v="22527.38"/>
    <n v="57040"/>
    <n v="1901.3333333333333"/>
    <n v="51980.47"/>
    <n v="1732.6823333333334"/>
    <n v="575"/>
    <n v="569"/>
    <n v="57040"/>
    <n v="51980.47"/>
    <m/>
    <m/>
    <m/>
    <m/>
    <m/>
    <m/>
    <m/>
    <m/>
    <n v="0"/>
    <n v="0"/>
    <n v="0"/>
    <n v="0"/>
    <m/>
    <m/>
    <n v="0"/>
    <n v="0"/>
    <m/>
    <m/>
    <n v="0"/>
    <n v="0"/>
    <n v="0"/>
    <n v="0"/>
    <n v="0"/>
    <n v="0"/>
    <n v="0"/>
    <n v="0"/>
    <n v="0"/>
    <n v="0"/>
    <n v="1901.3333333333333"/>
    <n v="1732.6823333333334"/>
  </r>
  <r>
    <x v="11"/>
    <s v="Central Carolina Technical College "/>
    <s v="Met the criteria for Two-Year 3 in 2014-15 and 2015-16."/>
    <n v="218858"/>
    <x v="6"/>
    <s v="sem"/>
    <m/>
    <m/>
    <m/>
    <n v="34858"/>
    <n v="32469.7"/>
    <n v="14190"/>
    <n v="13541.67"/>
    <n v="34668"/>
    <n v="34476.5"/>
    <n v="83716"/>
    <n v="2790.5333333333333"/>
    <n v="80487.87"/>
    <n v="2682.9289999999996"/>
    <n v="5308"/>
    <n v="6579"/>
    <n v="83716"/>
    <n v="80487.87"/>
    <m/>
    <m/>
    <m/>
    <m/>
    <m/>
    <m/>
    <m/>
    <m/>
    <n v="0"/>
    <n v="0"/>
    <n v="0"/>
    <n v="0"/>
    <m/>
    <m/>
    <n v="0"/>
    <n v="0"/>
    <m/>
    <m/>
    <n v="0"/>
    <n v="0"/>
    <n v="0"/>
    <n v="0"/>
    <n v="0"/>
    <n v="0"/>
    <n v="0"/>
    <n v="0"/>
    <n v="0"/>
    <n v="0"/>
    <n v="2790.5333333333333"/>
    <n v="2682.9289999999996"/>
  </r>
  <r>
    <x v="11"/>
    <s v="Orangeburg-Calhoun Technical College "/>
    <m/>
    <n v="218487"/>
    <x v="6"/>
    <s v="sem"/>
    <m/>
    <m/>
    <m/>
    <n v="24679"/>
    <n v="26273.74"/>
    <n v="9643"/>
    <n v="9018.7999999999993"/>
    <n v="30177"/>
    <n v="27182.560000000001"/>
    <n v="64499"/>
    <n v="2149.9666666666667"/>
    <n v="62475.100000000006"/>
    <n v="2082.5033333333336"/>
    <n v="7318"/>
    <n v="7028"/>
    <n v="64499"/>
    <n v="62475.100000000006"/>
    <m/>
    <m/>
    <m/>
    <m/>
    <m/>
    <m/>
    <m/>
    <m/>
    <n v="0"/>
    <n v="0"/>
    <n v="0"/>
    <n v="0"/>
    <m/>
    <m/>
    <n v="0"/>
    <n v="0"/>
    <m/>
    <m/>
    <n v="0"/>
    <n v="0"/>
    <n v="0"/>
    <n v="0"/>
    <n v="0"/>
    <n v="0"/>
    <n v="0"/>
    <n v="0"/>
    <n v="0"/>
    <n v="0"/>
    <n v="2149.9666666666667"/>
    <n v="2082.5033333333336"/>
  </r>
  <r>
    <x v="11"/>
    <s v="Spartanburg Community College "/>
    <m/>
    <n v="218830"/>
    <x v="6"/>
    <s v="sem"/>
    <m/>
    <m/>
    <m/>
    <n v="51931"/>
    <n v="48152.26"/>
    <n v="16801"/>
    <n v="15856.65"/>
    <n v="55038"/>
    <n v="48809.810000000005"/>
    <n v="123770"/>
    <n v="4125.666666666667"/>
    <n v="112818.72"/>
    <n v="3760.6240000000003"/>
    <n v="6310"/>
    <n v="7202"/>
    <n v="123770"/>
    <n v="112818.72"/>
    <m/>
    <m/>
    <m/>
    <m/>
    <m/>
    <m/>
    <m/>
    <m/>
    <n v="0"/>
    <n v="0"/>
    <n v="0"/>
    <n v="0"/>
    <m/>
    <m/>
    <n v="0"/>
    <n v="0"/>
    <m/>
    <m/>
    <n v="0"/>
    <n v="0"/>
    <n v="0"/>
    <n v="0"/>
    <n v="0"/>
    <n v="0"/>
    <n v="0"/>
    <n v="0"/>
    <n v="0"/>
    <n v="0"/>
    <n v="4125.666666666667"/>
    <n v="3760.6240000000003"/>
  </r>
  <r>
    <x v="11"/>
    <s v="York Technical College "/>
    <m/>
    <n v="218991"/>
    <x v="6"/>
    <s v="sem"/>
    <m/>
    <m/>
    <m/>
    <n v="51312"/>
    <n v="47903.6"/>
    <n v="19858"/>
    <n v="17984"/>
    <n v="54226"/>
    <n v="49795.06"/>
    <n v="125396"/>
    <n v="4179.8666666666668"/>
    <n v="115682.66"/>
    <n v="3856.088666666667"/>
    <n v="1980"/>
    <n v="2893"/>
    <n v="125396"/>
    <n v="115682.66"/>
    <m/>
    <m/>
    <m/>
    <m/>
    <m/>
    <m/>
    <m/>
    <m/>
    <n v="0"/>
    <n v="0"/>
    <n v="0"/>
    <n v="0"/>
    <m/>
    <m/>
    <n v="0"/>
    <n v="0"/>
    <m/>
    <m/>
    <n v="0"/>
    <n v="0"/>
    <n v="0"/>
    <n v="0"/>
    <n v="0"/>
    <n v="0"/>
    <n v="0"/>
    <n v="0"/>
    <n v="0"/>
    <n v="0"/>
    <n v="4179.8666666666668"/>
    <n v="3856.088666666667"/>
  </r>
  <r>
    <x v="11"/>
    <s v="Denmark Technical College "/>
    <m/>
    <n v="217989"/>
    <x v="8"/>
    <s v="sem"/>
    <m/>
    <m/>
    <m/>
    <n v="20958"/>
    <n v="15952.09"/>
    <n v="12127"/>
    <n v="9961.75"/>
    <n v="21222"/>
    <n v="11733.73"/>
    <n v="54307"/>
    <n v="1810.2333333333333"/>
    <n v="37647.57"/>
    <n v="1254.9190000000001"/>
    <m/>
    <n v="319"/>
    <n v="0"/>
    <n v="37647.57"/>
    <m/>
    <m/>
    <m/>
    <m/>
    <m/>
    <m/>
    <m/>
    <m/>
    <n v="0"/>
    <n v="0"/>
    <n v="0"/>
    <n v="0"/>
    <m/>
    <m/>
    <n v="0"/>
    <n v="0"/>
    <m/>
    <m/>
    <n v="0"/>
    <n v="0"/>
    <n v="0"/>
    <n v="0"/>
    <n v="0"/>
    <n v="0"/>
    <n v="0"/>
    <n v="0"/>
    <n v="0"/>
    <n v="0"/>
    <n v="1810.2333333333333"/>
    <n v="1254.9190000000001"/>
  </r>
  <r>
    <x v="11"/>
    <s v="Northeastern Technical College "/>
    <m/>
    <n v="217837"/>
    <x v="8"/>
    <s v="sem"/>
    <m/>
    <m/>
    <m/>
    <n v="12003"/>
    <n v="10611.990000000002"/>
    <n v="5222"/>
    <n v="5521.44"/>
    <n v="12928"/>
    <n v="13203.259999999998"/>
    <n v="30153"/>
    <n v="1005.1"/>
    <n v="29336.69"/>
    <n v="977.88966666666659"/>
    <n v="1060"/>
    <n v="1466"/>
    <n v="30153"/>
    <n v="29336.69"/>
    <m/>
    <m/>
    <m/>
    <m/>
    <m/>
    <m/>
    <m/>
    <m/>
    <n v="0"/>
    <n v="0"/>
    <n v="0"/>
    <n v="0"/>
    <m/>
    <m/>
    <n v="0"/>
    <n v="0"/>
    <m/>
    <m/>
    <n v="0"/>
    <n v="0"/>
    <n v="0"/>
    <n v="0"/>
    <n v="0"/>
    <n v="0"/>
    <n v="0"/>
    <n v="0"/>
    <n v="0"/>
    <n v="0"/>
    <n v="1005.1"/>
    <n v="977.88966666666659"/>
  </r>
  <r>
    <x v="11"/>
    <s v="Technical College of the Lowcountry"/>
    <m/>
    <n v="217712"/>
    <x v="8"/>
    <s v="sem"/>
    <m/>
    <m/>
    <m/>
    <n v="20816"/>
    <n v="21166.22"/>
    <n v="9361"/>
    <n v="9369.8799999999992"/>
    <n v="24043"/>
    <n v="21721.149999999998"/>
    <n v="54220"/>
    <n v="1807.3333333333333"/>
    <n v="52257.25"/>
    <n v="1741.9083333333333"/>
    <n v="3415"/>
    <n v="4658"/>
    <n v="54220"/>
    <n v="52257.25"/>
    <m/>
    <m/>
    <m/>
    <m/>
    <m/>
    <m/>
    <m/>
    <m/>
    <n v="0"/>
    <n v="0"/>
    <n v="0"/>
    <n v="0"/>
    <m/>
    <m/>
    <n v="0"/>
    <n v="0"/>
    <m/>
    <m/>
    <n v="0"/>
    <n v="0"/>
    <n v="0"/>
    <n v="0"/>
    <n v="0"/>
    <n v="0"/>
    <n v="0"/>
    <n v="0"/>
    <n v="0"/>
    <n v="0"/>
    <n v="1807.3333333333333"/>
    <n v="1741.9083333333333"/>
  </r>
  <r>
    <x v="11"/>
    <s v="University of South Carolina-Lancaster"/>
    <m/>
    <n v="218672"/>
    <x v="8"/>
    <s v="sem"/>
    <m/>
    <m/>
    <m/>
    <n v="15355"/>
    <n v="13966"/>
    <n v="1350"/>
    <n v="1638"/>
    <n v="17430"/>
    <n v="17510"/>
    <n v="34135"/>
    <n v="1137.8333333333333"/>
    <n v="33114"/>
    <n v="1103.8"/>
    <n v="3999"/>
    <m/>
    <n v="34135"/>
    <n v="0"/>
    <m/>
    <m/>
    <m/>
    <m/>
    <m/>
    <m/>
    <m/>
    <m/>
    <n v="0"/>
    <n v="0"/>
    <n v="0"/>
    <n v="0"/>
    <m/>
    <m/>
    <n v="0"/>
    <n v="0"/>
    <m/>
    <m/>
    <n v="0"/>
    <n v="0"/>
    <n v="0"/>
    <n v="0"/>
    <n v="0"/>
    <n v="0"/>
    <n v="0"/>
    <n v="0"/>
    <n v="0"/>
    <n v="0"/>
    <n v="1137.8333333333333"/>
    <n v="1103.8"/>
  </r>
  <r>
    <x v="11"/>
    <s v="University of South Carolina-Salkehatchie"/>
    <m/>
    <n v="218681"/>
    <x v="8"/>
    <s v="sem"/>
    <m/>
    <m/>
    <m/>
    <n v="10712"/>
    <n v="9445"/>
    <n v="389"/>
    <n v="380"/>
    <n v="11304"/>
    <n v="11179"/>
    <n v="22405"/>
    <n v="746.83333333333337"/>
    <n v="21004"/>
    <n v="700.13333333333333"/>
    <n v="1770"/>
    <m/>
    <n v="22405"/>
    <n v="0"/>
    <m/>
    <m/>
    <m/>
    <m/>
    <m/>
    <m/>
    <m/>
    <m/>
    <n v="0"/>
    <n v="0"/>
    <n v="0"/>
    <n v="0"/>
    <m/>
    <m/>
    <n v="0"/>
    <n v="0"/>
    <m/>
    <m/>
    <n v="0"/>
    <n v="0"/>
    <n v="0"/>
    <n v="0"/>
    <n v="0"/>
    <n v="0"/>
    <n v="0"/>
    <n v="0"/>
    <n v="0"/>
    <n v="0"/>
    <n v="746.83333333333337"/>
    <n v="700.13333333333333"/>
  </r>
  <r>
    <x v="11"/>
    <s v="University of South Carolina-Sumter"/>
    <m/>
    <n v="218690"/>
    <x v="8"/>
    <s v="sem"/>
    <m/>
    <m/>
    <m/>
    <n v="8986"/>
    <n v="9054"/>
    <n v="1029"/>
    <n v="1218"/>
    <n v="10284"/>
    <n v="9825"/>
    <n v="20299"/>
    <n v="676.63333333333333"/>
    <n v="20097"/>
    <n v="669.9"/>
    <n v="861"/>
    <m/>
    <n v="20299"/>
    <n v="0"/>
    <m/>
    <m/>
    <m/>
    <m/>
    <m/>
    <m/>
    <m/>
    <m/>
    <n v="0"/>
    <n v="0"/>
    <n v="0"/>
    <n v="0"/>
    <m/>
    <m/>
    <n v="0"/>
    <n v="0"/>
    <m/>
    <m/>
    <n v="0"/>
    <n v="0"/>
    <n v="0"/>
    <n v="0"/>
    <n v="0"/>
    <n v="0"/>
    <n v="0"/>
    <n v="0"/>
    <n v="0"/>
    <n v="0"/>
    <n v="676.63333333333333"/>
    <n v="669.9"/>
  </r>
  <r>
    <x v="11"/>
    <s v="University of South Carolina-Union"/>
    <m/>
    <n v="218706"/>
    <x v="8"/>
    <s v="sem"/>
    <m/>
    <m/>
    <m/>
    <n v="5648"/>
    <n v="5366"/>
    <n v="218"/>
    <n v="153"/>
    <n v="6200"/>
    <n v="5003"/>
    <n v="12066"/>
    <n v="402.2"/>
    <n v="10522"/>
    <n v="350.73333333333335"/>
    <n v="2397"/>
    <m/>
    <n v="12066"/>
    <n v="0"/>
    <m/>
    <m/>
    <m/>
    <m/>
    <m/>
    <m/>
    <m/>
    <m/>
    <n v="0"/>
    <n v="0"/>
    <n v="0"/>
    <n v="0"/>
    <m/>
    <m/>
    <n v="0"/>
    <n v="0"/>
    <m/>
    <m/>
    <n v="0"/>
    <n v="0"/>
    <n v="0"/>
    <n v="0"/>
    <n v="0"/>
    <n v="0"/>
    <n v="0"/>
    <n v="0"/>
    <n v="0"/>
    <n v="0"/>
    <n v="402.2"/>
    <n v="350.73333333333335"/>
  </r>
  <r>
    <x v="11"/>
    <s v="Willamsburg Technical College "/>
    <m/>
    <n v="218955"/>
    <x v="8"/>
    <s v="sem"/>
    <m/>
    <m/>
    <m/>
    <n v="6376"/>
    <n v="5733.1399999999994"/>
    <n v="2281"/>
    <n v="2722.52"/>
    <n v="6333"/>
    <n v="6093.0199999999995"/>
    <n v="14990"/>
    <n v="499.66666666666669"/>
    <n v="14548.68"/>
    <n v="484.95600000000002"/>
    <n v="474"/>
    <m/>
    <n v="14990"/>
    <n v="0"/>
    <m/>
    <m/>
    <m/>
    <m/>
    <m/>
    <m/>
    <m/>
    <m/>
    <n v="0"/>
    <n v="0"/>
    <n v="0"/>
    <n v="0"/>
    <m/>
    <m/>
    <n v="0"/>
    <n v="0"/>
    <m/>
    <m/>
    <n v="0"/>
    <n v="0"/>
    <n v="0"/>
    <m/>
    <n v="0"/>
    <n v="0"/>
    <n v="0"/>
    <n v="0"/>
    <n v="0"/>
    <n v="0"/>
    <n v="499.66666666666669"/>
    <n v="484.95600000000002"/>
  </r>
  <r>
    <x v="12"/>
    <s v="University of Memphis"/>
    <m/>
    <n v="220862"/>
    <x v="0"/>
    <s v="sem"/>
    <s v="sem"/>
    <m/>
    <m/>
    <n v="191419"/>
    <n v="192627"/>
    <n v="23420"/>
    <n v="24783"/>
    <n v="209005"/>
    <n v="203102"/>
    <n v="423844"/>
    <n v="14128.133333333333"/>
    <n v="420512"/>
    <n v="14017.066666666668"/>
    <m/>
    <n v="7128"/>
    <n v="0"/>
    <n v="420512"/>
    <m/>
    <m/>
    <m/>
    <m/>
    <m/>
    <m/>
    <m/>
    <m/>
    <n v="0"/>
    <n v="0"/>
    <n v="0"/>
    <n v="0"/>
    <m/>
    <m/>
    <n v="0"/>
    <n v="0"/>
    <m/>
    <m/>
    <n v="31755"/>
    <n v="29857"/>
    <n v="7193"/>
    <n v="6677"/>
    <n v="31439"/>
    <n v="30863"/>
    <n v="70387"/>
    <n v="2932.7916666666665"/>
    <n v="67397"/>
    <n v="2808.2083333333335"/>
    <n v="17060.924999999999"/>
    <n v="16825.275000000001"/>
  </r>
  <r>
    <x v="12"/>
    <s v="University of Tennessee, Knoxville"/>
    <m/>
    <n v="221759"/>
    <x v="0"/>
    <s v="sem"/>
    <s v="sem"/>
    <m/>
    <m/>
    <n v="268392"/>
    <n v="273543"/>
    <n v="31634"/>
    <n v="32679"/>
    <n v="292368"/>
    <n v="298997"/>
    <n v="592394"/>
    <n v="19746.466666666667"/>
    <n v="605219"/>
    <n v="20173.966666666667"/>
    <m/>
    <n v="108"/>
    <n v="0"/>
    <n v="605219"/>
    <m/>
    <m/>
    <m/>
    <m/>
    <m/>
    <m/>
    <m/>
    <m/>
    <n v="0"/>
    <n v="0"/>
    <n v="0"/>
    <n v="0"/>
    <m/>
    <m/>
    <n v="0"/>
    <n v="0"/>
    <m/>
    <m/>
    <n v="48526"/>
    <n v="46459"/>
    <n v="16307"/>
    <n v="16849"/>
    <n v="50478"/>
    <n v="51216"/>
    <n v="115311"/>
    <n v="4804.625"/>
    <n v="114524"/>
    <n v="4771.833333333333"/>
    <n v="24551.091666666667"/>
    <n v="24945.8"/>
  </r>
  <r>
    <x v="12"/>
    <s v="Tennessee State University "/>
    <m/>
    <n v="221838"/>
    <x v="1"/>
    <s v="sem"/>
    <s v="sem"/>
    <m/>
    <m/>
    <n v="81240"/>
    <n v="84198"/>
    <n v="12465"/>
    <n v="13081"/>
    <n v="92622"/>
    <n v="96959"/>
    <n v="186327"/>
    <n v="6210.9"/>
    <n v="194238"/>
    <n v="6474.6"/>
    <m/>
    <m/>
    <n v="0"/>
    <n v="0"/>
    <m/>
    <m/>
    <m/>
    <m/>
    <m/>
    <m/>
    <m/>
    <m/>
    <n v="0"/>
    <n v="0"/>
    <n v="0"/>
    <n v="0"/>
    <m/>
    <m/>
    <n v="0"/>
    <n v="0"/>
    <m/>
    <m/>
    <n v="14958"/>
    <n v="14252"/>
    <n v="5934"/>
    <n v="5814"/>
    <n v="14555"/>
    <n v="14102"/>
    <n v="35447"/>
    <n v="1476.9583333333333"/>
    <n v="34168"/>
    <n v="1423.6666666666667"/>
    <n v="7687.8583333333327"/>
    <n v="7898.2666666666673"/>
  </r>
  <r>
    <x v="12"/>
    <s v="Austin Peay State University "/>
    <m/>
    <n v="219602"/>
    <x v="2"/>
    <s v="sem"/>
    <s v="sem"/>
    <m/>
    <m/>
    <n v="109556"/>
    <n v="101310"/>
    <n v="13887"/>
    <n v="19062"/>
    <n v="115327"/>
    <n v="114466"/>
    <n v="238770"/>
    <n v="7959"/>
    <n v="234838"/>
    <n v="7827.9333333333334"/>
    <n v="2141"/>
    <n v="2464"/>
    <n v="238770"/>
    <n v="234838"/>
    <m/>
    <m/>
    <m/>
    <m/>
    <m/>
    <m/>
    <m/>
    <m/>
    <n v="0"/>
    <n v="0"/>
    <n v="0"/>
    <n v="0"/>
    <m/>
    <m/>
    <n v="0"/>
    <n v="0"/>
    <m/>
    <m/>
    <n v="6092"/>
    <n v="5924"/>
    <n v="2267"/>
    <n v="3007"/>
    <n v="6635"/>
    <n v="6589"/>
    <n v="14994"/>
    <n v="624.75"/>
    <n v="15520"/>
    <n v="646.66666666666663"/>
    <n v="8583.75"/>
    <n v="8474.6"/>
  </r>
  <r>
    <x v="12"/>
    <s v="East Tennessee State University "/>
    <s v="Reclassified: Met the criteria for Four-Year 2 in 2013-14, 2014-15, and 2015-16."/>
    <n v="220075"/>
    <x v="1"/>
    <s v="sem"/>
    <s v="sem"/>
    <m/>
    <m/>
    <n v="141466"/>
    <n v="139935"/>
    <n v="21176"/>
    <n v="21399"/>
    <n v="151600"/>
    <n v="151606"/>
    <n v="314242"/>
    <n v="10474.733333333334"/>
    <n v="312940"/>
    <n v="10431.333333333334"/>
    <n v="1950"/>
    <n v="1999"/>
    <n v="314242"/>
    <n v="312940"/>
    <m/>
    <m/>
    <m/>
    <m/>
    <m/>
    <m/>
    <m/>
    <m/>
    <n v="0"/>
    <n v="0"/>
    <n v="0"/>
    <n v="0"/>
    <m/>
    <m/>
    <n v="0"/>
    <n v="0"/>
    <m/>
    <m/>
    <n v="18292"/>
    <n v="18358"/>
    <n v="8161"/>
    <n v="8662"/>
    <n v="18914"/>
    <n v="19601"/>
    <n v="45367"/>
    <n v="1890.2916666666667"/>
    <n v="46621"/>
    <n v="1942.5416666666667"/>
    <n v="12365.025"/>
    <n v="12373.875"/>
  </r>
  <r>
    <x v="12"/>
    <s v="Middle Tennessee State University "/>
    <s v="Met the criteria for Four-Year 2 in 2015-16."/>
    <n v="220978"/>
    <x v="2"/>
    <s v="sem"/>
    <s v="sem"/>
    <m/>
    <m/>
    <n v="241239"/>
    <n v="238846"/>
    <n v="40504"/>
    <n v="38654"/>
    <n v="260590"/>
    <n v="255381"/>
    <n v="542333"/>
    <n v="18077.766666666666"/>
    <n v="532881"/>
    <n v="17762.7"/>
    <n v="1295"/>
    <n v="2604"/>
    <n v="542333"/>
    <n v="532881"/>
    <m/>
    <m/>
    <m/>
    <m/>
    <m/>
    <m/>
    <m/>
    <m/>
    <n v="0"/>
    <n v="0"/>
    <n v="0"/>
    <n v="0"/>
    <m/>
    <m/>
    <n v="0"/>
    <n v="0"/>
    <m/>
    <m/>
    <n v="17677"/>
    <n v="16255"/>
    <n v="8066"/>
    <n v="7934"/>
    <n v="16967"/>
    <n v="16040"/>
    <n v="42710"/>
    <n v="1779.5833333333333"/>
    <n v="40229"/>
    <n v="1676.2083333333333"/>
    <n v="19857.349999999999"/>
    <n v="19438.908333333333"/>
  </r>
  <r>
    <x v="12"/>
    <s v="Tennessee Technological University "/>
    <m/>
    <n v="221847"/>
    <x v="2"/>
    <s v="sem"/>
    <s v="sem"/>
    <m/>
    <m/>
    <n v="127995"/>
    <n v="128227"/>
    <n v="14996"/>
    <n v="15869"/>
    <n v="141017"/>
    <n v="134398"/>
    <n v="284008"/>
    <n v="9466.9333333333325"/>
    <n v="278494"/>
    <n v="9283.1333333333332"/>
    <n v="364"/>
    <n v="540"/>
    <n v="284008"/>
    <n v="278494"/>
    <m/>
    <m/>
    <m/>
    <m/>
    <m/>
    <m/>
    <m/>
    <m/>
    <n v="0"/>
    <n v="0"/>
    <n v="0"/>
    <n v="0"/>
    <m/>
    <m/>
    <n v="0"/>
    <n v="0"/>
    <m/>
    <m/>
    <n v="6963"/>
    <n v="6803"/>
    <n v="2775"/>
    <n v="3087"/>
    <n v="6985"/>
    <n v="7305"/>
    <n v="16723"/>
    <n v="696.79166666666663"/>
    <n v="17195"/>
    <n v="716.45833333333337"/>
    <n v="10163.724999999999"/>
    <n v="9999.5916666666672"/>
  </r>
  <r>
    <x v="12"/>
    <s v="University of Tennessee at Chattanooga"/>
    <m/>
    <n v="221740"/>
    <x v="2"/>
    <s v="sem"/>
    <s v="sem"/>
    <m/>
    <m/>
    <n v="124060"/>
    <n v="122831"/>
    <n v="18420"/>
    <n v="17827"/>
    <n v="136903"/>
    <n v="134957"/>
    <n v="279383"/>
    <n v="9312.7666666666664"/>
    <n v="275615"/>
    <n v="9187.1666666666661"/>
    <n v="120"/>
    <n v="128"/>
    <n v="279383"/>
    <n v="275615"/>
    <m/>
    <m/>
    <m/>
    <m/>
    <m/>
    <m/>
    <m/>
    <m/>
    <n v="0"/>
    <n v="0"/>
    <n v="0"/>
    <n v="0"/>
    <m/>
    <m/>
    <n v="0"/>
    <n v="0"/>
    <m/>
    <m/>
    <n v="10064"/>
    <n v="10023"/>
    <n v="5014"/>
    <n v="4847"/>
    <n v="10828"/>
    <n v="10665"/>
    <n v="25906"/>
    <n v="1079.4166666666667"/>
    <n v="25535"/>
    <n v="1063.9583333333333"/>
    <n v="10392.183333333332"/>
    <n v="10251.125"/>
  </r>
  <r>
    <x v="12"/>
    <s v="University of Tennessee at Martin"/>
    <m/>
    <n v="221768"/>
    <x v="4"/>
    <s v="sem"/>
    <s v="sem"/>
    <m/>
    <m/>
    <n v="86480"/>
    <n v="83116"/>
    <n v="12133"/>
    <n v="10779"/>
    <n v="91424"/>
    <n v="86953"/>
    <n v="190037"/>
    <n v="6334.5666666666666"/>
    <n v="180848"/>
    <n v="6028.2666666666664"/>
    <n v="2316"/>
    <n v="2288"/>
    <n v="190037"/>
    <n v="180848"/>
    <m/>
    <m/>
    <m/>
    <m/>
    <m/>
    <m/>
    <m/>
    <m/>
    <n v="0"/>
    <n v="0"/>
    <n v="0"/>
    <n v="0"/>
    <m/>
    <m/>
    <n v="0"/>
    <n v="0"/>
    <m/>
    <m/>
    <n v="2175"/>
    <n v="2024"/>
    <n v="1576"/>
    <n v="1582"/>
    <n v="2135"/>
    <n v="2307"/>
    <n v="5886"/>
    <n v="245.25"/>
    <n v="5913"/>
    <n v="246.375"/>
    <n v="6579.8166666666666"/>
    <n v="6274.6416666666664"/>
  </r>
  <r>
    <x v="12"/>
    <s v="Chattanooga State Technical Community College "/>
    <m/>
    <n v="219824"/>
    <x v="7"/>
    <s v="sem"/>
    <s v="sem"/>
    <m/>
    <m/>
    <n v="83019"/>
    <n v="79447"/>
    <n v="14298"/>
    <n v="15908"/>
    <n v="88509"/>
    <n v="92845"/>
    <n v="185826"/>
    <n v="6194.2"/>
    <n v="188200"/>
    <n v="6273.333333333333"/>
    <n v="13787"/>
    <n v="13905"/>
    <n v="185826"/>
    <n v="188200"/>
    <m/>
    <m/>
    <m/>
    <m/>
    <m/>
    <m/>
    <m/>
    <m/>
    <n v="0"/>
    <n v="0"/>
    <n v="0"/>
    <n v="0"/>
    <m/>
    <m/>
    <n v="0"/>
    <n v="0"/>
    <m/>
    <m/>
    <m/>
    <m/>
    <m/>
    <m/>
    <m/>
    <m/>
    <n v="0"/>
    <n v="0"/>
    <n v="0"/>
    <n v="0"/>
    <n v="6194.2"/>
    <n v="6273.333333333333"/>
  </r>
  <r>
    <x v="12"/>
    <s v="Nashville State Technical Community College"/>
    <m/>
    <n v="221184"/>
    <x v="7"/>
    <s v="sem"/>
    <s v="sem"/>
    <m/>
    <m/>
    <n v="84021"/>
    <n v="86836"/>
    <n v="19352"/>
    <n v="18103"/>
    <n v="87106"/>
    <n v="94077"/>
    <n v="190479"/>
    <n v="6349.3"/>
    <n v="199016"/>
    <n v="6633.8666666666668"/>
    <n v="8193"/>
    <n v="9553"/>
    <n v="190479"/>
    <n v="199016"/>
    <m/>
    <m/>
    <m/>
    <m/>
    <m/>
    <m/>
    <m/>
    <m/>
    <n v="0"/>
    <n v="0"/>
    <n v="0"/>
    <n v="0"/>
    <m/>
    <m/>
    <n v="0"/>
    <n v="0"/>
    <m/>
    <m/>
    <m/>
    <m/>
    <m/>
    <m/>
    <m/>
    <m/>
    <n v="0"/>
    <n v="0"/>
    <n v="0"/>
    <n v="0"/>
    <n v="6349.3"/>
    <n v="6633.8666666666668"/>
  </r>
  <r>
    <x v="12"/>
    <s v="Pellissippi State Technical Community College"/>
    <m/>
    <n v="221643"/>
    <x v="7"/>
    <s v="sem"/>
    <s v="sem"/>
    <m/>
    <m/>
    <n v="92968"/>
    <n v="89377"/>
    <n v="19300"/>
    <n v="18073"/>
    <n v="99656"/>
    <n v="101324"/>
    <n v="211924"/>
    <n v="7064.1333333333332"/>
    <n v="208774"/>
    <n v="6959.1333333333332"/>
    <n v="9087"/>
    <n v="9438"/>
    <n v="211924"/>
    <n v="208774"/>
    <m/>
    <m/>
    <m/>
    <m/>
    <m/>
    <m/>
    <m/>
    <m/>
    <n v="0"/>
    <n v="0"/>
    <n v="0"/>
    <n v="0"/>
    <m/>
    <m/>
    <n v="0"/>
    <n v="0"/>
    <m/>
    <m/>
    <m/>
    <m/>
    <m/>
    <m/>
    <m/>
    <m/>
    <n v="0"/>
    <n v="0"/>
    <n v="0"/>
    <n v="0"/>
    <n v="7064.1333333333332"/>
    <n v="6959.1333333333332"/>
  </r>
  <r>
    <x v="12"/>
    <s v="Southwest Tennessee Community College"/>
    <m/>
    <n v="221485"/>
    <x v="7"/>
    <s v="sem"/>
    <s v="sem"/>
    <m/>
    <m/>
    <n v="88247"/>
    <n v="83787"/>
    <n v="23886"/>
    <n v="20364"/>
    <n v="95321"/>
    <n v="92531"/>
    <n v="207454"/>
    <n v="6915.1333333333332"/>
    <n v="196682"/>
    <n v="6556.0666666666666"/>
    <n v="2599"/>
    <n v="3609"/>
    <n v="207454"/>
    <n v="196682"/>
    <m/>
    <m/>
    <m/>
    <m/>
    <m/>
    <m/>
    <m/>
    <m/>
    <n v="0"/>
    <n v="0"/>
    <n v="0"/>
    <n v="0"/>
    <m/>
    <m/>
    <n v="0"/>
    <n v="0"/>
    <m/>
    <m/>
    <m/>
    <m/>
    <m/>
    <m/>
    <m/>
    <m/>
    <n v="0"/>
    <n v="0"/>
    <n v="0"/>
    <n v="0"/>
    <n v="6915.1333333333332"/>
    <n v="6556.0666666666666"/>
  </r>
  <r>
    <x v="12"/>
    <s v="Volunteer State Community College "/>
    <m/>
    <n v="222053"/>
    <x v="7"/>
    <s v="sem"/>
    <s v="sem"/>
    <m/>
    <m/>
    <n v="65794"/>
    <n v="63344"/>
    <n v="15850"/>
    <n v="13654"/>
    <n v="71204"/>
    <n v="81089"/>
    <n v="152848"/>
    <n v="5094.9333333333334"/>
    <n v="158087"/>
    <n v="5269.5666666666666"/>
    <n v="13620"/>
    <n v="13767"/>
    <n v="152848"/>
    <n v="158087"/>
    <m/>
    <m/>
    <m/>
    <m/>
    <m/>
    <m/>
    <m/>
    <m/>
    <n v="0"/>
    <n v="0"/>
    <n v="0"/>
    <n v="0"/>
    <m/>
    <m/>
    <n v="0"/>
    <n v="0"/>
    <m/>
    <m/>
    <m/>
    <m/>
    <m/>
    <m/>
    <m/>
    <m/>
    <n v="0"/>
    <n v="0"/>
    <n v="0"/>
    <n v="0"/>
    <n v="5094.9333333333334"/>
    <n v="5269.5666666666666"/>
  </r>
  <r>
    <x v="12"/>
    <s v="Cleveland State Community College "/>
    <m/>
    <n v="219879"/>
    <x v="6"/>
    <s v="sem"/>
    <s v="sem"/>
    <m/>
    <m/>
    <n v="31147"/>
    <n v="29911"/>
    <n v="4346"/>
    <n v="4294"/>
    <n v="34733"/>
    <n v="36188"/>
    <n v="70226"/>
    <n v="2340.8666666666668"/>
    <n v="70393"/>
    <n v="2346.4333333333334"/>
    <n v="5795"/>
    <n v="7066"/>
    <n v="70226"/>
    <n v="70393"/>
    <m/>
    <m/>
    <m/>
    <m/>
    <m/>
    <m/>
    <m/>
    <m/>
    <n v="0"/>
    <n v="0"/>
    <n v="0"/>
    <n v="0"/>
    <m/>
    <m/>
    <n v="0"/>
    <n v="0"/>
    <m/>
    <m/>
    <m/>
    <m/>
    <m/>
    <m/>
    <m/>
    <m/>
    <n v="0"/>
    <n v="0"/>
    <n v="0"/>
    <n v="0"/>
    <n v="2340.8666666666668"/>
    <n v="2346.4333333333334"/>
  </r>
  <r>
    <x v="12"/>
    <s v="Columbia State Community College "/>
    <m/>
    <n v="219888"/>
    <x v="6"/>
    <s v="sem"/>
    <s v="sem"/>
    <m/>
    <m/>
    <n v="44774"/>
    <n v="43166"/>
    <n v="9362"/>
    <n v="7964"/>
    <n v="48949"/>
    <n v="54512"/>
    <n v="103085"/>
    <n v="3436.1666666666665"/>
    <n v="105642"/>
    <n v="3521.4"/>
    <n v="6710"/>
    <n v="6980"/>
    <n v="103085"/>
    <n v="105642"/>
    <m/>
    <m/>
    <m/>
    <m/>
    <m/>
    <m/>
    <m/>
    <m/>
    <n v="0"/>
    <n v="0"/>
    <n v="0"/>
    <n v="0"/>
    <m/>
    <m/>
    <n v="0"/>
    <n v="0"/>
    <m/>
    <m/>
    <m/>
    <m/>
    <m/>
    <m/>
    <m/>
    <m/>
    <n v="0"/>
    <n v="0"/>
    <n v="0"/>
    <n v="0"/>
    <n v="3436.1666666666665"/>
    <n v="3521.4"/>
  </r>
  <r>
    <x v="12"/>
    <s v="Dyersburg State Community College "/>
    <s v="Met the criteria for Two-Year 3 in 2014-15 and 2015-16."/>
    <n v="220057"/>
    <x v="6"/>
    <s v="sem"/>
    <s v="sem"/>
    <m/>
    <m/>
    <n v="24505"/>
    <n v="21837"/>
    <n v="2950"/>
    <n v="2539"/>
    <n v="25169"/>
    <n v="25353"/>
    <n v="52624"/>
    <n v="1754.1333333333334"/>
    <n v="49729"/>
    <n v="1657.6333333333334"/>
    <n v="7310"/>
    <n v="7262"/>
    <n v="52624"/>
    <n v="49729"/>
    <m/>
    <m/>
    <m/>
    <m/>
    <m/>
    <m/>
    <m/>
    <m/>
    <n v="0"/>
    <n v="0"/>
    <n v="0"/>
    <n v="0"/>
    <m/>
    <m/>
    <n v="0"/>
    <n v="0"/>
    <m/>
    <m/>
    <m/>
    <m/>
    <m/>
    <m/>
    <m/>
    <m/>
    <n v="0"/>
    <n v="0"/>
    <n v="0"/>
    <n v="0"/>
    <n v="1754.1333333333334"/>
    <n v="1657.6333333333334"/>
  </r>
  <r>
    <x v="12"/>
    <s v="Jackson State Community College "/>
    <m/>
    <n v="220400"/>
    <x v="6"/>
    <s v="sem"/>
    <s v="sem"/>
    <m/>
    <m/>
    <n v="36310"/>
    <n v="37729"/>
    <n v="6771"/>
    <n v="6240"/>
    <n v="42382"/>
    <n v="43604"/>
    <n v="85463"/>
    <n v="2848.7666666666669"/>
    <n v="87573"/>
    <n v="2919.1"/>
    <n v="11036"/>
    <n v="13486"/>
    <n v="85463"/>
    <n v="87573"/>
    <m/>
    <m/>
    <m/>
    <m/>
    <m/>
    <m/>
    <m/>
    <m/>
    <n v="0"/>
    <n v="0"/>
    <n v="0"/>
    <n v="0"/>
    <m/>
    <m/>
    <n v="0"/>
    <n v="0"/>
    <m/>
    <m/>
    <m/>
    <m/>
    <m/>
    <m/>
    <m/>
    <m/>
    <n v="0"/>
    <n v="0"/>
    <n v="0"/>
    <n v="0"/>
    <n v="2848.7666666666669"/>
    <n v="2919.1"/>
  </r>
  <r>
    <x v="12"/>
    <s v="Motlow State Community College "/>
    <m/>
    <n v="221096"/>
    <x v="6"/>
    <s v="sem"/>
    <s v="sem"/>
    <m/>
    <m/>
    <n v="38941"/>
    <n v="39996"/>
    <n v="7643"/>
    <n v="7103"/>
    <n v="44764"/>
    <n v="54809"/>
    <n v="91348"/>
    <n v="3044.9333333333334"/>
    <n v="101908"/>
    <n v="3396.9333333333334"/>
    <n v="7905"/>
    <n v="6777"/>
    <n v="91348"/>
    <n v="101908"/>
    <m/>
    <m/>
    <m/>
    <m/>
    <m/>
    <m/>
    <m/>
    <m/>
    <n v="0"/>
    <n v="0"/>
    <n v="0"/>
    <n v="0"/>
    <m/>
    <m/>
    <n v="0"/>
    <n v="0"/>
    <m/>
    <m/>
    <m/>
    <m/>
    <m/>
    <m/>
    <m/>
    <m/>
    <n v="0"/>
    <n v="0"/>
    <n v="0"/>
    <n v="0"/>
    <n v="3044.9333333333334"/>
    <n v="3396.9333333333334"/>
  </r>
  <r>
    <x v="12"/>
    <s v="Northeast State Technical Community College"/>
    <m/>
    <n v="221908"/>
    <x v="6"/>
    <s v="sem"/>
    <s v="sem"/>
    <m/>
    <m/>
    <n v="51856"/>
    <n v="51666"/>
    <n v="8047"/>
    <n v="7290"/>
    <n v="58320"/>
    <n v="63229"/>
    <n v="118223"/>
    <n v="3940.7666666666669"/>
    <n v="122185"/>
    <n v="4072.8333333333335"/>
    <n v="7213"/>
    <n v="7262"/>
    <n v="118223"/>
    <n v="122185"/>
    <m/>
    <m/>
    <m/>
    <m/>
    <m/>
    <m/>
    <m/>
    <m/>
    <n v="0"/>
    <n v="0"/>
    <n v="0"/>
    <n v="0"/>
    <m/>
    <m/>
    <n v="0"/>
    <n v="0"/>
    <m/>
    <m/>
    <m/>
    <m/>
    <m/>
    <m/>
    <m/>
    <m/>
    <n v="0"/>
    <n v="0"/>
    <n v="0"/>
    <n v="0"/>
    <n v="3940.7666666666669"/>
    <n v="4072.8333333333335"/>
  </r>
  <r>
    <x v="12"/>
    <s v="Roane State Community College "/>
    <m/>
    <n v="221397"/>
    <x v="6"/>
    <s v="sem"/>
    <s v="sem"/>
    <m/>
    <m/>
    <n v="52645"/>
    <n v="50149"/>
    <n v="7552"/>
    <n v="6787"/>
    <n v="56648"/>
    <n v="58360"/>
    <n v="116845"/>
    <n v="3894.8333333333335"/>
    <n v="115296"/>
    <n v="3843.2"/>
    <n v="10042"/>
    <n v="11131"/>
    <n v="116845"/>
    <n v="115296"/>
    <m/>
    <m/>
    <m/>
    <m/>
    <m/>
    <m/>
    <m/>
    <m/>
    <n v="0"/>
    <n v="0"/>
    <n v="0"/>
    <n v="0"/>
    <m/>
    <m/>
    <n v="0"/>
    <n v="0"/>
    <m/>
    <m/>
    <m/>
    <m/>
    <m/>
    <m/>
    <m/>
    <m/>
    <n v="0"/>
    <n v="0"/>
    <n v="0"/>
    <n v="0"/>
    <n v="3894.8333333333335"/>
    <n v="3843.2"/>
  </r>
  <r>
    <x v="12"/>
    <s v="Walters State Community College "/>
    <m/>
    <n v="222062"/>
    <x v="6"/>
    <s v="sem"/>
    <s v="sem"/>
    <m/>
    <m/>
    <n v="53724"/>
    <n v="51572"/>
    <n v="6051"/>
    <n v="6286"/>
    <n v="60115"/>
    <n v="61114"/>
    <n v="119890"/>
    <n v="3996.3333333333335"/>
    <n v="118972"/>
    <n v="3965.7333333333331"/>
    <n v="11453"/>
    <n v="11616"/>
    <n v="119890"/>
    <n v="118972"/>
    <m/>
    <m/>
    <m/>
    <m/>
    <m/>
    <m/>
    <m/>
    <m/>
    <n v="0"/>
    <n v="0"/>
    <n v="0"/>
    <n v="0"/>
    <m/>
    <m/>
    <n v="0"/>
    <n v="0"/>
    <m/>
    <m/>
    <m/>
    <m/>
    <m/>
    <m/>
    <m/>
    <m/>
    <n v="0"/>
    <n v="0"/>
    <n v="0"/>
    <n v="0"/>
    <n v="3996.3333333333335"/>
    <n v="3965.7333333333331"/>
  </r>
  <r>
    <x v="12"/>
    <s v="Tennessee College of Applied Technology at Chattanooga"/>
    <m/>
    <s v="219824B"/>
    <x v="9"/>
    <s v="sem"/>
    <s v="sem"/>
    <m/>
    <m/>
    <m/>
    <m/>
    <m/>
    <m/>
    <m/>
    <m/>
    <n v="0"/>
    <n v="0"/>
    <n v="0"/>
    <n v="0"/>
    <m/>
    <m/>
    <n v="0"/>
    <n v="0"/>
    <m/>
    <m/>
    <n v="348514"/>
    <n v="319892"/>
    <n v="230817"/>
    <n v="210880"/>
    <n v="339531"/>
    <n v="372862"/>
    <n v="918862"/>
    <n v="1020.9577777777778"/>
    <n v="903634"/>
    <n v="1004.0377777777778"/>
    <m/>
    <m/>
    <n v="0"/>
    <n v="0"/>
    <m/>
    <m/>
    <m/>
    <m/>
    <m/>
    <m/>
    <m/>
    <m/>
    <n v="0"/>
    <n v="0"/>
    <n v="0"/>
    <n v="0"/>
    <n v="1020.9577777777778"/>
    <n v="1004.0377777777778"/>
  </r>
  <r>
    <x v="12"/>
    <s v="Tennessee College of Applied Technology at Athens"/>
    <m/>
    <n v="219596"/>
    <x v="10"/>
    <s v="sem"/>
    <s v="sem"/>
    <m/>
    <m/>
    <m/>
    <m/>
    <m/>
    <m/>
    <m/>
    <m/>
    <n v="0"/>
    <n v="0"/>
    <n v="0"/>
    <n v="0"/>
    <m/>
    <m/>
    <n v="0"/>
    <n v="0"/>
    <m/>
    <m/>
    <n v="76579"/>
    <n v="78992"/>
    <n v="70468"/>
    <n v="71840"/>
    <n v="88839"/>
    <n v="95749"/>
    <n v="235886"/>
    <n v="262.09555555555556"/>
    <n v="246581"/>
    <n v="273.97888888888889"/>
    <m/>
    <m/>
    <n v="0"/>
    <n v="0"/>
    <m/>
    <m/>
    <m/>
    <m/>
    <m/>
    <m/>
    <m/>
    <m/>
    <n v="0"/>
    <n v="0"/>
    <n v="0"/>
    <n v="0"/>
    <n v="262.09555555555556"/>
    <n v="273.97888888888889"/>
  </r>
  <r>
    <x v="12"/>
    <s v="Tennessee College of Applied Technology at Covington"/>
    <m/>
    <n v="219921"/>
    <x v="10"/>
    <s v="sem"/>
    <s v="sem"/>
    <m/>
    <m/>
    <m/>
    <m/>
    <m/>
    <m/>
    <m/>
    <m/>
    <n v="0"/>
    <n v="0"/>
    <n v="0"/>
    <n v="0"/>
    <m/>
    <m/>
    <n v="0"/>
    <n v="0"/>
    <m/>
    <m/>
    <n v="56756"/>
    <n v="60186"/>
    <n v="50268"/>
    <n v="56544"/>
    <n v="64259"/>
    <n v="70259"/>
    <n v="171283"/>
    <n v="190.31444444444443"/>
    <n v="186989"/>
    <n v="207.76555555555555"/>
    <m/>
    <m/>
    <n v="0"/>
    <n v="0"/>
    <m/>
    <m/>
    <m/>
    <m/>
    <m/>
    <m/>
    <m/>
    <m/>
    <n v="0"/>
    <n v="0"/>
    <n v="0"/>
    <n v="0"/>
    <n v="190.31444444444443"/>
    <n v="207.76555555555555"/>
  </r>
  <r>
    <x v="12"/>
    <s v="Tennessee College of Applied Technology at Crossville"/>
    <m/>
    <n v="221591"/>
    <x v="10"/>
    <s v="sem"/>
    <s v="sem"/>
    <m/>
    <m/>
    <m/>
    <m/>
    <m/>
    <m/>
    <m/>
    <m/>
    <n v="0"/>
    <n v="0"/>
    <n v="0"/>
    <n v="0"/>
    <m/>
    <m/>
    <n v="0"/>
    <n v="0"/>
    <m/>
    <m/>
    <n v="106511"/>
    <n v="109441"/>
    <n v="103121"/>
    <n v="98774"/>
    <n v="106442"/>
    <n v="129933"/>
    <n v="316074"/>
    <n v="351.19333333333333"/>
    <n v="338148"/>
    <n v="375.72"/>
    <m/>
    <m/>
    <n v="0"/>
    <n v="0"/>
    <m/>
    <m/>
    <m/>
    <m/>
    <m/>
    <m/>
    <m/>
    <m/>
    <n v="0"/>
    <n v="0"/>
    <n v="0"/>
    <n v="0"/>
    <n v="351.19333333333333"/>
    <n v="375.72"/>
  </r>
  <r>
    <x v="12"/>
    <s v="Tennessee College of Applied Technology at Crump"/>
    <m/>
    <n v="221430"/>
    <x v="10"/>
    <s v="sem"/>
    <s v="sem"/>
    <m/>
    <m/>
    <m/>
    <m/>
    <m/>
    <m/>
    <m/>
    <m/>
    <n v="0"/>
    <n v="0"/>
    <n v="0"/>
    <n v="0"/>
    <m/>
    <m/>
    <n v="0"/>
    <n v="0"/>
    <m/>
    <m/>
    <n v="69532"/>
    <n v="70765"/>
    <n v="61114"/>
    <n v="51983"/>
    <n v="78187"/>
    <n v="78836"/>
    <n v="208833"/>
    <n v="232.03666666666666"/>
    <n v="201584"/>
    <n v="223.98222222222222"/>
    <m/>
    <m/>
    <n v="0"/>
    <n v="0"/>
    <m/>
    <m/>
    <m/>
    <m/>
    <m/>
    <m/>
    <m/>
    <m/>
    <n v="0"/>
    <n v="0"/>
    <n v="0"/>
    <n v="0"/>
    <n v="232.03666666666666"/>
    <n v="223.98222222222222"/>
  </r>
  <r>
    <x v="12"/>
    <s v="Tennessee College of Applied Technology at Dickson"/>
    <m/>
    <n v="219994"/>
    <x v="10"/>
    <s v="sem"/>
    <s v="sem"/>
    <m/>
    <m/>
    <m/>
    <m/>
    <m/>
    <m/>
    <m/>
    <m/>
    <n v="0"/>
    <n v="0"/>
    <n v="0"/>
    <n v="0"/>
    <m/>
    <m/>
    <n v="0"/>
    <n v="0"/>
    <m/>
    <m/>
    <n v="168449"/>
    <n v="151165"/>
    <n v="156865"/>
    <n v="148972"/>
    <n v="162378"/>
    <n v="188440"/>
    <n v="487692"/>
    <n v="541.88"/>
    <n v="488577"/>
    <n v="542.86333333333334"/>
    <m/>
    <m/>
    <n v="0"/>
    <n v="0"/>
    <m/>
    <m/>
    <m/>
    <m/>
    <m/>
    <m/>
    <m/>
    <m/>
    <n v="0"/>
    <n v="0"/>
    <n v="0"/>
    <n v="0"/>
    <n v="541.88"/>
    <n v="542.86333333333334"/>
  </r>
  <r>
    <x v="12"/>
    <s v="Tennessee College of Applied Technology at Elizabethton"/>
    <m/>
    <n v="220127"/>
    <x v="10"/>
    <s v="sem"/>
    <s v="sem"/>
    <m/>
    <m/>
    <m/>
    <m/>
    <m/>
    <m/>
    <m/>
    <m/>
    <n v="0"/>
    <n v="0"/>
    <n v="0"/>
    <n v="0"/>
    <m/>
    <m/>
    <n v="0"/>
    <n v="0"/>
    <m/>
    <m/>
    <n v="158989"/>
    <n v="151376"/>
    <n v="143524"/>
    <n v="140568"/>
    <n v="161301"/>
    <n v="175705"/>
    <n v="463814"/>
    <n v="515.34888888888884"/>
    <n v="467649"/>
    <n v="519.61"/>
    <m/>
    <m/>
    <n v="0"/>
    <n v="0"/>
    <m/>
    <m/>
    <m/>
    <m/>
    <m/>
    <m/>
    <m/>
    <m/>
    <n v="0"/>
    <n v="0"/>
    <n v="0"/>
    <n v="0"/>
    <n v="515.34888888888884"/>
    <n v="519.61"/>
  </r>
  <r>
    <x v="12"/>
    <s v="Tennessee College of Applied Technology at Harriman"/>
    <m/>
    <n v="220251"/>
    <x v="10"/>
    <s v="sem"/>
    <s v="sem"/>
    <m/>
    <m/>
    <m/>
    <m/>
    <m/>
    <m/>
    <m/>
    <m/>
    <n v="0"/>
    <n v="0"/>
    <n v="0"/>
    <n v="0"/>
    <m/>
    <m/>
    <n v="0"/>
    <n v="0"/>
    <m/>
    <m/>
    <n v="68973"/>
    <n v="76476"/>
    <n v="76642"/>
    <n v="68715"/>
    <n v="81816"/>
    <n v="81445"/>
    <n v="227431"/>
    <n v="252.70111111111112"/>
    <n v="226636"/>
    <n v="251.81777777777779"/>
    <m/>
    <m/>
    <n v="0"/>
    <n v="0"/>
    <m/>
    <m/>
    <m/>
    <m/>
    <m/>
    <m/>
    <m/>
    <m/>
    <n v="0"/>
    <n v="0"/>
    <n v="0"/>
    <n v="0"/>
    <n v="252.70111111111112"/>
    <n v="251.81777777777779"/>
  </r>
  <r>
    <x v="12"/>
    <s v="Tennessee College of Applied Technology at Hartsville"/>
    <m/>
    <n v="220279"/>
    <x v="10"/>
    <s v="sem"/>
    <s v="sem"/>
    <m/>
    <m/>
    <m/>
    <m/>
    <m/>
    <m/>
    <m/>
    <m/>
    <n v="0"/>
    <n v="0"/>
    <n v="0"/>
    <n v="0"/>
    <m/>
    <m/>
    <n v="0"/>
    <n v="0"/>
    <m/>
    <m/>
    <n v="108512"/>
    <n v="110276"/>
    <n v="64737"/>
    <n v="70558"/>
    <n v="130340"/>
    <n v="137194"/>
    <n v="303589"/>
    <n v="337.32111111111112"/>
    <n v="318028"/>
    <n v="353.36444444444442"/>
    <m/>
    <m/>
    <n v="0"/>
    <n v="0"/>
    <m/>
    <m/>
    <m/>
    <m/>
    <m/>
    <m/>
    <m/>
    <m/>
    <n v="0"/>
    <n v="0"/>
    <n v="0"/>
    <n v="0"/>
    <n v="337.32111111111112"/>
    <n v="353.36444444444442"/>
  </r>
  <r>
    <x v="12"/>
    <s v="Tennessee College of Applied Technology at Hohenwald"/>
    <m/>
    <n v="220321"/>
    <x v="10"/>
    <s v="sem"/>
    <s v="sem"/>
    <m/>
    <m/>
    <m/>
    <m/>
    <m/>
    <m/>
    <m/>
    <m/>
    <n v="0"/>
    <n v="0"/>
    <n v="0"/>
    <n v="0"/>
    <m/>
    <m/>
    <n v="0"/>
    <n v="0"/>
    <m/>
    <m/>
    <n v="112509"/>
    <n v="104746"/>
    <n v="97226"/>
    <n v="87638"/>
    <n v="103543"/>
    <n v="135286"/>
    <n v="313278"/>
    <n v="348.08666666666664"/>
    <n v="327670"/>
    <n v="364.07777777777778"/>
    <m/>
    <m/>
    <n v="0"/>
    <n v="0"/>
    <m/>
    <m/>
    <m/>
    <m/>
    <m/>
    <m/>
    <m/>
    <m/>
    <n v="0"/>
    <n v="0"/>
    <n v="0"/>
    <n v="0"/>
    <n v="348.08666666666664"/>
    <n v="364.07777777777778"/>
  </r>
  <r>
    <x v="12"/>
    <s v="Tennessee College of Applied Technology at Jacksboro"/>
    <m/>
    <n v="220394"/>
    <x v="10"/>
    <s v="sem"/>
    <s v="sem"/>
    <m/>
    <m/>
    <m/>
    <m/>
    <m/>
    <m/>
    <m/>
    <m/>
    <n v="0"/>
    <n v="0"/>
    <n v="0"/>
    <n v="0"/>
    <m/>
    <m/>
    <n v="0"/>
    <n v="0"/>
    <m/>
    <m/>
    <n v="58471"/>
    <n v="57066"/>
    <n v="48123"/>
    <n v="47306"/>
    <n v="69881"/>
    <n v="71740"/>
    <n v="176475"/>
    <n v="196.08333333333334"/>
    <n v="176112"/>
    <n v="195.68"/>
    <m/>
    <m/>
    <n v="0"/>
    <n v="0"/>
    <m/>
    <m/>
    <m/>
    <m/>
    <m/>
    <m/>
    <m/>
    <m/>
    <n v="0"/>
    <n v="0"/>
    <n v="0"/>
    <n v="0"/>
    <n v="196.08333333333334"/>
    <n v="195.68"/>
  </r>
  <r>
    <x v="12"/>
    <s v="Tennessee College of Applied Technology at Jackson"/>
    <m/>
    <n v="221616"/>
    <x v="10"/>
    <s v="sem"/>
    <s v="sem"/>
    <m/>
    <m/>
    <m/>
    <m/>
    <m/>
    <m/>
    <m/>
    <m/>
    <n v="0"/>
    <n v="0"/>
    <n v="0"/>
    <n v="0"/>
    <m/>
    <m/>
    <n v="0"/>
    <n v="0"/>
    <m/>
    <m/>
    <n v="146131"/>
    <n v="155750"/>
    <n v="132581"/>
    <n v="129947"/>
    <n v="159217"/>
    <n v="181558"/>
    <n v="437929"/>
    <n v="486.58777777777777"/>
    <n v="467255"/>
    <n v="519.17222222222222"/>
    <m/>
    <m/>
    <n v="0"/>
    <n v="0"/>
    <m/>
    <m/>
    <m/>
    <m/>
    <m/>
    <m/>
    <m/>
    <m/>
    <n v="0"/>
    <n v="0"/>
    <n v="0"/>
    <n v="0"/>
    <n v="486.58777777777777"/>
    <n v="519.17222222222222"/>
  </r>
  <r>
    <x v="12"/>
    <s v="Tennessee College of Applied Technology at Knoxville"/>
    <m/>
    <n v="221625"/>
    <x v="10"/>
    <s v="sem"/>
    <s v="sem"/>
    <m/>
    <m/>
    <m/>
    <m/>
    <m/>
    <m/>
    <m/>
    <m/>
    <n v="0"/>
    <n v="0"/>
    <n v="0"/>
    <n v="0"/>
    <m/>
    <m/>
    <n v="0"/>
    <n v="0"/>
    <m/>
    <m/>
    <n v="210784"/>
    <n v="224808"/>
    <n v="201291"/>
    <n v="210725"/>
    <n v="234435"/>
    <n v="293384"/>
    <n v="646510"/>
    <n v="718.34444444444443"/>
    <n v="728917"/>
    <n v="809.90777777777782"/>
    <m/>
    <m/>
    <n v="0"/>
    <n v="0"/>
    <m/>
    <m/>
    <m/>
    <m/>
    <m/>
    <m/>
    <m/>
    <m/>
    <n v="0"/>
    <n v="0"/>
    <n v="0"/>
    <n v="0"/>
    <n v="718.34444444444443"/>
    <n v="809.90777777777782"/>
  </r>
  <r>
    <x v="12"/>
    <s v="Tennessee College of Applied Technology at Livingston"/>
    <m/>
    <n v="220640"/>
    <x v="10"/>
    <s v="sem"/>
    <s v="sem"/>
    <m/>
    <m/>
    <m/>
    <m/>
    <m/>
    <m/>
    <m/>
    <m/>
    <n v="0"/>
    <n v="0"/>
    <n v="0"/>
    <n v="0"/>
    <m/>
    <m/>
    <n v="0"/>
    <n v="0"/>
    <m/>
    <m/>
    <n v="124374"/>
    <n v="126461"/>
    <n v="95396"/>
    <n v="86416"/>
    <n v="157472"/>
    <n v="179234"/>
    <n v="377242"/>
    <n v="419.15777777777777"/>
    <n v="392111"/>
    <n v="435.67888888888888"/>
    <m/>
    <m/>
    <n v="0"/>
    <n v="0"/>
    <m/>
    <m/>
    <m/>
    <m/>
    <m/>
    <m/>
    <m/>
    <m/>
    <n v="0"/>
    <n v="0"/>
    <n v="0"/>
    <n v="0"/>
    <n v="419.15777777777777"/>
    <n v="435.67888888888888"/>
  </r>
  <r>
    <x v="12"/>
    <s v="Tennessee College of Applied Technology at McKenzie"/>
    <m/>
    <n v="220756"/>
    <x v="10"/>
    <s v="sem"/>
    <s v="sem"/>
    <m/>
    <m/>
    <m/>
    <m/>
    <m/>
    <m/>
    <m/>
    <m/>
    <n v="0"/>
    <n v="0"/>
    <n v="0"/>
    <n v="0"/>
    <m/>
    <m/>
    <n v="0"/>
    <n v="0"/>
    <m/>
    <m/>
    <n v="59439"/>
    <n v="56804"/>
    <n v="49022"/>
    <n v="49677"/>
    <n v="56396"/>
    <n v="68224"/>
    <n v="164857"/>
    <n v="183.17444444444445"/>
    <n v="174705"/>
    <n v="194.11666666666667"/>
    <m/>
    <m/>
    <n v="0"/>
    <n v="0"/>
    <m/>
    <m/>
    <m/>
    <m/>
    <m/>
    <m/>
    <m/>
    <m/>
    <n v="0"/>
    <n v="0"/>
    <n v="0"/>
    <n v="0"/>
    <n v="183.17444444444445"/>
    <n v="194.11666666666667"/>
  </r>
  <r>
    <x v="12"/>
    <s v="Tennessee College of Applied Technology at McMinnville"/>
    <m/>
    <n v="221607"/>
    <x v="10"/>
    <s v="sem"/>
    <s v="sem"/>
    <m/>
    <m/>
    <m/>
    <m/>
    <m/>
    <m/>
    <m/>
    <m/>
    <n v="0"/>
    <n v="0"/>
    <n v="0"/>
    <n v="0"/>
    <m/>
    <m/>
    <n v="0"/>
    <n v="0"/>
    <m/>
    <m/>
    <n v="67522"/>
    <n v="66098"/>
    <n v="68551"/>
    <n v="58471"/>
    <n v="72896"/>
    <n v="78074"/>
    <n v="208969"/>
    <n v="232.18777777777777"/>
    <n v="202643"/>
    <n v="225.1588888888889"/>
    <m/>
    <m/>
    <n v="0"/>
    <n v="0"/>
    <m/>
    <m/>
    <m/>
    <m/>
    <m/>
    <m/>
    <m/>
    <m/>
    <n v="0"/>
    <n v="0"/>
    <n v="0"/>
    <n v="0"/>
    <n v="232.18777777777777"/>
    <n v="225.1588888888889"/>
  </r>
  <r>
    <x v="12"/>
    <s v="Tennessee College of Applied Technology at Memphis"/>
    <m/>
    <n v="220853"/>
    <x v="10"/>
    <s v="sem"/>
    <s v="sem"/>
    <m/>
    <m/>
    <m/>
    <m/>
    <m/>
    <m/>
    <m/>
    <m/>
    <n v="0"/>
    <n v="0"/>
    <n v="0"/>
    <n v="0"/>
    <m/>
    <m/>
    <n v="0"/>
    <n v="0"/>
    <m/>
    <m/>
    <n v="262967"/>
    <n v="268195"/>
    <n v="257455"/>
    <n v="252106"/>
    <n v="281091"/>
    <n v="306038"/>
    <n v="801513"/>
    <n v="890.57"/>
    <n v="826339"/>
    <n v="918.15444444444449"/>
    <m/>
    <m/>
    <n v="0"/>
    <n v="0"/>
    <m/>
    <m/>
    <m/>
    <m/>
    <m/>
    <m/>
    <m/>
    <m/>
    <n v="0"/>
    <n v="0"/>
    <n v="0"/>
    <n v="0"/>
    <n v="890.57"/>
    <n v="918.15444444444449"/>
  </r>
  <r>
    <x v="12"/>
    <s v="Tennessee College of Applied Technology at Morristown"/>
    <m/>
    <n v="221050"/>
    <x v="10"/>
    <s v="sem"/>
    <s v="sem"/>
    <m/>
    <m/>
    <m/>
    <m/>
    <m/>
    <m/>
    <m/>
    <m/>
    <n v="0"/>
    <n v="0"/>
    <n v="0"/>
    <n v="0"/>
    <m/>
    <m/>
    <n v="0"/>
    <n v="0"/>
    <m/>
    <m/>
    <n v="162816"/>
    <n v="170275"/>
    <n v="155667"/>
    <n v="150333"/>
    <n v="178771"/>
    <n v="218852"/>
    <n v="497254"/>
    <n v="552.5044444444444"/>
    <n v="539460"/>
    <n v="599.4"/>
    <m/>
    <m/>
    <n v="0"/>
    <n v="0"/>
    <m/>
    <m/>
    <m/>
    <m/>
    <m/>
    <m/>
    <m/>
    <m/>
    <n v="0"/>
    <n v="0"/>
    <n v="0"/>
    <n v="0"/>
    <n v="552.5044444444444"/>
    <n v="599.4"/>
  </r>
  <r>
    <x v="12"/>
    <s v="Tennessee College of Applied Technology at Murfreesboro"/>
    <m/>
    <n v="221102"/>
    <x v="10"/>
    <s v="sem"/>
    <s v="sem"/>
    <m/>
    <m/>
    <m/>
    <m/>
    <m/>
    <m/>
    <m/>
    <m/>
    <n v="0"/>
    <n v="0"/>
    <n v="0"/>
    <n v="0"/>
    <m/>
    <m/>
    <n v="0"/>
    <n v="0"/>
    <m/>
    <m/>
    <n v="167418"/>
    <n v="143327"/>
    <n v="140534"/>
    <n v="134120"/>
    <n v="161752"/>
    <n v="187154"/>
    <n v="469704"/>
    <n v="521.89333333333332"/>
    <n v="464601"/>
    <n v="516.22333333333336"/>
    <m/>
    <m/>
    <n v="0"/>
    <n v="0"/>
    <m/>
    <m/>
    <m/>
    <m/>
    <m/>
    <m/>
    <m/>
    <m/>
    <n v="0"/>
    <n v="0"/>
    <n v="0"/>
    <n v="0"/>
    <n v="521.89333333333332"/>
    <n v="516.22333333333336"/>
  </r>
  <r>
    <x v="12"/>
    <s v="Tennessee College of Applied Technology at Nashville"/>
    <m/>
    <n v="248925"/>
    <x v="10"/>
    <s v="sem"/>
    <s v="sem"/>
    <m/>
    <m/>
    <m/>
    <m/>
    <m/>
    <m/>
    <m/>
    <m/>
    <n v="0"/>
    <n v="0"/>
    <n v="0"/>
    <n v="0"/>
    <m/>
    <m/>
    <n v="0"/>
    <n v="0"/>
    <m/>
    <m/>
    <n v="266519"/>
    <n v="246257"/>
    <n v="227413"/>
    <n v="215487"/>
    <n v="283912"/>
    <n v="303664"/>
    <n v="777844"/>
    <n v="864.27111111111117"/>
    <n v="765408"/>
    <n v="850.45333333333338"/>
    <m/>
    <m/>
    <n v="0"/>
    <n v="0"/>
    <m/>
    <m/>
    <m/>
    <m/>
    <m/>
    <m/>
    <m/>
    <m/>
    <n v="0"/>
    <n v="0"/>
    <n v="0"/>
    <n v="0"/>
    <n v="864.27111111111117"/>
    <n v="850.45333333333338"/>
  </r>
  <r>
    <x v="12"/>
    <s v="Tennessee College of Applied Technology at Newbern"/>
    <m/>
    <n v="221236"/>
    <x v="10"/>
    <s v="sem"/>
    <s v="sem"/>
    <m/>
    <m/>
    <m/>
    <m/>
    <m/>
    <m/>
    <m/>
    <m/>
    <n v="0"/>
    <n v="0"/>
    <n v="0"/>
    <n v="0"/>
    <m/>
    <m/>
    <n v="0"/>
    <n v="0"/>
    <m/>
    <m/>
    <n v="83614"/>
    <n v="92693"/>
    <n v="64109"/>
    <n v="70688"/>
    <n v="100706"/>
    <n v="108325"/>
    <n v="248429"/>
    <n v="276.03222222222223"/>
    <n v="271706"/>
    <n v="301.89555555555557"/>
    <m/>
    <m/>
    <n v="0"/>
    <n v="0"/>
    <m/>
    <m/>
    <m/>
    <m/>
    <m/>
    <m/>
    <m/>
    <m/>
    <n v="0"/>
    <n v="0"/>
    <n v="0"/>
    <n v="0"/>
    <n v="276.03222222222223"/>
    <n v="301.89555555555557"/>
  </r>
  <r>
    <x v="12"/>
    <s v="Tennessee College of Applied Technology at Oneida"/>
    <m/>
    <n v="221582"/>
    <x v="10"/>
    <s v="sem"/>
    <s v="sem"/>
    <m/>
    <m/>
    <m/>
    <m/>
    <m/>
    <m/>
    <m/>
    <m/>
    <n v="0"/>
    <n v="0"/>
    <n v="0"/>
    <n v="0"/>
    <m/>
    <m/>
    <n v="0"/>
    <n v="0"/>
    <m/>
    <m/>
    <n v="68907"/>
    <n v="71099"/>
    <n v="50254"/>
    <n v="42811"/>
    <n v="81444"/>
    <n v="86315"/>
    <n v="200605"/>
    <n v="222.89444444444445"/>
    <n v="200225"/>
    <n v="222.47222222222223"/>
    <m/>
    <m/>
    <n v="0"/>
    <n v="0"/>
    <m/>
    <m/>
    <m/>
    <m/>
    <m/>
    <m/>
    <m/>
    <m/>
    <n v="0"/>
    <n v="0"/>
    <n v="0"/>
    <n v="0"/>
    <n v="222.89444444444445"/>
    <n v="222.47222222222223"/>
  </r>
  <r>
    <x v="12"/>
    <s v="Tennessee College of Applied Technology at Paris"/>
    <m/>
    <n v="221281"/>
    <x v="10"/>
    <s v="sem"/>
    <s v="sem"/>
    <m/>
    <m/>
    <m/>
    <m/>
    <m/>
    <m/>
    <m/>
    <m/>
    <n v="0"/>
    <n v="0"/>
    <n v="0"/>
    <n v="0"/>
    <m/>
    <m/>
    <n v="0"/>
    <n v="0"/>
    <m/>
    <m/>
    <n v="91007"/>
    <n v="105414"/>
    <n v="88555"/>
    <n v="94003"/>
    <n v="109851"/>
    <n v="112821"/>
    <n v="289413"/>
    <n v="321.57"/>
    <n v="312238"/>
    <n v="346.93111111111114"/>
    <m/>
    <m/>
    <n v="0"/>
    <n v="0"/>
    <m/>
    <m/>
    <m/>
    <m/>
    <m/>
    <m/>
    <m/>
    <m/>
    <n v="0"/>
    <n v="0"/>
    <n v="0"/>
    <n v="0"/>
    <n v="321.57"/>
    <n v="346.93111111111114"/>
  </r>
  <r>
    <x v="12"/>
    <s v="Tennessee College of Applied Technology at Pulaski"/>
    <m/>
    <n v="221333"/>
    <x v="10"/>
    <s v="sem"/>
    <s v="sem"/>
    <m/>
    <m/>
    <m/>
    <m/>
    <m/>
    <m/>
    <m/>
    <m/>
    <n v="0"/>
    <n v="0"/>
    <n v="0"/>
    <n v="0"/>
    <m/>
    <m/>
    <n v="0"/>
    <n v="0"/>
    <m/>
    <m/>
    <n v="151997"/>
    <n v="185331"/>
    <n v="65009"/>
    <n v="65511"/>
    <n v="161970"/>
    <n v="200058"/>
    <n v="378976"/>
    <n v="421.08444444444444"/>
    <n v="450900"/>
    <n v="501"/>
    <m/>
    <m/>
    <n v="0"/>
    <n v="0"/>
    <m/>
    <m/>
    <m/>
    <m/>
    <m/>
    <m/>
    <m/>
    <m/>
    <n v="0"/>
    <n v="0"/>
    <n v="0"/>
    <n v="0"/>
    <n v="421.08444444444444"/>
    <n v="501"/>
  </r>
  <r>
    <x v="12"/>
    <s v="Tennessee College of Applied Technology at Ripley"/>
    <m/>
    <n v="221388"/>
    <x v="10"/>
    <s v="sem"/>
    <s v="sem"/>
    <m/>
    <m/>
    <m/>
    <m/>
    <m/>
    <m/>
    <m/>
    <m/>
    <n v="0"/>
    <n v="0"/>
    <n v="0"/>
    <n v="0"/>
    <m/>
    <m/>
    <n v="0"/>
    <n v="0"/>
    <m/>
    <m/>
    <n v="47330"/>
    <n v="47310"/>
    <n v="38312"/>
    <n v="37265"/>
    <n v="49070"/>
    <n v="65356"/>
    <n v="134712"/>
    <n v="149.68"/>
    <n v="149931"/>
    <n v="166.59"/>
    <m/>
    <m/>
    <n v="0"/>
    <n v="0"/>
    <m/>
    <m/>
    <m/>
    <m/>
    <m/>
    <m/>
    <m/>
    <m/>
    <n v="0"/>
    <n v="0"/>
    <n v="0"/>
    <n v="0"/>
    <n v="149.68"/>
    <n v="166.59"/>
  </r>
  <r>
    <x v="12"/>
    <s v="Tennessee College of Applied Technology at Shelbyville"/>
    <m/>
    <n v="221494"/>
    <x v="10"/>
    <s v="sem"/>
    <s v="sem"/>
    <m/>
    <m/>
    <m/>
    <m/>
    <m/>
    <m/>
    <m/>
    <m/>
    <n v="0"/>
    <n v="0"/>
    <n v="0"/>
    <n v="0"/>
    <m/>
    <m/>
    <n v="0"/>
    <n v="0"/>
    <m/>
    <m/>
    <n v="155479"/>
    <n v="144774"/>
    <n v="138119"/>
    <n v="127632"/>
    <n v="158922"/>
    <n v="193339"/>
    <n v="452520"/>
    <n v="502.8"/>
    <n v="465745"/>
    <n v="517.49444444444441"/>
    <m/>
    <m/>
    <n v="0"/>
    <n v="0"/>
    <m/>
    <m/>
    <m/>
    <m/>
    <m/>
    <m/>
    <m/>
    <m/>
    <n v="0"/>
    <n v="0"/>
    <n v="0"/>
    <n v="0"/>
    <n v="502.8"/>
    <n v="517.49444444444441"/>
  </r>
  <r>
    <x v="12"/>
    <s v="Tennessee College of Applied Technology at Whiteville"/>
    <m/>
    <n v="221634"/>
    <x v="10"/>
    <s v="sem"/>
    <s v="sem"/>
    <m/>
    <m/>
    <m/>
    <m/>
    <m/>
    <m/>
    <m/>
    <m/>
    <n v="0"/>
    <n v="0"/>
    <n v="0"/>
    <n v="0"/>
    <m/>
    <m/>
    <n v="0"/>
    <n v="0"/>
    <m/>
    <m/>
    <n v="54880"/>
    <n v="55602"/>
    <n v="49077"/>
    <n v="53933"/>
    <n v="65867"/>
    <n v="77826"/>
    <n v="169824"/>
    <n v="188.69333333333333"/>
    <n v="187361"/>
    <n v="208.17888888888888"/>
    <m/>
    <m/>
    <n v="0"/>
    <n v="0"/>
    <m/>
    <m/>
    <m/>
    <m/>
    <m/>
    <m/>
    <m/>
    <m/>
    <n v="0"/>
    <n v="0"/>
    <n v="0"/>
    <n v="0"/>
    <n v="188.69333333333333"/>
    <n v="208.17888888888888"/>
  </r>
  <r>
    <x v="13"/>
    <s v="Texas A&amp;M University "/>
    <m/>
    <n v="228723"/>
    <x v="0"/>
    <s v="sem"/>
    <m/>
    <m/>
    <m/>
    <n v="513864"/>
    <n v="548158"/>
    <n v="70283"/>
    <n v="73891"/>
    <n v="584774"/>
    <n v="604505"/>
    <n v="1168921"/>
    <n v="38964.033333333333"/>
    <n v="1226554"/>
    <n v="40885.133333333331"/>
    <n v="0"/>
    <n v="0"/>
    <n v="1168921"/>
    <n v="1226554"/>
    <m/>
    <m/>
    <m/>
    <m/>
    <m/>
    <m/>
    <m/>
    <m/>
    <n v="0"/>
    <n v="0"/>
    <n v="0"/>
    <n v="0"/>
    <m/>
    <m/>
    <n v="0"/>
    <n v="0"/>
    <m/>
    <m/>
    <n v="85709"/>
    <n v="90269"/>
    <n v="29290"/>
    <n v="30688"/>
    <n v="98608"/>
    <n v="100334"/>
    <n v="213607"/>
    <n v="8900.2916666666661"/>
    <n v="221291"/>
    <n v="9220.4583333333339"/>
    <n v="47864.324999999997"/>
    <n v="50105.591666666667"/>
  </r>
  <r>
    <x v="13"/>
    <s v="Texas Tech University "/>
    <m/>
    <n v="229115"/>
    <x v="0"/>
    <s v="sem"/>
    <m/>
    <m/>
    <m/>
    <n v="316742"/>
    <n v="332367"/>
    <n v="61247"/>
    <n v="59892"/>
    <n v="366465"/>
    <n v="372141"/>
    <n v="744454"/>
    <n v="24815.133333333335"/>
    <n v="764400"/>
    <n v="25480"/>
    <n v="78"/>
    <n v="123"/>
    <n v="744454"/>
    <n v="764400"/>
    <m/>
    <m/>
    <m/>
    <m/>
    <m/>
    <m/>
    <m/>
    <m/>
    <n v="0"/>
    <n v="0"/>
    <n v="0"/>
    <n v="0"/>
    <m/>
    <m/>
    <n v="0"/>
    <n v="0"/>
    <m/>
    <m/>
    <n v="47575"/>
    <n v="50498"/>
    <n v="22231"/>
    <n v="22285"/>
    <n v="53183"/>
    <n v="53010"/>
    <n v="122989"/>
    <n v="5124.541666666667"/>
    <n v="125793"/>
    <n v="5241.375"/>
    <n v="29939.675000000003"/>
    <n v="30721.375"/>
  </r>
  <r>
    <x v="13"/>
    <s v="University of Houston"/>
    <m/>
    <n v="225511"/>
    <x v="0"/>
    <s v="sem"/>
    <m/>
    <m/>
    <m/>
    <n v="345641"/>
    <n v="368766"/>
    <n v="58233"/>
    <n v="60860"/>
    <n v="390856"/>
    <n v="413450"/>
    <n v="794730"/>
    <n v="26491"/>
    <n v="843076"/>
    <n v="28102.533333333333"/>
    <n v="16"/>
    <n v="14"/>
    <n v="794730"/>
    <n v="843076"/>
    <m/>
    <m/>
    <m/>
    <m/>
    <m/>
    <m/>
    <m/>
    <m/>
    <n v="0"/>
    <n v="0"/>
    <n v="0"/>
    <n v="0"/>
    <m/>
    <m/>
    <n v="0"/>
    <n v="0"/>
    <m/>
    <m/>
    <n v="75754"/>
    <n v="75416"/>
    <n v="23865"/>
    <n v="18270"/>
    <n v="77676"/>
    <n v="78206"/>
    <n v="177295"/>
    <n v="7387.291666666667"/>
    <n v="171892"/>
    <n v="7162.166666666667"/>
    <n v="33878.291666666664"/>
    <n v="35264.699999999997"/>
  </r>
  <r>
    <x v="13"/>
    <s v="University of North Texas"/>
    <m/>
    <n v="227216"/>
    <x v="0"/>
    <s v="sem"/>
    <m/>
    <m/>
    <m/>
    <n v="330288"/>
    <n v="339523"/>
    <n v="65392"/>
    <n v="68298"/>
    <n v="366598"/>
    <n v="382797"/>
    <n v="762278"/>
    <n v="25409.266666666666"/>
    <n v="790618"/>
    <n v="26353.933333333334"/>
    <n v="0"/>
    <n v="0"/>
    <n v="762278"/>
    <n v="790618"/>
    <m/>
    <m/>
    <m/>
    <m/>
    <m/>
    <m/>
    <m/>
    <m/>
    <n v="0"/>
    <n v="0"/>
    <n v="0"/>
    <n v="0"/>
    <m/>
    <m/>
    <n v="0"/>
    <n v="0"/>
    <m/>
    <m/>
    <n v="39795"/>
    <n v="41290"/>
    <n v="15776"/>
    <n v="17552"/>
    <n v="40709"/>
    <n v="42776"/>
    <n v="96280"/>
    <n v="4011.6666666666665"/>
    <n v="101618"/>
    <n v="4234.083333333333"/>
    <n v="29420.933333333334"/>
    <n v="30588.016666666666"/>
  </r>
  <r>
    <x v="13"/>
    <s v="University of Texas at Arlington"/>
    <m/>
    <n v="228769"/>
    <x v="0"/>
    <s v="sem"/>
    <m/>
    <m/>
    <m/>
    <n v="272265"/>
    <n v="274782"/>
    <n v="85769"/>
    <n v="87781"/>
    <n v="266101"/>
    <n v="267683"/>
    <n v="624135"/>
    <n v="20804.5"/>
    <n v="630246"/>
    <n v="21008.2"/>
    <n v="1121"/>
    <n v="788"/>
    <n v="624135"/>
    <n v="630246"/>
    <m/>
    <m/>
    <m/>
    <m/>
    <m/>
    <m/>
    <m/>
    <m/>
    <n v="0"/>
    <n v="0"/>
    <n v="0"/>
    <n v="0"/>
    <m/>
    <m/>
    <n v="0"/>
    <n v="0"/>
    <m/>
    <m/>
    <n v="56283"/>
    <n v="71266"/>
    <n v="32476"/>
    <n v="39515"/>
    <n v="58606"/>
    <n v="67498"/>
    <n v="147365"/>
    <n v="6140.208333333333"/>
    <n v="178279"/>
    <n v="7428.291666666667"/>
    <n v="26944.708333333332"/>
    <n v="28436.491666666669"/>
  </r>
  <r>
    <x v="13"/>
    <s v="University of Texas at Austin"/>
    <m/>
    <n v="228778"/>
    <x v="0"/>
    <s v="sem"/>
    <m/>
    <m/>
    <m/>
    <n v="496760"/>
    <n v="487116"/>
    <n v="55391"/>
    <n v="48350"/>
    <n v="521921"/>
    <n v="524591"/>
    <n v="1074072"/>
    <n v="35802.400000000001"/>
    <n v="1060057"/>
    <n v="35335.23333333333"/>
    <n v="0"/>
    <n v="0"/>
    <n v="1074072"/>
    <n v="1060057"/>
    <m/>
    <m/>
    <m/>
    <m/>
    <m/>
    <m/>
    <m/>
    <m/>
    <n v="0"/>
    <n v="0"/>
    <n v="0"/>
    <n v="0"/>
    <m/>
    <m/>
    <n v="0"/>
    <n v="0"/>
    <m/>
    <m/>
    <n v="114426"/>
    <n v="112301"/>
    <n v="21523"/>
    <n v="20440"/>
    <n v="118375"/>
    <n v="114613"/>
    <n v="254324"/>
    <n v="10596.833333333334"/>
    <n v="247354"/>
    <n v="10306.416666666666"/>
    <n v="46399.233333333337"/>
    <n v="45641.649999999994"/>
  </r>
  <r>
    <x v="13"/>
    <s v="University of Texas at Dallas"/>
    <m/>
    <n v="228787"/>
    <x v="0"/>
    <s v="sem"/>
    <m/>
    <m/>
    <m/>
    <n v="154409"/>
    <n v="170592"/>
    <n v="22544"/>
    <n v="24204"/>
    <n v="183763"/>
    <n v="200257"/>
    <n v="360716"/>
    <n v="12023.866666666667"/>
    <n v="395053"/>
    <n v="13168.433333333332"/>
    <n v="0"/>
    <n v="0"/>
    <n v="360716"/>
    <n v="395053"/>
    <m/>
    <m/>
    <m/>
    <m/>
    <m/>
    <m/>
    <m/>
    <m/>
    <n v="0"/>
    <n v="0"/>
    <n v="0"/>
    <n v="0"/>
    <m/>
    <m/>
    <n v="0"/>
    <n v="0"/>
    <m/>
    <m/>
    <n v="60124"/>
    <n v="65948"/>
    <n v="19904"/>
    <n v="20884"/>
    <n v="67951"/>
    <n v="70377"/>
    <n v="147979"/>
    <n v="6165.791666666667"/>
    <n v="157209"/>
    <n v="6550.375"/>
    <n v="18189.658333333333"/>
    <n v="19718.808333333334"/>
  </r>
  <r>
    <x v="13"/>
    <s v="Texas Woman's University"/>
    <m/>
    <n v="229179"/>
    <x v="1"/>
    <s v="sem"/>
    <m/>
    <m/>
    <m/>
    <n v="102228"/>
    <n v="98748"/>
    <n v="23471"/>
    <n v="22119"/>
    <n v="112149"/>
    <n v="113726"/>
    <n v="237848"/>
    <n v="7928.2666666666664"/>
    <n v="234593"/>
    <n v="7819.7666666666664"/>
    <n v="2592"/>
    <n v="4519"/>
    <n v="237848"/>
    <n v="234593"/>
    <m/>
    <m/>
    <m/>
    <m/>
    <m/>
    <m/>
    <m/>
    <m/>
    <n v="0"/>
    <n v="0"/>
    <n v="0"/>
    <n v="0"/>
    <m/>
    <m/>
    <n v="0"/>
    <n v="0"/>
    <m/>
    <m/>
    <n v="37385"/>
    <n v="34581"/>
    <n v="26977"/>
    <n v="23352"/>
    <n v="36780"/>
    <n v="35538"/>
    <n v="101142"/>
    <n v="4214.25"/>
    <n v="93471"/>
    <n v="3894.625"/>
    <n v="12142.516666666666"/>
    <n v="11714.391666666666"/>
  </r>
  <r>
    <x v="13"/>
    <s v="University of Texas at El Paso"/>
    <m/>
    <n v="228796"/>
    <x v="1"/>
    <s v="sem"/>
    <m/>
    <m/>
    <m/>
    <n v="202354"/>
    <n v="205495"/>
    <n v="49681"/>
    <n v="54255"/>
    <n v="219023"/>
    <n v="221904"/>
    <n v="471058"/>
    <n v="15701.933333333332"/>
    <n v="481654"/>
    <n v="16055.133333333333"/>
    <n v="0"/>
    <n v="0"/>
    <n v="471058"/>
    <n v="481654"/>
    <m/>
    <m/>
    <m/>
    <m/>
    <m/>
    <m/>
    <m/>
    <m/>
    <n v="0"/>
    <n v="0"/>
    <n v="0"/>
    <n v="0"/>
    <m/>
    <m/>
    <n v="0"/>
    <n v="0"/>
    <m/>
    <m/>
    <n v="22577"/>
    <n v="22378"/>
    <n v="11665"/>
    <n v="11899"/>
    <n v="21033"/>
    <n v="20290"/>
    <n v="55275"/>
    <n v="2303.125"/>
    <n v="54567"/>
    <n v="2273.625"/>
    <n v="18005.058333333334"/>
    <n v="18328.758333333331"/>
  </r>
  <r>
    <x v="13"/>
    <s v="University of Texas at San Antonio"/>
    <s v="Met the criteria for Four-Year 1 in 2014-15 and 2015-16."/>
    <n v="229027"/>
    <x v="1"/>
    <s v="sem"/>
    <m/>
    <m/>
    <m/>
    <n v="259274"/>
    <n v="261805"/>
    <n v="50034"/>
    <n v="46168"/>
    <n v="293467"/>
    <n v="303123"/>
    <n v="602775"/>
    <n v="20092.5"/>
    <n v="611096"/>
    <n v="20369.866666666665"/>
    <n v="96"/>
    <n v="117"/>
    <n v="602775"/>
    <n v="611096"/>
    <m/>
    <m/>
    <m/>
    <m/>
    <m/>
    <m/>
    <m/>
    <m/>
    <n v="0"/>
    <n v="0"/>
    <n v="0"/>
    <n v="0"/>
    <m/>
    <m/>
    <n v="0"/>
    <n v="0"/>
    <m/>
    <m/>
    <n v="27435"/>
    <n v="27260"/>
    <n v="10112"/>
    <n v="10681"/>
    <n v="28462"/>
    <n v="28694"/>
    <n v="66009"/>
    <n v="2750.375"/>
    <n v="66635"/>
    <n v="2776.4583333333335"/>
    <n v="22842.875"/>
    <n v="23146.324999999997"/>
  </r>
  <r>
    <x v="13"/>
    <s v="Angelo State University"/>
    <m/>
    <n v="222831"/>
    <x v="2"/>
    <s v="sem"/>
    <m/>
    <m/>
    <m/>
    <n v="60293"/>
    <n v="60364"/>
    <n v="11780"/>
    <n v="12627"/>
    <n v="68601"/>
    <n v="76236"/>
    <n v="140674"/>
    <n v="4689.1333333333332"/>
    <n v="149227"/>
    <n v="4974.2333333333336"/>
    <n v="520"/>
    <n v="8599"/>
    <n v="140674"/>
    <n v="149227"/>
    <m/>
    <m/>
    <m/>
    <m/>
    <m/>
    <m/>
    <m/>
    <m/>
    <n v="0"/>
    <n v="0"/>
    <n v="0"/>
    <n v="0"/>
    <m/>
    <m/>
    <n v="0"/>
    <n v="0"/>
    <m/>
    <m/>
    <n v="7650"/>
    <n v="8234"/>
    <n v="5577"/>
    <n v="4462"/>
    <n v="5597"/>
    <n v="6536"/>
    <n v="18824"/>
    <n v="784.33333333333337"/>
    <n v="19232"/>
    <n v="801.33333333333337"/>
    <n v="5473.4666666666662"/>
    <n v="5775.5666666666666"/>
  </r>
  <r>
    <x v="13"/>
    <s v="Lamar University"/>
    <m/>
    <n v="226091"/>
    <x v="2"/>
    <s v="sem"/>
    <m/>
    <m/>
    <m/>
    <n v="99091"/>
    <n v="95009"/>
    <n v="28532"/>
    <n v="26862"/>
    <n v="100441"/>
    <n v="98987"/>
    <n v="228064"/>
    <n v="7602.1333333333332"/>
    <n v="220858"/>
    <n v="7361.9333333333334"/>
    <n v="1685"/>
    <n v="1547"/>
    <n v="228064"/>
    <n v="220858"/>
    <m/>
    <m/>
    <m/>
    <m/>
    <m/>
    <m/>
    <m/>
    <m/>
    <n v="0"/>
    <n v="0"/>
    <n v="0"/>
    <n v="0"/>
    <m/>
    <m/>
    <n v="0"/>
    <n v="0"/>
    <m/>
    <m/>
    <n v="40562"/>
    <n v="46260"/>
    <n v="36006"/>
    <n v="47611"/>
    <n v="33053"/>
    <n v="24748"/>
    <n v="109621"/>
    <n v="4567.541666666667"/>
    <n v="118619"/>
    <n v="4942.458333333333"/>
    <n v="12169.674999999999"/>
    <n v="12304.391666666666"/>
  </r>
  <r>
    <x v="13"/>
    <s v="Midwestern State University"/>
    <m/>
    <n v="226833"/>
    <x v="2"/>
    <s v="sem"/>
    <m/>
    <m/>
    <m/>
    <n v="54786"/>
    <n v="55615"/>
    <n v="12146"/>
    <n v="11510"/>
    <n v="59341"/>
    <n v="61160"/>
    <n v="126273"/>
    <n v="4209.1000000000004"/>
    <n v="128285"/>
    <n v="4276.166666666667"/>
    <n v="147"/>
    <n v="70"/>
    <n v="126273"/>
    <n v="128285"/>
    <m/>
    <m/>
    <m/>
    <m/>
    <m/>
    <m/>
    <m/>
    <m/>
    <n v="0"/>
    <n v="0"/>
    <n v="0"/>
    <n v="0"/>
    <m/>
    <m/>
    <n v="0"/>
    <n v="0"/>
    <m/>
    <m/>
    <n v="3496"/>
    <n v="3649"/>
    <n v="2006"/>
    <n v="2130"/>
    <n v="3628"/>
    <n v="3880"/>
    <n v="9130"/>
    <n v="380.41666666666669"/>
    <n v="9659"/>
    <n v="402.45833333333331"/>
    <n v="4589.5166666666673"/>
    <n v="4678.625"/>
  </r>
  <r>
    <x v="13"/>
    <s v="Prairie View A&amp;M University"/>
    <m/>
    <n v="227526"/>
    <x v="2"/>
    <s v="sem"/>
    <m/>
    <m/>
    <m/>
    <n v="82136"/>
    <n v="84837"/>
    <n v="15465"/>
    <n v="14222"/>
    <n v="90602"/>
    <n v="92084"/>
    <n v="188203"/>
    <n v="6273.4333333333334"/>
    <n v="191143"/>
    <n v="6371.4333333333334"/>
    <n v="0"/>
    <n v="0"/>
    <n v="188203"/>
    <n v="191143"/>
    <m/>
    <m/>
    <m/>
    <m/>
    <m/>
    <m/>
    <m/>
    <m/>
    <n v="0"/>
    <n v="0"/>
    <n v="0"/>
    <n v="0"/>
    <m/>
    <m/>
    <n v="0"/>
    <n v="0"/>
    <m/>
    <m/>
    <n v="9754"/>
    <n v="9812"/>
    <n v="5161"/>
    <n v="4564"/>
    <n v="9590"/>
    <n v="8940"/>
    <n v="24505"/>
    <n v="1021.0416666666666"/>
    <n v="23316"/>
    <n v="971.5"/>
    <n v="7294.4750000000004"/>
    <n v="7342.9333333333334"/>
  </r>
  <r>
    <x v="13"/>
    <s v="Sam Houston State University "/>
    <m/>
    <n v="227881"/>
    <x v="2"/>
    <s v="sem"/>
    <m/>
    <m/>
    <m/>
    <n v="188374"/>
    <n v="195411"/>
    <n v="38229"/>
    <n v="41247"/>
    <n v="209275"/>
    <n v="218326"/>
    <n v="435878"/>
    <n v="14529.266666666666"/>
    <n v="454984"/>
    <n v="15166.133333333333"/>
    <n v="0"/>
    <n v="0"/>
    <n v="435878"/>
    <n v="454984"/>
    <m/>
    <m/>
    <m/>
    <m/>
    <m/>
    <m/>
    <m/>
    <m/>
    <n v="0"/>
    <n v="0"/>
    <n v="0"/>
    <n v="0"/>
    <m/>
    <m/>
    <n v="0"/>
    <n v="0"/>
    <m/>
    <m/>
    <n v="16462"/>
    <n v="15565"/>
    <n v="11168"/>
    <n v="10378"/>
    <n v="16265"/>
    <n v="15828"/>
    <n v="43895"/>
    <n v="1828.9583333333333"/>
    <n v="41771"/>
    <n v="1740.4583333333333"/>
    <n v="16358.225"/>
    <n v="16906.591666666667"/>
  </r>
  <r>
    <x v="13"/>
    <s v="Stephen F. Austin State University"/>
    <m/>
    <n v="228431"/>
    <x v="2"/>
    <s v="sem"/>
    <m/>
    <m/>
    <m/>
    <n v="125540"/>
    <n v="124227"/>
    <n v="28153"/>
    <n v="24581"/>
    <n v="137156"/>
    <n v="136325"/>
    <n v="290849"/>
    <n v="9694.9666666666672"/>
    <n v="285133"/>
    <n v="9504.4333333333325"/>
    <n v="2837"/>
    <n v="3064"/>
    <n v="290849"/>
    <n v="285133"/>
    <m/>
    <m/>
    <m/>
    <m/>
    <m/>
    <m/>
    <m/>
    <m/>
    <n v="0"/>
    <n v="0"/>
    <n v="0"/>
    <n v="0"/>
    <m/>
    <m/>
    <n v="0"/>
    <n v="0"/>
    <m/>
    <m/>
    <n v="10709"/>
    <n v="10072"/>
    <n v="7820"/>
    <n v="7777"/>
    <n v="10231"/>
    <n v="10674"/>
    <n v="28760"/>
    <n v="1198.3333333333333"/>
    <n v="28523"/>
    <n v="1188.4583333333333"/>
    <n v="10893.300000000001"/>
    <n v="10692.891666666666"/>
  </r>
  <r>
    <x v="13"/>
    <s v="Sul Ross State University "/>
    <m/>
    <n v="228501"/>
    <x v="2"/>
    <s v="sem"/>
    <m/>
    <m/>
    <m/>
    <n v="14136"/>
    <n v="14245"/>
    <n v="2441"/>
    <n v="2710"/>
    <n v="16172"/>
    <n v="16422"/>
    <n v="32749"/>
    <n v="1091.6333333333334"/>
    <n v="33377"/>
    <n v="1112.5666666666666"/>
    <n v="775"/>
    <n v="1048"/>
    <n v="32749"/>
    <n v="33377"/>
    <m/>
    <m/>
    <m/>
    <m/>
    <m/>
    <m/>
    <m/>
    <m/>
    <n v="0"/>
    <n v="0"/>
    <n v="0"/>
    <n v="0"/>
    <m/>
    <m/>
    <n v="0"/>
    <n v="0"/>
    <m/>
    <m/>
    <n v="2935"/>
    <n v="3526"/>
    <n v="2708"/>
    <n v="3007"/>
    <n v="3611"/>
    <n v="3541"/>
    <n v="9254"/>
    <n v="385.58333333333331"/>
    <n v="10074"/>
    <n v="419.75"/>
    <n v="1477.2166666666667"/>
    <n v="1532.3166666666666"/>
  </r>
  <r>
    <x v="13"/>
    <s v="Tarleton State University"/>
    <m/>
    <n v="228529"/>
    <x v="2"/>
    <s v="sem"/>
    <m/>
    <m/>
    <m/>
    <n v="107454"/>
    <n v="113621"/>
    <n v="24831"/>
    <n v="25735"/>
    <n v="124214"/>
    <n v="129140"/>
    <n v="256499"/>
    <n v="8549.9666666666672"/>
    <n v="268496"/>
    <n v="8949.8666666666668"/>
    <n v="0"/>
    <n v="0"/>
    <n v="256499"/>
    <n v="268496"/>
    <m/>
    <m/>
    <m/>
    <m/>
    <m/>
    <m/>
    <m/>
    <m/>
    <n v="0"/>
    <n v="0"/>
    <n v="0"/>
    <n v="0"/>
    <m/>
    <m/>
    <n v="0"/>
    <n v="0"/>
    <m/>
    <m/>
    <n v="8489"/>
    <n v="8943"/>
    <n v="6052"/>
    <n v="6076"/>
    <n v="8766"/>
    <n v="9176"/>
    <n v="23307"/>
    <n v="971.125"/>
    <n v="24195"/>
    <n v="1008.125"/>
    <n v="9521.0916666666672"/>
    <n v="9957.9916666666668"/>
  </r>
  <r>
    <x v="13"/>
    <s v="Texas A&amp;M International University"/>
    <m/>
    <n v="226152"/>
    <x v="2"/>
    <s v="sem"/>
    <m/>
    <m/>
    <m/>
    <n v="62338"/>
    <n v="65958"/>
    <n v="14077"/>
    <n v="13590"/>
    <n v="71243"/>
    <n v="72854"/>
    <n v="147658"/>
    <n v="4921.9333333333334"/>
    <n v="152402"/>
    <n v="5080.0666666666666"/>
    <n v="8382"/>
    <n v="9991"/>
    <n v="147658"/>
    <n v="152402"/>
    <m/>
    <m/>
    <m/>
    <m/>
    <m/>
    <m/>
    <m/>
    <m/>
    <n v="0"/>
    <n v="0"/>
    <n v="0"/>
    <n v="0"/>
    <m/>
    <m/>
    <n v="0"/>
    <n v="0"/>
    <m/>
    <m/>
    <n v="410"/>
    <n v="5178"/>
    <n v="6984"/>
    <n v="3293"/>
    <n v="4988"/>
    <n v="5242"/>
    <n v="12382"/>
    <n v="515.91666666666663"/>
    <n v="13713"/>
    <n v="571.375"/>
    <n v="5437.85"/>
    <n v="5651.4416666666666"/>
  </r>
  <r>
    <x v="13"/>
    <s v="Texas A&amp;M University-Commerce"/>
    <m/>
    <n v="224554"/>
    <x v="2"/>
    <s v="sem"/>
    <m/>
    <m/>
    <m/>
    <n v="71899"/>
    <n v="77628"/>
    <n v="13857"/>
    <n v="16537"/>
    <n v="82754"/>
    <n v="87259"/>
    <n v="168510"/>
    <n v="5617"/>
    <n v="181424"/>
    <n v="6047.4666666666662"/>
    <n v="2033"/>
    <n v="2886"/>
    <n v="168510"/>
    <n v="181424"/>
    <m/>
    <m/>
    <m/>
    <m/>
    <m/>
    <m/>
    <m/>
    <m/>
    <n v="0"/>
    <n v="0"/>
    <n v="0"/>
    <n v="0"/>
    <m/>
    <m/>
    <n v="0"/>
    <n v="0"/>
    <m/>
    <m/>
    <n v="23763"/>
    <n v="31329"/>
    <n v="24134"/>
    <n v="20652"/>
    <n v="26061"/>
    <n v="31006"/>
    <n v="73958"/>
    <n v="3081.5833333333335"/>
    <n v="82987"/>
    <n v="3457.7916666666665"/>
    <n v="8698.5833333333339"/>
    <n v="9505.2583333333332"/>
  </r>
  <r>
    <x v="13"/>
    <s v="Texas A&amp;M University-Corpus Christi "/>
    <m/>
    <n v="224147"/>
    <x v="2"/>
    <s v="sem"/>
    <m/>
    <m/>
    <m/>
    <n v="101971"/>
    <n v="101328"/>
    <n v="22460"/>
    <n v="22664"/>
    <n v="109854"/>
    <n v="113195"/>
    <n v="234285"/>
    <n v="7809.5"/>
    <n v="237187"/>
    <n v="7906.2333333333336"/>
    <n v="1013"/>
    <n v="957"/>
    <n v="234285"/>
    <n v="237187"/>
    <m/>
    <m/>
    <m/>
    <m/>
    <m/>
    <m/>
    <m/>
    <m/>
    <n v="0"/>
    <n v="0"/>
    <n v="0"/>
    <n v="0"/>
    <m/>
    <m/>
    <n v="0"/>
    <n v="0"/>
    <m/>
    <m/>
    <n v="10856"/>
    <n v="11719"/>
    <n v="7479"/>
    <n v="7591"/>
    <n v="11577"/>
    <n v="11030"/>
    <n v="29912"/>
    <n v="1246.3333333333333"/>
    <n v="30340"/>
    <n v="1264.1666666666667"/>
    <n v="9055.8333333333339"/>
    <n v="9170.4"/>
  </r>
  <r>
    <x v="13"/>
    <s v="Texas A&amp;M University-Kingsville"/>
    <m/>
    <n v="228705"/>
    <x v="2"/>
    <s v="sem"/>
    <m/>
    <m/>
    <m/>
    <n v="69418"/>
    <n v="68966"/>
    <n v="10951"/>
    <n v="10936"/>
    <n v="75415"/>
    <n v="78870"/>
    <n v="155784"/>
    <n v="5192.8"/>
    <n v="158772"/>
    <n v="5292.4"/>
    <n v="8272"/>
    <n v="10481"/>
    <n v="155784"/>
    <n v="158772"/>
    <m/>
    <m/>
    <m/>
    <m/>
    <m/>
    <m/>
    <m/>
    <m/>
    <n v="0"/>
    <n v="0"/>
    <n v="0"/>
    <n v="0"/>
    <m/>
    <m/>
    <n v="0"/>
    <n v="0"/>
    <m/>
    <m/>
    <n v="14734"/>
    <n v="19453"/>
    <n v="10094"/>
    <n v="13314"/>
    <n v="19543"/>
    <n v="20638"/>
    <n v="44371"/>
    <n v="1848.7916666666667"/>
    <n v="53405"/>
    <n v="2225.2083333333335"/>
    <n v="7041.5916666666672"/>
    <n v="7517.6083333333336"/>
  </r>
  <r>
    <x v="13"/>
    <s v="Texas Southern University "/>
    <m/>
    <n v="229063"/>
    <x v="2"/>
    <s v="sem"/>
    <m/>
    <m/>
    <m/>
    <n v="73602"/>
    <n v="77417"/>
    <n v="10264"/>
    <n v="9683"/>
    <n v="91031"/>
    <n v="91511"/>
    <n v="174897"/>
    <n v="5829.9"/>
    <n v="178611"/>
    <n v="5953.7"/>
    <n v="138"/>
    <n v="102"/>
    <n v="174897"/>
    <n v="178611"/>
    <m/>
    <m/>
    <m/>
    <m/>
    <m/>
    <m/>
    <m/>
    <m/>
    <n v="0"/>
    <n v="0"/>
    <n v="0"/>
    <n v="0"/>
    <m/>
    <m/>
    <n v="0"/>
    <n v="0"/>
    <m/>
    <m/>
    <n v="23634"/>
    <n v="22523"/>
    <n v="5176"/>
    <n v="4771"/>
    <n v="23162"/>
    <n v="23483"/>
    <n v="51972"/>
    <n v="2165.5"/>
    <n v="50777"/>
    <n v="2115.7083333333335"/>
    <n v="7995.4"/>
    <n v="8069.4083333333328"/>
  </r>
  <r>
    <x v="13"/>
    <s v="Texas State University"/>
    <s v="Met the criteria for Four-Year 2 in 2014-15 and 2015-16."/>
    <n v="228459"/>
    <x v="2"/>
    <s v="sem"/>
    <m/>
    <m/>
    <m/>
    <n v="353377"/>
    <n v="364827"/>
    <n v="61560"/>
    <n v="61323"/>
    <n v="399703"/>
    <n v="415617"/>
    <n v="814640"/>
    <n v="27154.666666666668"/>
    <n v="841767"/>
    <n v="28058.9"/>
    <n v="0"/>
    <n v="0"/>
    <n v="814640"/>
    <n v="841767"/>
    <m/>
    <m/>
    <m/>
    <m/>
    <m/>
    <m/>
    <m/>
    <m/>
    <n v="0"/>
    <n v="0"/>
    <n v="0"/>
    <n v="0"/>
    <m/>
    <m/>
    <n v="0"/>
    <n v="0"/>
    <m/>
    <m/>
    <n v="29816"/>
    <n v="29707"/>
    <n v="13555"/>
    <n v="12209"/>
    <n v="31736"/>
    <n v="31420"/>
    <n v="75107"/>
    <n v="3129.4583333333335"/>
    <n v="73336"/>
    <n v="3055.6666666666665"/>
    <n v="30284.125"/>
    <n v="31114.566666666669"/>
  </r>
  <r>
    <x v="13"/>
    <s v="University of Houston-Clear Lake "/>
    <m/>
    <n v="225414"/>
    <x v="2"/>
    <s v="sem"/>
    <m/>
    <m/>
    <m/>
    <n v="43742"/>
    <n v="48929"/>
    <n v="13570"/>
    <n v="13306"/>
    <n v="50107"/>
    <n v="54490"/>
    <n v="107419"/>
    <n v="3580.6333333333332"/>
    <n v="116725"/>
    <n v="3890.8333333333335"/>
    <n v="0"/>
    <n v="0"/>
    <n v="107419"/>
    <n v="116725"/>
    <m/>
    <m/>
    <m/>
    <m/>
    <m/>
    <m/>
    <m/>
    <m/>
    <n v="0"/>
    <n v="0"/>
    <n v="0"/>
    <n v="0"/>
    <m/>
    <m/>
    <n v="0"/>
    <n v="0"/>
    <m/>
    <m/>
    <n v="22740"/>
    <n v="23066"/>
    <n v="9908"/>
    <n v="10402"/>
    <n v="24535"/>
    <n v="23888"/>
    <n v="57183"/>
    <n v="2382.625"/>
    <n v="57356"/>
    <n v="2389.8333333333335"/>
    <n v="5963.2583333333332"/>
    <n v="6280.666666666667"/>
  </r>
  <r>
    <x v="13"/>
    <s v="University of Texas at Tyler"/>
    <m/>
    <n v="228802"/>
    <x v="2"/>
    <s v="sem"/>
    <m/>
    <m/>
    <m/>
    <n v="59355"/>
    <n v="63918"/>
    <n v="10707"/>
    <n v="12981"/>
    <n v="67147"/>
    <n v="72898"/>
    <n v="137209"/>
    <n v="4573.6333333333332"/>
    <n v="149797"/>
    <n v="4993.2333333333336"/>
    <n v="447"/>
    <n v="1378"/>
    <n v="137209"/>
    <n v="149797"/>
    <m/>
    <m/>
    <m/>
    <m/>
    <m/>
    <m/>
    <m/>
    <m/>
    <n v="0"/>
    <n v="0"/>
    <n v="0"/>
    <n v="0"/>
    <m/>
    <m/>
    <n v="0"/>
    <n v="0"/>
    <m/>
    <m/>
    <n v="12244"/>
    <n v="13953"/>
    <n v="9784"/>
    <n v="11397"/>
    <n v="12790"/>
    <n v="13502"/>
    <n v="34818"/>
    <n v="1450.75"/>
    <n v="38852"/>
    <n v="1618.8333333333333"/>
    <n v="6024.3833333333332"/>
    <n v="6612.0666666666666"/>
  </r>
  <r>
    <x v="13"/>
    <s v="University of Texas of the Permian Basin"/>
    <m/>
    <n v="229018"/>
    <x v="2"/>
    <s v="sem"/>
    <m/>
    <m/>
    <m/>
    <n v="41720"/>
    <n v="44272"/>
    <n v="11704"/>
    <n v="16192"/>
    <n v="46915"/>
    <n v="45547"/>
    <n v="100339"/>
    <n v="3344.6333333333332"/>
    <n v="106011"/>
    <n v="3533.7"/>
    <n v="10085"/>
    <n v="11981"/>
    <n v="100339"/>
    <n v="106011"/>
    <m/>
    <m/>
    <m/>
    <m/>
    <m/>
    <m/>
    <m/>
    <m/>
    <n v="0"/>
    <n v="0"/>
    <n v="0"/>
    <n v="0"/>
    <m/>
    <m/>
    <n v="0"/>
    <n v="0"/>
    <m/>
    <m/>
    <n v="3709"/>
    <n v="3889"/>
    <n v="3090"/>
    <n v="3864"/>
    <n v="3862"/>
    <n v="2920"/>
    <n v="10661"/>
    <n v="444.20833333333331"/>
    <n v="10673"/>
    <n v="444.70833333333331"/>
    <n v="3788.8416666666667"/>
    <n v="3978.4083333333333"/>
  </r>
  <r>
    <x v="13"/>
    <s v="University of Texas - Rio Grande Valley"/>
    <m/>
    <n v="227368"/>
    <x v="2"/>
    <s v="sem"/>
    <m/>
    <m/>
    <m/>
    <n v="264307"/>
    <n v="273257"/>
    <n v="71345"/>
    <n v="78120"/>
    <n v="288565"/>
    <n v="286363"/>
    <n v="624217"/>
    <n v="20807.233333333334"/>
    <n v="637740"/>
    <n v="21258"/>
    <n v="10149"/>
    <n v="11448"/>
    <n v="624217"/>
    <n v="637740"/>
    <m/>
    <m/>
    <m/>
    <m/>
    <m/>
    <m/>
    <m/>
    <m/>
    <n v="0"/>
    <n v="0"/>
    <n v="0"/>
    <n v="0"/>
    <m/>
    <m/>
    <n v="0"/>
    <n v="0"/>
    <m/>
    <m/>
    <n v="22586"/>
    <n v="26271"/>
    <n v="13910"/>
    <n v="18653"/>
    <n v="25605"/>
    <n v="24931"/>
    <n v="62101"/>
    <n v="2587.5416666666665"/>
    <n v="69855"/>
    <n v="2910.625"/>
    <n v="23394.775000000001"/>
    <n v="24168.625"/>
  </r>
  <r>
    <x v="13"/>
    <s v="West Texas A&amp;M University"/>
    <m/>
    <n v="229814"/>
    <x v="2"/>
    <s v="sem"/>
    <m/>
    <m/>
    <m/>
    <n v="81189"/>
    <n v="81349"/>
    <n v="13179"/>
    <n v="12960"/>
    <n v="91053"/>
    <n v="92135"/>
    <n v="185421"/>
    <n v="6180.7"/>
    <n v="186444"/>
    <n v="6214.8"/>
    <n v="0"/>
    <n v="0"/>
    <n v="185421"/>
    <n v="186444"/>
    <m/>
    <m/>
    <m/>
    <m/>
    <m/>
    <m/>
    <m/>
    <m/>
    <n v="0"/>
    <n v="0"/>
    <n v="0"/>
    <n v="0"/>
    <m/>
    <m/>
    <n v="0"/>
    <n v="0"/>
    <m/>
    <m/>
    <n v="9189"/>
    <n v="11925"/>
    <n v="6745"/>
    <n v="7615"/>
    <n v="10994"/>
    <n v="12942"/>
    <n v="26928"/>
    <n v="1122"/>
    <n v="32482"/>
    <n v="1353.4166666666667"/>
    <n v="7302.7"/>
    <n v="7568.2166666666672"/>
  </r>
  <r>
    <x v="13"/>
    <s v="Texas A &amp; M University - Central Texas"/>
    <m/>
    <n v="483036"/>
    <x v="3"/>
    <s v="sem"/>
    <m/>
    <m/>
    <m/>
    <n v="14875"/>
    <n v="16280"/>
    <n v="8677"/>
    <n v="8415"/>
    <n v="13128"/>
    <n v="14870"/>
    <n v="36680"/>
    <n v="1222.6666666666667"/>
    <n v="39565"/>
    <n v="1318.8333333333333"/>
    <n v="0"/>
    <n v="0"/>
    <n v="36680"/>
    <n v="39565"/>
    <m/>
    <m/>
    <m/>
    <m/>
    <m/>
    <m/>
    <m/>
    <m/>
    <n v="0"/>
    <n v="0"/>
    <n v="0"/>
    <n v="0"/>
    <m/>
    <m/>
    <n v="0"/>
    <n v="0"/>
    <m/>
    <m/>
    <n v="3742"/>
    <n v="3737"/>
    <n v="2713"/>
    <n v="2946"/>
    <n v="3384"/>
    <n v="3620"/>
    <n v="9839"/>
    <n v="409.95833333333331"/>
    <n v="10303"/>
    <n v="429.29166666666669"/>
    <n v="1632.625"/>
    <n v="1748.125"/>
  </r>
  <r>
    <x v="13"/>
    <s v="Texas A&amp;M -Texarkana"/>
    <m/>
    <n v="224545"/>
    <x v="3"/>
    <s v="sem"/>
    <m/>
    <m/>
    <m/>
    <n v="13233"/>
    <n v="14364"/>
    <n v="4521"/>
    <n v="3853"/>
    <n v="14920"/>
    <n v="15300"/>
    <n v="32674"/>
    <n v="1089.1333333333334"/>
    <n v="33517"/>
    <n v="1117.2333333333333"/>
    <n v="0"/>
    <n v="0"/>
    <n v="32674"/>
    <n v="33517"/>
    <m/>
    <m/>
    <m/>
    <m/>
    <m/>
    <m/>
    <m/>
    <m/>
    <n v="0"/>
    <n v="0"/>
    <n v="0"/>
    <n v="0"/>
    <m/>
    <m/>
    <n v="0"/>
    <n v="0"/>
    <m/>
    <m/>
    <n v="2218"/>
    <n v="2499"/>
    <n v="1841"/>
    <n v="1530"/>
    <n v="2289"/>
    <n v="2245"/>
    <n v="6348"/>
    <n v="264.5"/>
    <n v="6274"/>
    <n v="261.41666666666669"/>
    <n v="1353.6333333333334"/>
    <n v="1378.65"/>
  </r>
  <r>
    <x v="13"/>
    <s v="University of Houston-Victoria"/>
    <m/>
    <n v="225502"/>
    <x v="3"/>
    <s v="sem"/>
    <m/>
    <m/>
    <m/>
    <n v="27382"/>
    <n v="29113"/>
    <n v="9113"/>
    <n v="9353"/>
    <n v="30036"/>
    <n v="29500"/>
    <n v="66531"/>
    <n v="2217.6999999999998"/>
    <n v="67966"/>
    <n v="2265.5333333333333"/>
    <n v="0"/>
    <n v="0"/>
    <n v="66531"/>
    <n v="67966"/>
    <m/>
    <m/>
    <m/>
    <m/>
    <m/>
    <m/>
    <m/>
    <m/>
    <n v="0"/>
    <n v="0"/>
    <n v="0"/>
    <n v="0"/>
    <m/>
    <m/>
    <n v="0"/>
    <n v="0"/>
    <m/>
    <m/>
    <n v="8736"/>
    <n v="7707"/>
    <n v="4443"/>
    <n v="3936"/>
    <n v="8667"/>
    <n v="7278"/>
    <n v="21846"/>
    <n v="910.25"/>
    <n v="18921"/>
    <n v="788.375"/>
    <n v="3127.95"/>
    <n v="3053.9083333333333"/>
  </r>
  <r>
    <x v="13"/>
    <s v="Sul Ross State University-Rio Grande College"/>
    <m/>
    <s v="228501B"/>
    <x v="4"/>
    <s v="sem"/>
    <m/>
    <m/>
    <m/>
    <n v="5108"/>
    <n v="5742"/>
    <n v="1674"/>
    <n v="3054"/>
    <n v="5577"/>
    <n v="6137"/>
    <n v="12359"/>
    <n v="411.96666666666664"/>
    <n v="14933"/>
    <n v="497.76666666666665"/>
    <n v="0"/>
    <n v="0"/>
    <n v="12359"/>
    <n v="14933"/>
    <m/>
    <m/>
    <m/>
    <m/>
    <m/>
    <m/>
    <m/>
    <m/>
    <n v="0"/>
    <n v="0"/>
    <n v="0"/>
    <n v="0"/>
    <m/>
    <m/>
    <n v="0"/>
    <n v="0"/>
    <m/>
    <m/>
    <n v="966"/>
    <n v="1113"/>
    <n v="402"/>
    <n v="747"/>
    <n v="993"/>
    <n v="807"/>
    <n v="2361"/>
    <n v="98.375"/>
    <n v="2667"/>
    <n v="111.125"/>
    <n v="510.34166666666664"/>
    <n v="608.89166666666665"/>
  </r>
  <r>
    <x v="13"/>
    <s v="Texas A &amp; M University - San Antonio"/>
    <m/>
    <n v="870501"/>
    <x v="4"/>
    <s v="sem"/>
    <m/>
    <m/>
    <m/>
    <n v="30168"/>
    <n v="30102"/>
    <n v="8208"/>
    <n v="9204"/>
    <n v="31231"/>
    <n v="33293"/>
    <n v="69607"/>
    <n v="2320.2333333333331"/>
    <n v="72599"/>
    <n v="2419.9666666666667"/>
    <n v="0"/>
    <n v="0"/>
    <n v="69607"/>
    <n v="72599"/>
    <m/>
    <m/>
    <m/>
    <m/>
    <m/>
    <m/>
    <m/>
    <m/>
    <n v="0"/>
    <n v="0"/>
    <n v="0"/>
    <n v="0"/>
    <m/>
    <m/>
    <n v="0"/>
    <n v="0"/>
    <m/>
    <m/>
    <n v="7147"/>
    <n v="6073"/>
    <n v="3230"/>
    <n v="2871"/>
    <n v="6817"/>
    <n v="5892"/>
    <n v="17194"/>
    <n v="716.41666666666663"/>
    <n v="14836"/>
    <n v="618.16666666666663"/>
    <n v="3036.6499999999996"/>
    <n v="3038.1333333333332"/>
  </r>
  <r>
    <x v="13"/>
    <s v="University of Houston-Downtown"/>
    <m/>
    <n v="225432"/>
    <x v="4"/>
    <s v="sem"/>
    <m/>
    <m/>
    <m/>
    <n v="119746"/>
    <n v="119835"/>
    <n v="31907"/>
    <n v="30859"/>
    <n v="129384"/>
    <n v="121104"/>
    <n v="281037"/>
    <n v="9367.9"/>
    <n v="271798"/>
    <n v="9059.9333333333325"/>
    <n v="638"/>
    <n v="841"/>
    <n v="281037"/>
    <n v="271798"/>
    <m/>
    <m/>
    <m/>
    <m/>
    <m/>
    <m/>
    <m/>
    <m/>
    <n v="0"/>
    <n v="0"/>
    <n v="0"/>
    <n v="0"/>
    <m/>
    <m/>
    <n v="0"/>
    <n v="0"/>
    <m/>
    <m/>
    <n v="1866"/>
    <n v="4311"/>
    <n v="1123"/>
    <n v="3814"/>
    <n v="2829"/>
    <n v="4578"/>
    <n v="5818"/>
    <n v="242.41666666666666"/>
    <n v="12703"/>
    <n v="529.29166666666663"/>
    <n v="9610.3166666666657"/>
    <n v="9589.2249999999985"/>
  </r>
  <r>
    <x v="13"/>
    <s v="Texas A&amp;M University at Galveston"/>
    <s v="Met the criteria for Four-Year 5 in 2014-15 and 2015-16."/>
    <n v="228714"/>
    <x v="5"/>
    <s v="sem"/>
    <m/>
    <m/>
    <m/>
    <n v="26114"/>
    <n v="27892"/>
    <n v="4804"/>
    <n v="4984"/>
    <n v="29602"/>
    <n v="29566"/>
    <n v="60520"/>
    <n v="2017.3333333333333"/>
    <n v="62442"/>
    <n v="2081.4"/>
    <n v="0"/>
    <n v="0"/>
    <n v="60520"/>
    <n v="62442"/>
    <m/>
    <m/>
    <m/>
    <m/>
    <m/>
    <m/>
    <m/>
    <m/>
    <n v="0"/>
    <n v="0"/>
    <n v="0"/>
    <n v="0"/>
    <m/>
    <m/>
    <n v="0"/>
    <n v="0"/>
    <m/>
    <m/>
    <n v="915"/>
    <n v="956"/>
    <n v="314"/>
    <n v="248"/>
    <n v="857"/>
    <n v="1006"/>
    <n v="2086"/>
    <n v="86.916666666666671"/>
    <n v="2210"/>
    <n v="92.083333333333329"/>
    <n v="2104.25"/>
    <n v="2173.4833333333336"/>
  </r>
  <r>
    <x v="13"/>
    <s v="Brazosport College "/>
    <m/>
    <n v="223506"/>
    <x v="11"/>
    <s v="sem"/>
    <m/>
    <n v="30477"/>
    <n v="29871"/>
    <n v="10046"/>
    <n v="10028"/>
    <n v="3253"/>
    <n v="3968"/>
    <n v="31172"/>
    <n v="30818"/>
    <n v="74948"/>
    <n v="2498.2666666666669"/>
    <n v="74685"/>
    <n v="2489.5"/>
    <n v="9490"/>
    <n v="11058"/>
    <n v="74948"/>
    <n v="74685"/>
    <n v="8933"/>
    <n v="7034"/>
    <n v="6995"/>
    <n v="9257"/>
    <n v="6001"/>
    <n v="5883"/>
    <n v="4739"/>
    <n v="7615"/>
    <n v="26668"/>
    <n v="29.63111111111111"/>
    <n v="29789"/>
    <n v="33.098888888888887"/>
    <m/>
    <m/>
    <n v="0"/>
    <n v="0"/>
    <m/>
    <m/>
    <m/>
    <m/>
    <m/>
    <m/>
    <m/>
    <m/>
    <n v="0"/>
    <n v="0"/>
    <n v="0"/>
    <n v="0"/>
    <n v="2527.8977777777782"/>
    <n v="2522.5988888888887"/>
  </r>
  <r>
    <x v="13"/>
    <s v="Midland College "/>
    <m/>
    <n v="226806"/>
    <x v="11"/>
    <s v="sem"/>
    <m/>
    <n v="42475"/>
    <n v="42765"/>
    <n v="11795"/>
    <n v="13035"/>
    <n v="9112"/>
    <n v="9233"/>
    <n v="38689"/>
    <n v="42475"/>
    <n v="102071"/>
    <n v="3402.3666666666668"/>
    <n v="107508"/>
    <n v="3583.6"/>
    <n v="5592"/>
    <n v="10716"/>
    <n v="102071"/>
    <n v="107508"/>
    <n v="61834"/>
    <n v="47429"/>
    <n v="49783"/>
    <n v="40021"/>
    <n v="65899"/>
    <n v="55056"/>
    <n v="64072"/>
    <n v="49700"/>
    <n v="241588"/>
    <n v="268.43111111111114"/>
    <n v="192206"/>
    <n v="213.56222222222223"/>
    <m/>
    <m/>
    <n v="0"/>
    <n v="0"/>
    <m/>
    <m/>
    <m/>
    <m/>
    <m/>
    <m/>
    <m/>
    <m/>
    <n v="0"/>
    <n v="0"/>
    <n v="0"/>
    <n v="0"/>
    <n v="3670.7977777777778"/>
    <n v="3797.1622222222222"/>
  </r>
  <r>
    <x v="13"/>
    <s v="South Texas College"/>
    <m/>
    <n v="409315"/>
    <x v="11"/>
    <s v="sem"/>
    <m/>
    <n v="248566"/>
    <n v="247175"/>
    <n v="45014"/>
    <n v="48822"/>
    <n v="32000"/>
    <n v="35647"/>
    <n v="250656"/>
    <n v="271880"/>
    <n v="576236"/>
    <n v="19207.866666666665"/>
    <n v="603524"/>
    <n v="20117.466666666667"/>
    <n v="159824"/>
    <n v="183431"/>
    <n v="576236"/>
    <n v="603524"/>
    <n v="100667"/>
    <n v="136782"/>
    <n v="156490"/>
    <n v="102854"/>
    <n v="89829"/>
    <n v="102282"/>
    <n v="388630"/>
    <n v="431892"/>
    <n v="735616"/>
    <n v="817.35111111111109"/>
    <n v="773810"/>
    <n v="859.78888888888889"/>
    <m/>
    <m/>
    <n v="0"/>
    <n v="0"/>
    <m/>
    <m/>
    <m/>
    <m/>
    <m/>
    <m/>
    <m/>
    <m/>
    <n v="0"/>
    <n v="0"/>
    <n v="0"/>
    <n v="0"/>
    <n v="20025.217777777776"/>
    <n v="20977.255555555555"/>
  </r>
  <r>
    <x v="13"/>
    <s v="Amarillo College "/>
    <m/>
    <n v="222576"/>
    <x v="7"/>
    <s v="sem"/>
    <m/>
    <n v="78683"/>
    <n v="77487"/>
    <n v="21093"/>
    <n v="20982"/>
    <n v="0"/>
    <n v="0"/>
    <n v="76377"/>
    <n v="73768"/>
    <n v="176153"/>
    <n v="5871.7666666666664"/>
    <n v="172237"/>
    <n v="5741.2333333333336"/>
    <n v="20995"/>
    <n v="23204"/>
    <n v="176153"/>
    <n v="172237"/>
    <n v="122083"/>
    <n v="92533"/>
    <n v="132916"/>
    <n v="132243"/>
    <n v="112352"/>
    <n v="108166"/>
    <n v="137218"/>
    <n v="131129"/>
    <n v="504569"/>
    <n v="560.63222222222225"/>
    <n v="464071"/>
    <n v="515.6344444444444"/>
    <m/>
    <m/>
    <n v="0"/>
    <n v="0"/>
    <m/>
    <m/>
    <m/>
    <m/>
    <m/>
    <m/>
    <m/>
    <m/>
    <n v="0"/>
    <n v="0"/>
    <n v="0"/>
    <n v="0"/>
    <n v="6432.3988888888889"/>
    <n v="6256.8677777777775"/>
  </r>
  <r>
    <x v="13"/>
    <s v="Austin Community College "/>
    <m/>
    <n v="222992"/>
    <x v="7"/>
    <s v="sem"/>
    <m/>
    <n v="294441"/>
    <n v="298769"/>
    <n v="157929"/>
    <n v="156806"/>
    <n v="0"/>
    <n v="0"/>
    <n v="275405"/>
    <n v="279347"/>
    <n v="727775"/>
    <n v="24259.166666666668"/>
    <n v="734922"/>
    <n v="24497.4"/>
    <n v="60305"/>
    <n v="66324"/>
    <n v="727775"/>
    <n v="734922"/>
    <n v="154583"/>
    <n v="118359"/>
    <n v="77184"/>
    <n v="77575"/>
    <n v="158838"/>
    <n v="193385"/>
    <n v="95381"/>
    <n v="127573"/>
    <n v="485986"/>
    <n v="539.98444444444442"/>
    <n v="516892"/>
    <n v="574.32444444444445"/>
    <m/>
    <m/>
    <n v="0"/>
    <n v="0"/>
    <m/>
    <m/>
    <m/>
    <m/>
    <m/>
    <m/>
    <m/>
    <m/>
    <n v="0"/>
    <n v="0"/>
    <n v="0"/>
    <n v="0"/>
    <n v="24799.151111111114"/>
    <n v="25071.724444444444"/>
  </r>
  <r>
    <x v="13"/>
    <s v="Blinn College "/>
    <m/>
    <n v="223427"/>
    <x v="7"/>
    <s v="sem"/>
    <m/>
    <n v="172976"/>
    <n v="180570"/>
    <n v="36288"/>
    <n v="36960"/>
    <n v="17710"/>
    <n v="16697"/>
    <n v="188064"/>
    <n v="192492"/>
    <n v="415038"/>
    <n v="13834.6"/>
    <n v="426719"/>
    <n v="14223.966666666667"/>
    <n v="15054"/>
    <n v="14855"/>
    <n v="415038"/>
    <n v="426719"/>
    <n v="26264"/>
    <n v="50604"/>
    <n v="32974"/>
    <n v="46312"/>
    <n v="35338"/>
    <n v="37280"/>
    <n v="54335"/>
    <n v="28340"/>
    <n v="148911"/>
    <n v="165.45666666666668"/>
    <n v="162536"/>
    <n v="180.59555555555556"/>
    <m/>
    <m/>
    <n v="0"/>
    <n v="0"/>
    <m/>
    <m/>
    <m/>
    <m/>
    <m/>
    <m/>
    <m/>
    <m/>
    <n v="0"/>
    <n v="0"/>
    <n v="0"/>
    <n v="0"/>
    <n v="14000.056666666667"/>
    <n v="14404.562222222223"/>
  </r>
  <r>
    <x v="13"/>
    <s v="Brookhaven College  (DCCCD)"/>
    <m/>
    <n v="223524"/>
    <x v="7"/>
    <s v="sem"/>
    <m/>
    <n v="77664"/>
    <n v="75078"/>
    <n v="44488"/>
    <n v="48072"/>
    <n v="0"/>
    <n v="0"/>
    <n v="63012"/>
    <n v="65049"/>
    <n v="185164"/>
    <n v="6172.1333333333332"/>
    <n v="188199"/>
    <n v="6273.3"/>
    <n v="10725"/>
    <n v="11358"/>
    <n v="185164"/>
    <n v="188199"/>
    <n v="47875"/>
    <n v="45900"/>
    <n v="47612"/>
    <n v="49887"/>
    <n v="55297"/>
    <n v="61753"/>
    <n v="70277"/>
    <n v="72283"/>
    <n v="221061"/>
    <n v="245.62333333333333"/>
    <n v="229823"/>
    <n v="255.35888888888888"/>
    <m/>
    <m/>
    <n v="0"/>
    <n v="0"/>
    <m/>
    <m/>
    <m/>
    <m/>
    <m/>
    <m/>
    <m/>
    <m/>
    <n v="0"/>
    <n v="0"/>
    <n v="0"/>
    <n v="0"/>
    <n v="6417.7566666666662"/>
    <n v="6528.6588888888891"/>
  </r>
  <r>
    <x v="13"/>
    <s v="Central Texas College "/>
    <m/>
    <n v="223816"/>
    <x v="7"/>
    <s v="sem"/>
    <m/>
    <n v="109845"/>
    <n v="112824"/>
    <n v="71716"/>
    <n v="60545"/>
    <n v="2755"/>
    <n v="7292"/>
    <n v="88708"/>
    <n v="80869"/>
    <n v="273024"/>
    <n v="9100.7999999999993"/>
    <n v="261530"/>
    <n v="8717.6666666666661"/>
    <n v="16065"/>
    <n v="16164"/>
    <n v="273024"/>
    <n v="261530"/>
    <n v="55046"/>
    <n v="90859"/>
    <n v="70884"/>
    <n v="88222"/>
    <n v="71294"/>
    <n v="100807"/>
    <n v="86363"/>
    <n v="88136"/>
    <n v="283587"/>
    <n v="315.09666666666669"/>
    <n v="368024"/>
    <n v="408.91555555555556"/>
    <m/>
    <m/>
    <n v="0"/>
    <n v="0"/>
    <m/>
    <m/>
    <m/>
    <m/>
    <m/>
    <m/>
    <m/>
    <m/>
    <n v="0"/>
    <n v="0"/>
    <n v="0"/>
    <n v="0"/>
    <n v="9415.8966666666656"/>
    <n v="9126.5822222222214"/>
  </r>
  <r>
    <x v="13"/>
    <s v="Collin County Community College District"/>
    <m/>
    <n v="247834"/>
    <x v="7"/>
    <s v="sem"/>
    <m/>
    <n v="222394"/>
    <n v="220760"/>
    <n v="45826"/>
    <n v="62130"/>
    <n v="39430"/>
    <n v="0"/>
    <n v="231752"/>
    <n v="254521"/>
    <n v="539402"/>
    <n v="17980.066666666666"/>
    <n v="537411"/>
    <n v="17913.7"/>
    <n v="26725"/>
    <n v="31907"/>
    <n v="539402"/>
    <n v="537411"/>
    <n v="139918"/>
    <n v="156530"/>
    <n v="135402"/>
    <n v="108651"/>
    <n v="125410"/>
    <n v="140827"/>
    <n v="209134"/>
    <n v="226331"/>
    <n v="609864"/>
    <n v="677.62666666666667"/>
    <n v="632339"/>
    <n v="702.59888888888884"/>
    <m/>
    <m/>
    <n v="0"/>
    <n v="0"/>
    <m/>
    <m/>
    <m/>
    <m/>
    <m/>
    <m/>
    <m/>
    <m/>
    <n v="0"/>
    <n v="0"/>
    <n v="0"/>
    <n v="0"/>
    <n v="18657.693333333333"/>
    <n v="18616.29888888889"/>
  </r>
  <r>
    <x v="13"/>
    <s v="Del Mar College "/>
    <m/>
    <n v="224350"/>
    <x v="7"/>
    <s v="sem"/>
    <m/>
    <n v="78742"/>
    <n v="78898"/>
    <n v="20910"/>
    <n v="21794"/>
    <n v="9453"/>
    <n v="8751"/>
    <n v="82965"/>
    <n v="86258"/>
    <n v="192070"/>
    <n v="6402.333333333333"/>
    <n v="195701"/>
    <n v="6523.3666666666668"/>
    <n v="17656"/>
    <n v="22882"/>
    <n v="192070"/>
    <n v="195701"/>
    <n v="134321"/>
    <n v="130032"/>
    <n v="82829"/>
    <n v="89582"/>
    <n v="80002"/>
    <n v="68392"/>
    <n v="126364"/>
    <n v="340330"/>
    <n v="423516"/>
    <n v="470.57333333333332"/>
    <n v="628336"/>
    <n v="698.15111111111116"/>
    <m/>
    <m/>
    <n v="0"/>
    <n v="0"/>
    <m/>
    <m/>
    <m/>
    <m/>
    <m/>
    <m/>
    <m/>
    <m/>
    <n v="0"/>
    <n v="0"/>
    <n v="0"/>
    <n v="0"/>
    <n v="6872.9066666666668"/>
    <n v="7221.5177777777781"/>
  </r>
  <r>
    <x v="13"/>
    <s v="Eastfield College  (DCCCD)"/>
    <m/>
    <n v="224572"/>
    <x v="7"/>
    <s v="sem"/>
    <m/>
    <n v="98909"/>
    <n v="104046"/>
    <n v="55019"/>
    <n v="54829"/>
    <n v="0"/>
    <n v="0"/>
    <n v="82649"/>
    <n v="77686"/>
    <n v="236577"/>
    <n v="7885.9"/>
    <n v="236561"/>
    <n v="7885.3666666666668"/>
    <n v="22506"/>
    <n v="26052"/>
    <n v="236577"/>
    <n v="236561"/>
    <n v="54466"/>
    <n v="63715"/>
    <n v="53127"/>
    <n v="73818"/>
    <n v="58732"/>
    <n v="77246"/>
    <n v="83441"/>
    <n v="77972"/>
    <n v="249766"/>
    <n v="277.51777777777778"/>
    <n v="292751"/>
    <n v="325.2788888888889"/>
    <m/>
    <m/>
    <n v="0"/>
    <n v="0"/>
    <m/>
    <m/>
    <m/>
    <m/>
    <m/>
    <m/>
    <m/>
    <m/>
    <n v="0"/>
    <n v="0"/>
    <n v="0"/>
    <n v="0"/>
    <n v="8163.4177777777777"/>
    <n v="8210.6455555555549"/>
  </r>
  <r>
    <x v="13"/>
    <s v="El Centro College  (DCCCD)"/>
    <m/>
    <n v="224615"/>
    <x v="7"/>
    <s v="sem"/>
    <m/>
    <n v="74012"/>
    <n v="69440"/>
    <n v="25758"/>
    <n v="26077"/>
    <n v="0"/>
    <n v="0"/>
    <n v="63911"/>
    <n v="60371"/>
    <n v="163681"/>
    <n v="5456.0333333333338"/>
    <n v="155888"/>
    <n v="5196.2666666666664"/>
    <n v="12409"/>
    <n v="15090"/>
    <n v="163681"/>
    <n v="155888"/>
    <n v="286422"/>
    <n v="291136"/>
    <n v="309904"/>
    <n v="329586"/>
    <n v="249699"/>
    <n v="275549"/>
    <n v="294052"/>
    <n v="294081"/>
    <n v="1140077"/>
    <n v="1266.7522222222221"/>
    <n v="1190352"/>
    <n v="1322.6133333333332"/>
    <m/>
    <m/>
    <n v="0"/>
    <n v="0"/>
    <m/>
    <m/>
    <m/>
    <m/>
    <m/>
    <m/>
    <m/>
    <m/>
    <n v="0"/>
    <n v="0"/>
    <n v="0"/>
    <n v="0"/>
    <n v="6722.7855555555561"/>
    <n v="6518.8799999999992"/>
  </r>
  <r>
    <x v="13"/>
    <s v="El Paso County Community College District"/>
    <m/>
    <n v="224642"/>
    <x v="7"/>
    <s v="sem"/>
    <m/>
    <n v="229906"/>
    <n v="223941"/>
    <n v="56515"/>
    <n v="52906"/>
    <n v="0"/>
    <n v="0"/>
    <n v="243557"/>
    <n v="239078"/>
    <n v="529978"/>
    <n v="17665.933333333334"/>
    <n v="515925"/>
    <n v="17197.5"/>
    <n v="63137"/>
    <n v="74850"/>
    <n v="529978"/>
    <n v="515925"/>
    <n v="106392"/>
    <n v="108159"/>
    <n v="106368"/>
    <n v="103110"/>
    <n v="104162"/>
    <n v="120682"/>
    <n v="133083"/>
    <n v="132866"/>
    <n v="450005"/>
    <n v="500.00555555555553"/>
    <n v="464817"/>
    <n v="516.46333333333337"/>
    <m/>
    <m/>
    <n v="0"/>
    <n v="0"/>
    <m/>
    <m/>
    <m/>
    <m/>
    <m/>
    <m/>
    <m/>
    <m/>
    <n v="0"/>
    <n v="0"/>
    <n v="0"/>
    <n v="0"/>
    <n v="18165.93888888889"/>
    <n v="17713.963333333333"/>
  </r>
  <r>
    <x v="13"/>
    <s v="Houston Community College"/>
    <m/>
    <n v="225423"/>
    <x v="7"/>
    <s v="sem"/>
    <m/>
    <n v="469431"/>
    <n v="485439"/>
    <n v="265714"/>
    <n v="274483"/>
    <n v="0"/>
    <n v="0"/>
    <n v="355376"/>
    <n v="347588"/>
    <n v="1090521"/>
    <n v="36350.699999999997"/>
    <n v="1107510"/>
    <n v="36917"/>
    <n v="68884"/>
    <n v="72303"/>
    <n v="1090521"/>
    <n v="1107510"/>
    <n v="544076"/>
    <n v="627990"/>
    <n v="422407"/>
    <n v="486298"/>
    <n v="401685"/>
    <n v="439365"/>
    <n v="734509"/>
    <n v="760044"/>
    <n v="2102677"/>
    <n v="2336.3077777777776"/>
    <n v="2313697"/>
    <n v="2570.7744444444443"/>
    <m/>
    <m/>
    <n v="0"/>
    <n v="0"/>
    <m/>
    <m/>
    <m/>
    <m/>
    <m/>
    <m/>
    <m/>
    <m/>
    <n v="0"/>
    <n v="0"/>
    <n v="0"/>
    <n v="0"/>
    <n v="38687.007777777777"/>
    <n v="39487.774444444447"/>
  </r>
  <r>
    <x v="13"/>
    <s v="Kilgore College "/>
    <s v="Reclassified: Met the criteria for Two-Year 2 in 2013-14, 2014-15, and 2015-16."/>
    <n v="226019"/>
    <x v="6"/>
    <s v="sem"/>
    <m/>
    <n v="53214"/>
    <n v="48648"/>
    <n v="9682"/>
    <n v="8222"/>
    <n v="4654"/>
    <n v="3596"/>
    <n v="55116"/>
    <n v="51106"/>
    <n v="122666"/>
    <n v="4088.8666666666668"/>
    <n v="111572"/>
    <n v="3719.0666666666666"/>
    <n v="10223"/>
    <n v="10155"/>
    <n v="122666"/>
    <n v="111572"/>
    <n v="129968"/>
    <n v="137223"/>
    <n v="125494"/>
    <n v="123916"/>
    <n v="137340"/>
    <n v="155975"/>
    <n v="117676"/>
    <n v="93064"/>
    <n v="510478"/>
    <n v="567.19777777777779"/>
    <n v="510178"/>
    <n v="566.86444444444442"/>
    <m/>
    <m/>
    <n v="0"/>
    <n v="0"/>
    <m/>
    <m/>
    <m/>
    <m/>
    <m/>
    <m/>
    <m/>
    <m/>
    <n v="0"/>
    <n v="0"/>
    <n v="0"/>
    <n v="0"/>
    <n v="4656.0644444444442"/>
    <n v="4285.931111111111"/>
  </r>
  <r>
    <x v="13"/>
    <s v="Laredo Community College "/>
    <m/>
    <n v="226134"/>
    <x v="7"/>
    <s v="sem"/>
    <m/>
    <n v="67677"/>
    <n v="65528"/>
    <n v="12840"/>
    <n v="12366"/>
    <n v="3936"/>
    <n v="4017"/>
    <n v="71207"/>
    <n v="68759"/>
    <n v="155660"/>
    <n v="5188.666666666667"/>
    <n v="150670"/>
    <n v="5022.333333333333"/>
    <n v="7936"/>
    <n v="9109"/>
    <n v="155660"/>
    <n v="150670"/>
    <n v="17416"/>
    <n v="22645"/>
    <n v="20396"/>
    <n v="27573"/>
    <n v="22574"/>
    <n v="27472"/>
    <n v="18956"/>
    <n v="17610"/>
    <n v="79342"/>
    <n v="88.157777777777781"/>
    <n v="95300"/>
    <n v="105.88888888888889"/>
    <m/>
    <m/>
    <n v="0"/>
    <n v="0"/>
    <m/>
    <m/>
    <m/>
    <m/>
    <m/>
    <m/>
    <m/>
    <m/>
    <n v="0"/>
    <n v="0"/>
    <n v="0"/>
    <n v="0"/>
    <n v="5276.8244444444445"/>
    <n v="5128.2222222222217"/>
  </r>
  <r>
    <x v="13"/>
    <s v="Lone Star College System District"/>
    <m/>
    <n v="227182"/>
    <x v="7"/>
    <s v="sem"/>
    <m/>
    <n v="526847"/>
    <n v="526670"/>
    <n v="247451"/>
    <n v="257257"/>
    <n v="0"/>
    <n v="0"/>
    <n v="484283"/>
    <n v="484207"/>
    <n v="1258581"/>
    <n v="41952.7"/>
    <n v="1268134"/>
    <n v="42271.133333333331"/>
    <n v="92883"/>
    <n v="113657"/>
    <n v="1258581"/>
    <n v="1268134"/>
    <n v="116390"/>
    <n v="147976"/>
    <n v="115399"/>
    <n v="150855"/>
    <n v="107093"/>
    <n v="116489"/>
    <n v="171524"/>
    <n v="179314"/>
    <n v="510406"/>
    <n v="567.11777777777775"/>
    <n v="594634"/>
    <n v="660.70444444444445"/>
    <m/>
    <m/>
    <n v="0"/>
    <n v="0"/>
    <m/>
    <m/>
    <m/>
    <m/>
    <m/>
    <m/>
    <m/>
    <m/>
    <n v="0"/>
    <n v="0"/>
    <n v="0"/>
    <n v="0"/>
    <n v="42519.817777777775"/>
    <n v="42931.837777777779"/>
  </r>
  <r>
    <x v="13"/>
    <s v="McLennan Community College "/>
    <m/>
    <n v="226578"/>
    <x v="7"/>
    <s v="sem"/>
    <m/>
    <n v="76488"/>
    <n v="73925"/>
    <n v="17501"/>
    <n v="17671"/>
    <n v="9455"/>
    <n v="9913"/>
    <n v="76749"/>
    <n v="75271"/>
    <n v="180193"/>
    <n v="6006.4333333333334"/>
    <n v="176780"/>
    <n v="5892.666666666667"/>
    <n v="9648"/>
    <n v="11567"/>
    <n v="180193"/>
    <n v="176780"/>
    <n v="47756"/>
    <n v="45371"/>
    <n v="33175"/>
    <n v="26415"/>
    <n v="56084"/>
    <n v="54811"/>
    <n v="42841"/>
    <n v="58285"/>
    <n v="179856"/>
    <n v="199.84"/>
    <n v="184882"/>
    <n v="205.42444444444445"/>
    <m/>
    <m/>
    <n v="0"/>
    <n v="0"/>
    <m/>
    <m/>
    <m/>
    <m/>
    <m/>
    <m/>
    <m/>
    <m/>
    <n v="0"/>
    <n v="0"/>
    <n v="0"/>
    <n v="0"/>
    <n v="6206.2733333333335"/>
    <n v="6098.0911111111118"/>
  </r>
  <r>
    <x v="13"/>
    <s v="Navarro College "/>
    <m/>
    <n v="227146"/>
    <x v="7"/>
    <s v="sem"/>
    <m/>
    <n v="95036"/>
    <n v="89473"/>
    <n v="19208"/>
    <n v="20694"/>
    <n v="7293"/>
    <n v="6298"/>
    <n v="91846"/>
    <n v="85634"/>
    <n v="213383"/>
    <n v="7112.7666666666664"/>
    <n v="202099"/>
    <n v="6736.6333333333332"/>
    <n v="30362"/>
    <n v="34270"/>
    <n v="213383"/>
    <n v="202099"/>
    <n v="44496"/>
    <n v="38819"/>
    <n v="47013"/>
    <n v="46989"/>
    <n v="51231"/>
    <n v="35110"/>
    <n v="53473"/>
    <n v="58321"/>
    <n v="196213"/>
    <n v="218.01444444444445"/>
    <n v="179239"/>
    <n v="199.15444444444444"/>
    <m/>
    <m/>
    <n v="0"/>
    <n v="0"/>
    <m/>
    <m/>
    <m/>
    <m/>
    <m/>
    <m/>
    <m/>
    <m/>
    <n v="0"/>
    <n v="0"/>
    <n v="0"/>
    <n v="0"/>
    <n v="7330.7811111111105"/>
    <n v="6935.7877777777776"/>
  </r>
  <r>
    <x v="13"/>
    <s v="North Central Texas Community College"/>
    <m/>
    <n v="224110"/>
    <x v="7"/>
    <s v="sem"/>
    <m/>
    <n v="80363"/>
    <n v="78630"/>
    <n v="24674"/>
    <n v="24398"/>
    <n v="0"/>
    <n v="0"/>
    <n v="83580"/>
    <n v="76457"/>
    <n v="188617"/>
    <n v="6287.2333333333336"/>
    <n v="179485"/>
    <n v="5982.833333333333"/>
    <n v="17801"/>
    <n v="16147"/>
    <n v="188617"/>
    <n v="179485"/>
    <n v="25462"/>
    <n v="17319"/>
    <n v="13858"/>
    <n v="7251"/>
    <n v="22816"/>
    <n v="10154"/>
    <n v="28863"/>
    <n v="19576"/>
    <n v="90999"/>
    <n v="101.11"/>
    <n v="54300"/>
    <n v="60.333333333333336"/>
    <m/>
    <m/>
    <n v="0"/>
    <n v="0"/>
    <m/>
    <m/>
    <m/>
    <m/>
    <m/>
    <m/>
    <m/>
    <m/>
    <n v="0"/>
    <n v="0"/>
    <n v="0"/>
    <n v="0"/>
    <n v="6388.3433333333332"/>
    <n v="6043.1666666666661"/>
  </r>
  <r>
    <x v="13"/>
    <s v="North Lake College  (DCCCD)"/>
    <m/>
    <n v="227191"/>
    <x v="7"/>
    <s v="sem"/>
    <m/>
    <n v="71263"/>
    <n v="68132"/>
    <n v="43865"/>
    <n v="42220"/>
    <n v="0"/>
    <n v="0"/>
    <n v="60791"/>
    <n v="57340"/>
    <n v="175919"/>
    <n v="5863.9666666666662"/>
    <n v="167692"/>
    <n v="5589.7333333333336"/>
    <n v="9413"/>
    <n v="9762"/>
    <n v="175919"/>
    <n v="167692"/>
    <n v="126657"/>
    <n v="133503"/>
    <n v="59743"/>
    <n v="132114"/>
    <n v="77419"/>
    <n v="103195"/>
    <n v="183545"/>
    <n v="216893"/>
    <n v="447364"/>
    <n v="497.07111111111112"/>
    <n v="585705"/>
    <n v="650.7833333333333"/>
    <m/>
    <m/>
    <n v="0"/>
    <n v="0"/>
    <m/>
    <m/>
    <m/>
    <m/>
    <m/>
    <m/>
    <m/>
    <m/>
    <n v="0"/>
    <n v="0"/>
    <n v="0"/>
    <n v="0"/>
    <n v="6361.0377777777776"/>
    <n v="6240.5166666666664"/>
  </r>
  <r>
    <x v="13"/>
    <s v="Northwest Vista College (ACCD)"/>
    <m/>
    <n v="420398"/>
    <x v="7"/>
    <s v="sem"/>
    <m/>
    <n v="121246"/>
    <n v="121549"/>
    <n v="40838"/>
    <n v="42171"/>
    <n v="0"/>
    <n v="0"/>
    <n v="119242"/>
    <n v="126459"/>
    <n v="281326"/>
    <n v="9377.5333333333328"/>
    <n v="290179"/>
    <n v="9672.6333333333332"/>
    <n v="25779"/>
    <n v="29434"/>
    <n v="281326"/>
    <n v="290179"/>
    <n v="11580"/>
    <n v="13052"/>
    <n v="20611"/>
    <n v="22794"/>
    <n v="18893"/>
    <n v="22328"/>
    <n v="19323"/>
    <n v="16037"/>
    <n v="70407"/>
    <n v="78.23"/>
    <n v="74211"/>
    <n v="82.456666666666663"/>
    <m/>
    <m/>
    <n v="0"/>
    <n v="0"/>
    <m/>
    <m/>
    <m/>
    <m/>
    <m/>
    <m/>
    <m/>
    <m/>
    <n v="0"/>
    <n v="0"/>
    <n v="0"/>
    <n v="0"/>
    <n v="9455.7633333333324"/>
    <n v="9755.09"/>
  </r>
  <r>
    <x v="13"/>
    <s v="Palo Alto College  (ACCD)"/>
    <s v="Met the criteria for Two-Year 2 in 2014-15 and 2015-16."/>
    <n v="246354"/>
    <x v="7"/>
    <s v="sem"/>
    <m/>
    <n v="62622"/>
    <n v="62146"/>
    <n v="26685"/>
    <n v="27960"/>
    <n v="0"/>
    <n v="0"/>
    <n v="56204"/>
    <n v="56708"/>
    <n v="145511"/>
    <n v="4850.3666666666668"/>
    <n v="146814"/>
    <n v="4893.8"/>
    <n v="14575"/>
    <n v="15970"/>
    <n v="145511"/>
    <n v="146814"/>
    <n v="35859"/>
    <n v="8340"/>
    <n v="39324"/>
    <n v="9478"/>
    <n v="39426"/>
    <n v="2832"/>
    <n v="17034"/>
    <n v="16524"/>
    <n v="131643"/>
    <n v="146.27000000000001"/>
    <n v="37174"/>
    <n v="41.304444444444442"/>
    <m/>
    <m/>
    <n v="0"/>
    <n v="0"/>
    <m/>
    <m/>
    <m/>
    <m/>
    <m/>
    <m/>
    <m/>
    <m/>
    <n v="0"/>
    <n v="0"/>
    <n v="0"/>
    <n v="0"/>
    <n v="4996.6366666666672"/>
    <n v="4935.1044444444442"/>
  </r>
  <r>
    <x v="13"/>
    <s v="Richland College  (DCCCD)"/>
    <m/>
    <n v="227766"/>
    <x v="7"/>
    <s v="sem"/>
    <m/>
    <n v="135958"/>
    <n v="135377"/>
    <n v="76165"/>
    <n v="74807"/>
    <n v="0"/>
    <n v="0"/>
    <n v="110908"/>
    <n v="112141"/>
    <n v="323031"/>
    <n v="10767.7"/>
    <n v="322325"/>
    <n v="10744.166666666666"/>
    <n v="35938"/>
    <n v="37140"/>
    <n v="323031"/>
    <n v="322325"/>
    <n v="126204"/>
    <n v="133327"/>
    <n v="147080"/>
    <n v="158354"/>
    <n v="140590"/>
    <n v="150596"/>
    <n v="176506"/>
    <n v="196736"/>
    <n v="590380"/>
    <n v="655.97777777777776"/>
    <n v="639013"/>
    <n v="710.01444444444439"/>
    <m/>
    <m/>
    <n v="0"/>
    <n v="0"/>
    <m/>
    <m/>
    <m/>
    <m/>
    <m/>
    <m/>
    <m/>
    <m/>
    <n v="0"/>
    <n v="0"/>
    <n v="0"/>
    <n v="0"/>
    <n v="11423.677777777779"/>
    <n v="11454.181111111111"/>
  </r>
  <r>
    <x v="13"/>
    <s v="San Antonio College (ACCD)"/>
    <m/>
    <n v="227924"/>
    <x v="7"/>
    <s v="sem"/>
    <m/>
    <n v="183914"/>
    <n v="167140"/>
    <n v="68187"/>
    <n v="64441"/>
    <n v="0"/>
    <n v="0"/>
    <n v="152037"/>
    <n v="136780"/>
    <n v="404138"/>
    <n v="13471.266666666666"/>
    <n v="368361"/>
    <n v="12278.7"/>
    <n v="28000"/>
    <n v="29763"/>
    <n v="404138"/>
    <n v="368361"/>
    <n v="40761"/>
    <n v="64687"/>
    <n v="55164"/>
    <n v="58639"/>
    <n v="69059"/>
    <n v="55450"/>
    <n v="73909"/>
    <n v="48012"/>
    <n v="238893"/>
    <n v="265.43666666666667"/>
    <n v="226788"/>
    <n v="251.98666666666668"/>
    <m/>
    <m/>
    <n v="0"/>
    <n v="0"/>
    <m/>
    <m/>
    <m/>
    <m/>
    <m/>
    <m/>
    <m/>
    <m/>
    <n v="0"/>
    <n v="0"/>
    <n v="0"/>
    <n v="0"/>
    <n v="13736.703333333333"/>
    <n v="12530.686666666668"/>
  </r>
  <r>
    <x v="13"/>
    <s v="San Jacinto College"/>
    <m/>
    <n v="227979"/>
    <x v="7"/>
    <s v="sem"/>
    <m/>
    <n v="237007"/>
    <n v="232986"/>
    <n v="102176"/>
    <n v="107137"/>
    <n v="0"/>
    <n v="0"/>
    <n v="222313"/>
    <n v="219630"/>
    <n v="561496"/>
    <n v="18716.533333333333"/>
    <n v="559753"/>
    <n v="18658.433333333334"/>
    <n v="33098"/>
    <n v="39056"/>
    <n v="561496"/>
    <n v="559753"/>
    <n v="86583"/>
    <n v="100816"/>
    <n v="55285"/>
    <n v="68733"/>
    <n v="72295"/>
    <n v="114969"/>
    <n v="108311"/>
    <n v="101482"/>
    <n v="322474"/>
    <n v="358.30444444444447"/>
    <n v="386000"/>
    <n v="428.88888888888891"/>
    <m/>
    <m/>
    <n v="0"/>
    <n v="0"/>
    <m/>
    <m/>
    <m/>
    <m/>
    <m/>
    <m/>
    <m/>
    <m/>
    <n v="0"/>
    <n v="0"/>
    <n v="0"/>
    <n v="0"/>
    <n v="19074.837777777779"/>
    <n v="19087.322222222225"/>
  </r>
  <r>
    <x v="13"/>
    <s v="South Plains College "/>
    <m/>
    <n v="228158"/>
    <x v="7"/>
    <s v="sem"/>
    <m/>
    <n v="85873"/>
    <n v="86540"/>
    <n v="13697"/>
    <n v="13479"/>
    <n v="6882"/>
    <n v="6696"/>
    <n v="93572"/>
    <n v="90191"/>
    <n v="200024"/>
    <n v="6667.4666666666662"/>
    <n v="196906"/>
    <n v="6563.5333333333338"/>
    <n v="18078"/>
    <n v="16574"/>
    <n v="200024"/>
    <n v="196906"/>
    <n v="42860"/>
    <n v="54026"/>
    <n v="59755"/>
    <n v="62626"/>
    <n v="51848"/>
    <n v="54780"/>
    <n v="65397"/>
    <n v="71749"/>
    <n v="219860"/>
    <n v="244.28888888888889"/>
    <n v="243181"/>
    <n v="270.20111111111112"/>
    <m/>
    <m/>
    <n v="0"/>
    <n v="0"/>
    <m/>
    <m/>
    <m/>
    <m/>
    <m/>
    <m/>
    <m/>
    <m/>
    <n v="0"/>
    <n v="0"/>
    <n v="0"/>
    <n v="0"/>
    <n v="6911.7555555555555"/>
    <n v="6833.7344444444452"/>
  </r>
  <r>
    <x v="13"/>
    <s v="St. Philip's College  (ACCD)"/>
    <m/>
    <n v="227854"/>
    <x v="7"/>
    <s v="sem"/>
    <m/>
    <n v="75400"/>
    <n v="80150"/>
    <n v="31386"/>
    <n v="34872"/>
    <n v="0"/>
    <n v="0"/>
    <n v="67031"/>
    <n v="69848"/>
    <n v="173817"/>
    <n v="5793.9"/>
    <n v="184870"/>
    <n v="6162.333333333333"/>
    <n v="18269"/>
    <n v="26669"/>
    <n v="173817"/>
    <n v="184870"/>
    <n v="18274"/>
    <n v="35755"/>
    <n v="22232"/>
    <n v="33708"/>
    <n v="20209"/>
    <n v="32559"/>
    <n v="27477"/>
    <n v="28255"/>
    <n v="88192"/>
    <n v="97.99111111111111"/>
    <n v="130277"/>
    <n v="144.75222222222223"/>
    <m/>
    <m/>
    <n v="0"/>
    <n v="0"/>
    <m/>
    <m/>
    <m/>
    <m/>
    <m/>
    <m/>
    <m/>
    <m/>
    <n v="0"/>
    <n v="0"/>
    <n v="0"/>
    <n v="0"/>
    <n v="5891.8911111111111"/>
    <n v="6307.0855555555554"/>
  </r>
  <r>
    <x v="13"/>
    <s v="Tarrant County College"/>
    <m/>
    <n v="228547"/>
    <x v="7"/>
    <s v="sem"/>
    <m/>
    <n v="393671"/>
    <n v="388247"/>
    <n v="210796"/>
    <n v="199216"/>
    <n v="0"/>
    <n v="0"/>
    <n v="362706"/>
    <n v="364906"/>
    <n v="967173"/>
    <n v="32239.1"/>
    <n v="952369"/>
    <n v="31745.633333333335"/>
    <n v="61116"/>
    <n v="49687"/>
    <n v="967173"/>
    <n v="952369"/>
    <n v="157768"/>
    <n v="200454"/>
    <n v="241323"/>
    <n v="190411"/>
    <n v="177499"/>
    <n v="186594"/>
    <n v="239440"/>
    <n v="225357"/>
    <n v="816030"/>
    <n v="906.7"/>
    <n v="802816"/>
    <n v="892.01777777777772"/>
    <m/>
    <m/>
    <n v="0"/>
    <n v="0"/>
    <m/>
    <m/>
    <m/>
    <m/>
    <m/>
    <m/>
    <m/>
    <m/>
    <n v="0"/>
    <n v="0"/>
    <n v="0"/>
    <n v="0"/>
    <n v="33145.799999999996"/>
    <n v="32637.651111111114"/>
  </r>
  <r>
    <x v="13"/>
    <s v="Trinity Valley Community College"/>
    <m/>
    <n v="225308"/>
    <x v="7"/>
    <s v="sem"/>
    <m/>
    <n v="60952"/>
    <n v="58850"/>
    <n v="14005"/>
    <n v="12876"/>
    <n v="11834"/>
    <n v="11288"/>
    <n v="61545"/>
    <n v="58858"/>
    <n v="148336"/>
    <n v="4944.5333333333338"/>
    <n v="141872"/>
    <n v="4729.0666666666666"/>
    <n v="16675"/>
    <n v="22796"/>
    <n v="148336"/>
    <n v="141872"/>
    <n v="36919"/>
    <n v="73122"/>
    <n v="39048"/>
    <n v="41052"/>
    <n v="83453"/>
    <n v="82730"/>
    <n v="70648"/>
    <n v="65378"/>
    <n v="230068"/>
    <n v="255.63111111111112"/>
    <n v="262282"/>
    <n v="291.42444444444442"/>
    <m/>
    <m/>
    <n v="0"/>
    <n v="0"/>
    <m/>
    <m/>
    <m/>
    <m/>
    <m/>
    <m/>
    <m/>
    <m/>
    <n v="0"/>
    <n v="0"/>
    <n v="0"/>
    <n v="0"/>
    <n v="5200.1644444444446"/>
    <n v="5020.4911111111114"/>
  </r>
  <r>
    <x v="13"/>
    <s v="Tyler Junior College "/>
    <m/>
    <n v="229355"/>
    <x v="7"/>
    <s v="sem"/>
    <m/>
    <n v="103420"/>
    <n v="103583"/>
    <n v="27472"/>
    <n v="25643"/>
    <n v="7383"/>
    <n v="7056"/>
    <n v="99722"/>
    <n v="96088"/>
    <n v="237997"/>
    <n v="7933.2333333333336"/>
    <n v="232370"/>
    <n v="7745.666666666667"/>
    <n v="18728"/>
    <n v="19804"/>
    <n v="237997"/>
    <n v="232370"/>
    <n v="55961"/>
    <n v="58370"/>
    <n v="55932"/>
    <n v="31229"/>
    <n v="60819"/>
    <n v="44245"/>
    <n v="54138"/>
    <n v="46697"/>
    <n v="226850"/>
    <n v="252.05555555555554"/>
    <n v="180541"/>
    <n v="200.60111111111112"/>
    <m/>
    <m/>
    <n v="0"/>
    <n v="0"/>
    <m/>
    <m/>
    <m/>
    <m/>
    <m/>
    <m/>
    <m/>
    <m/>
    <n v="0"/>
    <n v="0"/>
    <n v="0"/>
    <n v="0"/>
    <n v="8185.2888888888892"/>
    <n v="7946.2677777777781"/>
  </r>
  <r>
    <x v="13"/>
    <s v="Alvin Community College "/>
    <m/>
    <n v="222567"/>
    <x v="6"/>
    <s v="sem"/>
    <m/>
    <n v="40060"/>
    <n v="39806"/>
    <n v="18000"/>
    <n v="17370"/>
    <n v="0"/>
    <n v="0"/>
    <n v="39950"/>
    <n v="40333"/>
    <n v="98010"/>
    <n v="3267"/>
    <n v="97509"/>
    <n v="3250.3"/>
    <n v="15234"/>
    <n v="16792"/>
    <n v="98010"/>
    <n v="97509"/>
    <n v="25126"/>
    <n v="32476"/>
    <n v="27785"/>
    <n v="30660"/>
    <n v="23173"/>
    <n v="35120"/>
    <n v="37041"/>
    <n v="23917"/>
    <n v="113125"/>
    <n v="125.69444444444444"/>
    <n v="122173"/>
    <n v="135.74777777777777"/>
    <m/>
    <m/>
    <n v="0"/>
    <n v="0"/>
    <m/>
    <m/>
    <m/>
    <m/>
    <m/>
    <m/>
    <m/>
    <m/>
    <n v="0"/>
    <n v="0"/>
    <n v="0"/>
    <n v="0"/>
    <n v="3392.6944444444443"/>
    <n v="3386.0477777777778"/>
  </r>
  <r>
    <x v="13"/>
    <s v="Angelina College "/>
    <m/>
    <n v="222822"/>
    <x v="6"/>
    <s v="sem"/>
    <m/>
    <n v="42311"/>
    <n v="40585"/>
    <n v="7862"/>
    <n v="7499"/>
    <n v="4053"/>
    <n v="4345"/>
    <n v="43565"/>
    <n v="42371"/>
    <n v="97791"/>
    <n v="3259.7"/>
    <n v="94800"/>
    <n v="3160"/>
    <n v="14979"/>
    <n v="15867"/>
    <n v="97791"/>
    <n v="94800"/>
    <n v="46903"/>
    <n v="80767"/>
    <n v="46789"/>
    <n v="16796"/>
    <n v="79345"/>
    <n v="81471"/>
    <n v="42710"/>
    <n v="43712"/>
    <n v="215747"/>
    <n v="239.7188888888889"/>
    <n v="222746"/>
    <n v="247.49555555555557"/>
    <m/>
    <m/>
    <n v="0"/>
    <n v="0"/>
    <m/>
    <m/>
    <m/>
    <m/>
    <m/>
    <m/>
    <m/>
    <m/>
    <n v="0"/>
    <n v="0"/>
    <n v="0"/>
    <n v="0"/>
    <n v="3499.4188888888889"/>
    <n v="3407.4955555555557"/>
  </r>
  <r>
    <x v="13"/>
    <s v="Cedar Valley College  (DCCCD)"/>
    <m/>
    <n v="223773"/>
    <x v="6"/>
    <s v="sem"/>
    <m/>
    <n v="44312"/>
    <n v="43999"/>
    <n v="22875"/>
    <n v="25497"/>
    <n v="0"/>
    <n v="0"/>
    <n v="36712"/>
    <n v="37118"/>
    <n v="103899"/>
    <n v="3463.3"/>
    <n v="106614"/>
    <n v="3553.8"/>
    <n v="14767"/>
    <n v="17439"/>
    <n v="103899"/>
    <n v="106614"/>
    <n v="25955"/>
    <n v="42851"/>
    <n v="36752"/>
    <n v="48234"/>
    <n v="42779"/>
    <n v="33029"/>
    <n v="37631"/>
    <n v="68273"/>
    <n v="143117"/>
    <n v="159.01888888888888"/>
    <n v="192387"/>
    <n v="213.76333333333332"/>
    <m/>
    <m/>
    <n v="0"/>
    <n v="0"/>
    <m/>
    <m/>
    <m/>
    <m/>
    <m/>
    <m/>
    <m/>
    <m/>
    <n v="0"/>
    <n v="0"/>
    <n v="0"/>
    <n v="0"/>
    <n v="3622.318888888889"/>
    <n v="3767.5633333333335"/>
  </r>
  <r>
    <x v="13"/>
    <s v="Cisco Junior College"/>
    <m/>
    <n v="223898"/>
    <x v="6"/>
    <s v="sem"/>
    <m/>
    <n v="33568"/>
    <n v="32444"/>
    <n v="5885"/>
    <n v="5614"/>
    <n v="1885"/>
    <n v="1801"/>
    <n v="33765"/>
    <n v="31207"/>
    <n v="75103"/>
    <n v="2503.4333333333334"/>
    <n v="71066"/>
    <n v="2368.8666666666668"/>
    <n v="7846"/>
    <n v="8040"/>
    <n v="75103"/>
    <n v="71066"/>
    <n v="2040"/>
    <n v="1968"/>
    <n v="7352"/>
    <n v="4224"/>
    <n v="6652"/>
    <n v="2700"/>
    <n v="3672"/>
    <n v="7620"/>
    <n v="19716"/>
    <n v="21.906666666666666"/>
    <n v="16512"/>
    <n v="18.346666666666668"/>
    <m/>
    <m/>
    <n v="0"/>
    <n v="0"/>
    <m/>
    <m/>
    <m/>
    <m/>
    <m/>
    <m/>
    <m/>
    <m/>
    <n v="0"/>
    <n v="0"/>
    <n v="0"/>
    <n v="0"/>
    <n v="2525.34"/>
    <n v="2387.2133333333336"/>
  </r>
  <r>
    <x v="13"/>
    <s v="Coastal Bend College"/>
    <m/>
    <n v="223320"/>
    <x v="6"/>
    <s v="sem"/>
    <m/>
    <n v="29193"/>
    <n v="31051"/>
    <n v="7157"/>
    <n v="6445"/>
    <n v="2010"/>
    <n v="3212"/>
    <n v="32315"/>
    <n v="35280"/>
    <n v="70675"/>
    <n v="2355.8333333333335"/>
    <n v="75988"/>
    <n v="2532.9333333333334"/>
    <n v="9371"/>
    <n v="13740"/>
    <n v="70675"/>
    <n v="75988"/>
    <n v="42425"/>
    <n v="30553"/>
    <n v="85443"/>
    <n v="47851"/>
    <n v="60195"/>
    <n v="42918"/>
    <n v="29058"/>
    <n v="62204"/>
    <n v="217121"/>
    <n v="241.24555555555557"/>
    <n v="183526"/>
    <n v="203.91777777777779"/>
    <m/>
    <m/>
    <n v="0"/>
    <n v="0"/>
    <m/>
    <m/>
    <m/>
    <m/>
    <m/>
    <m/>
    <m/>
    <m/>
    <n v="0"/>
    <n v="0"/>
    <n v="0"/>
    <n v="0"/>
    <n v="2597.0788888888892"/>
    <n v="2736.8511111111111"/>
  </r>
  <r>
    <x v="13"/>
    <s v="College of the Mainland"/>
    <m/>
    <n v="226408"/>
    <x v="6"/>
    <s v="sem"/>
    <m/>
    <n v="33329"/>
    <n v="32025"/>
    <n v="8494"/>
    <n v="7189"/>
    <n v="6762"/>
    <n v="6237"/>
    <n v="30577"/>
    <n v="30814"/>
    <n v="79162"/>
    <n v="2638.7333333333331"/>
    <n v="76265"/>
    <n v="2542.1666666666665"/>
    <n v="14087"/>
    <n v="14165"/>
    <n v="79162"/>
    <n v="76265"/>
    <n v="27232"/>
    <n v="46317"/>
    <n v="29172"/>
    <n v="23915"/>
    <n v="34974"/>
    <n v="34422"/>
    <n v="28486"/>
    <n v="19956"/>
    <n v="119864"/>
    <n v="133.18222222222221"/>
    <n v="124610"/>
    <n v="138.45555555555555"/>
    <m/>
    <m/>
    <n v="0"/>
    <n v="0"/>
    <m/>
    <m/>
    <m/>
    <m/>
    <m/>
    <m/>
    <m/>
    <m/>
    <n v="0"/>
    <n v="0"/>
    <n v="0"/>
    <n v="0"/>
    <n v="2771.9155555555553"/>
    <n v="2680.6222222222223"/>
  </r>
  <r>
    <x v="13"/>
    <s v="Grayson County College "/>
    <m/>
    <n v="225070"/>
    <x v="6"/>
    <s v="sem"/>
    <m/>
    <n v="43095"/>
    <n v="40085"/>
    <n v="9040"/>
    <n v="7662"/>
    <n v="2461"/>
    <n v="2816"/>
    <n v="43465"/>
    <n v="41111"/>
    <n v="98061"/>
    <n v="3268.7"/>
    <n v="91674"/>
    <n v="3055.8"/>
    <n v="7499"/>
    <n v="8366"/>
    <n v="98061"/>
    <n v="91674"/>
    <n v="15078"/>
    <n v="14929"/>
    <n v="16341"/>
    <n v="15581"/>
    <n v="17411"/>
    <n v="11852"/>
    <n v="17244"/>
    <n v="17688"/>
    <n v="66074"/>
    <n v="73.415555555555557"/>
    <n v="60050"/>
    <n v="66.722222222222229"/>
    <m/>
    <m/>
    <n v="0"/>
    <n v="0"/>
    <m/>
    <m/>
    <m/>
    <m/>
    <m/>
    <m/>
    <m/>
    <m/>
    <n v="0"/>
    <n v="0"/>
    <n v="0"/>
    <n v="0"/>
    <n v="3342.1155555555551"/>
    <n v="3122.5222222222224"/>
  </r>
  <r>
    <x v="13"/>
    <s v="Hill College"/>
    <m/>
    <n v="225371"/>
    <x v="6"/>
    <s v="sem"/>
    <m/>
    <n v="37823"/>
    <n v="34973"/>
    <n v="9797"/>
    <n v="7866"/>
    <n v="2389"/>
    <n v="2511"/>
    <n v="36019"/>
    <n v="34261"/>
    <n v="86028"/>
    <n v="2867.6"/>
    <n v="79611"/>
    <n v="2653.7"/>
    <n v="8995"/>
    <n v="10006"/>
    <n v="86028"/>
    <n v="79611"/>
    <n v="27226"/>
    <n v="33517"/>
    <n v="17008"/>
    <n v="25684"/>
    <n v="24594"/>
    <n v="16214"/>
    <n v="31001"/>
    <n v="25314"/>
    <n v="99829"/>
    <n v="110.92111111111112"/>
    <n v="100729"/>
    <n v="111.92111111111112"/>
    <m/>
    <m/>
    <n v="0"/>
    <n v="0"/>
    <m/>
    <m/>
    <m/>
    <m/>
    <m/>
    <m/>
    <m/>
    <m/>
    <n v="0"/>
    <n v="0"/>
    <n v="0"/>
    <n v="0"/>
    <n v="2978.5211111111112"/>
    <n v="2765.6211111111111"/>
  </r>
  <r>
    <x v="13"/>
    <s v="Howard College (HCJCD)"/>
    <m/>
    <n v="225520"/>
    <x v="6"/>
    <s v="sem"/>
    <m/>
    <n v="30120"/>
    <n v="26056"/>
    <n v="3224"/>
    <n v="3688"/>
    <n v="1703"/>
    <n v="1600"/>
    <n v="29394"/>
    <n v="29553"/>
    <n v="64441"/>
    <n v="2148.0333333333333"/>
    <n v="60897"/>
    <n v="2029.9"/>
    <n v="16398"/>
    <n v="17667"/>
    <n v="64441"/>
    <n v="60897"/>
    <n v="173459"/>
    <n v="130658"/>
    <n v="172296"/>
    <n v="128260"/>
    <n v="152628"/>
    <n v="140947"/>
    <n v="166857"/>
    <n v="131190"/>
    <n v="665240"/>
    <n v="739.15555555555557"/>
    <n v="531055"/>
    <n v="590.06111111111113"/>
    <m/>
    <m/>
    <n v="0"/>
    <n v="0"/>
    <m/>
    <m/>
    <m/>
    <m/>
    <m/>
    <m/>
    <m/>
    <m/>
    <n v="0"/>
    <n v="0"/>
    <n v="0"/>
    <n v="0"/>
    <n v="2887.1888888888889"/>
    <n v="2619.9611111111112"/>
  </r>
  <r>
    <x v="13"/>
    <s v="Lamar Institute of Technology"/>
    <m/>
    <n v="441760"/>
    <x v="6"/>
    <s v="sem"/>
    <m/>
    <n v="26622"/>
    <n v="25250"/>
    <n v="5044"/>
    <n v="5287"/>
    <n v="0"/>
    <n v="0"/>
    <n v="27306"/>
    <n v="28508"/>
    <n v="58972"/>
    <n v="1965.7333333333333"/>
    <n v="59045"/>
    <n v="1968.1666666666667"/>
    <n v="1150"/>
    <n v="594"/>
    <n v="58972"/>
    <n v="59045"/>
    <n v="25782"/>
    <n v="32443"/>
    <n v="36757"/>
    <n v="36368"/>
    <n v="31080"/>
    <n v="39479"/>
    <n v="35028"/>
    <n v="43894"/>
    <n v="128647"/>
    <n v="142.9411111111111"/>
    <n v="152184"/>
    <n v="169.09333333333333"/>
    <m/>
    <m/>
    <n v="0"/>
    <n v="0"/>
    <m/>
    <m/>
    <m/>
    <m/>
    <m/>
    <m/>
    <m/>
    <m/>
    <n v="0"/>
    <n v="0"/>
    <n v="0"/>
    <n v="0"/>
    <n v="2108.6744444444444"/>
    <n v="2137.2600000000002"/>
  </r>
  <r>
    <x v="13"/>
    <s v="Lamar State College-Port Arthur"/>
    <s v="Met the criteria for Two-Year 3 in 2014-15 and 2015-16."/>
    <n v="226116"/>
    <x v="6"/>
    <s v="sem"/>
    <m/>
    <n v="19388"/>
    <n v="17861"/>
    <n v="6567"/>
    <n v="3677"/>
    <n v="1524"/>
    <n v="1033"/>
    <n v="18864"/>
    <n v="16406"/>
    <n v="46343"/>
    <n v="1544.7666666666667"/>
    <n v="38977"/>
    <n v="1299.2333333333333"/>
    <n v="1872"/>
    <n v="2044"/>
    <n v="46343"/>
    <n v="38977"/>
    <n v="68928"/>
    <n v="37069"/>
    <n v="60032"/>
    <n v="111008"/>
    <n v="76256"/>
    <n v="33150"/>
    <n v="124928"/>
    <n v="116712"/>
    <n v="330144"/>
    <n v="366.82666666666665"/>
    <n v="297939"/>
    <n v="331.04333333333335"/>
    <m/>
    <m/>
    <n v="0"/>
    <n v="0"/>
    <m/>
    <m/>
    <m/>
    <m/>
    <m/>
    <m/>
    <m/>
    <m/>
    <n v="0"/>
    <n v="0"/>
    <n v="0"/>
    <n v="0"/>
    <n v="1911.5933333333332"/>
    <n v="1630.2766666666666"/>
  </r>
  <r>
    <x v="13"/>
    <s v="Lee College "/>
    <m/>
    <n v="226204"/>
    <x v="6"/>
    <s v="sem"/>
    <m/>
    <n v="52220"/>
    <n v="54083"/>
    <n v="24424"/>
    <n v="24513"/>
    <n v="3533"/>
    <n v="3064"/>
    <n v="50800"/>
    <n v="48328"/>
    <n v="130977"/>
    <n v="4365.8999999999996"/>
    <n v="129988"/>
    <n v="4332.9333333333334"/>
    <n v="11123"/>
    <n v="13945"/>
    <n v="130977"/>
    <n v="129988"/>
    <n v="18609"/>
    <n v="10710"/>
    <n v="13393"/>
    <n v="12122"/>
    <n v="19059"/>
    <n v="12554"/>
    <n v="20261"/>
    <n v="29938"/>
    <n v="71322"/>
    <n v="79.24666666666667"/>
    <n v="65324"/>
    <n v="72.582222222222228"/>
    <m/>
    <m/>
    <n v="0"/>
    <n v="0"/>
    <m/>
    <m/>
    <m/>
    <m/>
    <m/>
    <m/>
    <m/>
    <m/>
    <n v="0"/>
    <n v="0"/>
    <n v="0"/>
    <n v="0"/>
    <n v="4445.1466666666665"/>
    <n v="4405.5155555555557"/>
  </r>
  <r>
    <x v="13"/>
    <s v="Mountain View College  (DCCCD)"/>
    <m/>
    <n v="226930"/>
    <x v="6"/>
    <s v="sem"/>
    <m/>
    <n v="56097"/>
    <n v="54614"/>
    <n v="28643"/>
    <n v="32096"/>
    <n v="0"/>
    <n v="0"/>
    <n v="54517"/>
    <n v="57131"/>
    <n v="139257"/>
    <n v="4641.8999999999996"/>
    <n v="143841"/>
    <n v="4794.7"/>
    <n v="12634"/>
    <n v="17760"/>
    <n v="139257"/>
    <n v="143841"/>
    <n v="21784"/>
    <n v="26871"/>
    <n v="28211"/>
    <n v="30151"/>
    <n v="42045"/>
    <n v="49020"/>
    <n v="30349"/>
    <n v="30892"/>
    <n v="122389"/>
    <n v="135.98777777777778"/>
    <n v="136934"/>
    <n v="152.14888888888888"/>
    <m/>
    <m/>
    <n v="0"/>
    <n v="0"/>
    <m/>
    <m/>
    <m/>
    <m/>
    <m/>
    <m/>
    <m/>
    <m/>
    <n v="0"/>
    <n v="0"/>
    <n v="0"/>
    <n v="0"/>
    <n v="4777.887777777777"/>
    <n v="4946.8488888888887"/>
  </r>
  <r>
    <x v="13"/>
    <s v="Northeast Texas Community College "/>
    <s v="Met the criteria for Two-Year 3 in 2015-16."/>
    <n v="227225"/>
    <x v="6"/>
    <s v="sem"/>
    <m/>
    <n v="29311"/>
    <n v="26425"/>
    <n v="5979"/>
    <n v="4506"/>
    <n v="0"/>
    <n v="0"/>
    <n v="32001"/>
    <n v="25978"/>
    <n v="67291"/>
    <n v="2243.0333333333333"/>
    <n v="56909"/>
    <n v="1896.9666666666667"/>
    <n v="5944"/>
    <n v="3415"/>
    <n v="67291"/>
    <n v="56909"/>
    <n v="5095"/>
    <n v="6237"/>
    <n v="7031"/>
    <n v="13063"/>
    <n v="7314"/>
    <n v="9845"/>
    <n v="6495"/>
    <n v="15802"/>
    <n v="25935"/>
    <n v="28.816666666666666"/>
    <n v="44947"/>
    <n v="49.941111111111113"/>
    <m/>
    <m/>
    <n v="0"/>
    <n v="0"/>
    <m/>
    <m/>
    <m/>
    <m/>
    <m/>
    <m/>
    <m/>
    <m/>
    <n v="0"/>
    <n v="0"/>
    <n v="0"/>
    <n v="0"/>
    <n v="2271.85"/>
    <n v="1946.9077777777777"/>
  </r>
  <r>
    <x v="13"/>
    <s v="Odessa College "/>
    <m/>
    <n v="227304"/>
    <x v="6"/>
    <s v="sem"/>
    <m/>
    <n v="39704"/>
    <n v="40295"/>
    <n v="8125"/>
    <n v="18956"/>
    <n v="4646"/>
    <n v="5126"/>
    <n v="29408"/>
    <n v="45361"/>
    <n v="81883"/>
    <n v="2729.4333333333334"/>
    <n v="109738"/>
    <n v="3657.9333333333334"/>
    <n v="12581"/>
    <n v="15099"/>
    <n v="81883"/>
    <n v="109738"/>
    <n v="69379"/>
    <n v="95680"/>
    <n v="81241"/>
    <n v="58820"/>
    <n v="81996"/>
    <n v="81181"/>
    <n v="85151"/>
    <n v="81454"/>
    <n v="317767"/>
    <n v="353.07444444444445"/>
    <n v="317135"/>
    <n v="352.37222222222221"/>
    <m/>
    <m/>
    <n v="0"/>
    <n v="0"/>
    <m/>
    <m/>
    <m/>
    <m/>
    <m/>
    <m/>
    <m/>
    <m/>
    <n v="0"/>
    <n v="0"/>
    <n v="0"/>
    <n v="0"/>
    <n v="3082.5077777777778"/>
    <n v="4010.3055555555557"/>
  </r>
  <r>
    <x v="13"/>
    <s v="Paris Junior College"/>
    <m/>
    <n v="227401"/>
    <x v="6"/>
    <s v="sem"/>
    <m/>
    <n v="46875"/>
    <n v="44847"/>
    <n v="11566"/>
    <n v="10828"/>
    <n v="5215"/>
    <n v="4807"/>
    <n v="48445"/>
    <n v="45945"/>
    <n v="112101"/>
    <n v="3736.7"/>
    <n v="106427"/>
    <n v="3547.5666666666666"/>
    <n v="13594"/>
    <n v="15088"/>
    <n v="112101"/>
    <n v="106427"/>
    <n v="19094"/>
    <n v="29825"/>
    <n v="14202"/>
    <n v="22497"/>
    <n v="30820"/>
    <n v="10301"/>
    <n v="15846"/>
    <n v="46343"/>
    <n v="79962"/>
    <n v="88.846666666666664"/>
    <n v="108966"/>
    <n v="121.07333333333334"/>
    <m/>
    <m/>
    <n v="0"/>
    <n v="0"/>
    <m/>
    <m/>
    <m/>
    <m/>
    <m/>
    <m/>
    <m/>
    <m/>
    <n v="0"/>
    <n v="0"/>
    <n v="0"/>
    <n v="0"/>
    <n v="3825.5466666666666"/>
    <n v="3668.64"/>
  </r>
  <r>
    <x v="13"/>
    <s v="Southwest Texas Junior College "/>
    <m/>
    <n v="228316"/>
    <x v="6"/>
    <s v="sem"/>
    <m/>
    <n v="42155"/>
    <n v="42948"/>
    <n v="6168"/>
    <n v="6668"/>
    <n v="3410"/>
    <n v="4139"/>
    <n v="46853"/>
    <n v="46902"/>
    <n v="98586"/>
    <n v="3286.2"/>
    <n v="100657"/>
    <n v="3355.2333333333331"/>
    <n v="16418"/>
    <n v="17172"/>
    <n v="98586"/>
    <n v="100657"/>
    <n v="22928"/>
    <n v="10052"/>
    <n v="17733"/>
    <n v="15014"/>
    <n v="31768"/>
    <n v="40085"/>
    <n v="18258"/>
    <n v="10304"/>
    <n v="90687"/>
    <n v="100.76333333333334"/>
    <n v="75455"/>
    <n v="83.838888888888889"/>
    <m/>
    <m/>
    <n v="0"/>
    <n v="0"/>
    <m/>
    <m/>
    <m/>
    <m/>
    <m/>
    <m/>
    <m/>
    <m/>
    <n v="0"/>
    <n v="0"/>
    <n v="0"/>
    <n v="0"/>
    <n v="3386.9633333333331"/>
    <n v="3439.0722222222221"/>
  </r>
  <r>
    <x v="13"/>
    <s v="Temple College "/>
    <m/>
    <n v="228608"/>
    <x v="6"/>
    <s v="sem"/>
    <m/>
    <n v="47324"/>
    <n v="44901"/>
    <n v="12927"/>
    <n v="12076"/>
    <n v="0"/>
    <n v="0"/>
    <n v="48338"/>
    <n v="46935"/>
    <n v="108589"/>
    <n v="3619.6333333333332"/>
    <n v="103912"/>
    <n v="3463.7333333333331"/>
    <n v="12723"/>
    <n v="13259"/>
    <n v="108589"/>
    <n v="103912"/>
    <n v="17938"/>
    <n v="20324"/>
    <n v="29383"/>
    <n v="22900"/>
    <n v="36789"/>
    <n v="19955"/>
    <n v="48065"/>
    <n v="37995"/>
    <n v="132175"/>
    <n v="146.86111111111111"/>
    <n v="101174"/>
    <n v="112.41555555555556"/>
    <m/>
    <m/>
    <n v="0"/>
    <n v="0"/>
    <m/>
    <m/>
    <m/>
    <m/>
    <m/>
    <m/>
    <m/>
    <m/>
    <n v="0"/>
    <n v="0"/>
    <n v="0"/>
    <n v="0"/>
    <n v="3766.4944444444445"/>
    <n v="3576.1488888888889"/>
  </r>
  <r>
    <x v="13"/>
    <s v="Texarkana College "/>
    <m/>
    <n v="228699"/>
    <x v="6"/>
    <s v="sem"/>
    <m/>
    <n v="33284"/>
    <n v="31878"/>
    <n v="7559"/>
    <n v="6844"/>
    <n v="0"/>
    <n v="0"/>
    <n v="37412"/>
    <n v="37406"/>
    <n v="78255"/>
    <n v="2608.5"/>
    <n v="76128"/>
    <n v="2537.6"/>
    <n v="12234"/>
    <n v="13993"/>
    <n v="78255"/>
    <n v="76128"/>
    <n v="78331"/>
    <n v="82945"/>
    <n v="72495"/>
    <n v="77155"/>
    <n v="70611"/>
    <n v="70724"/>
    <n v="82088"/>
    <n v="93032"/>
    <n v="303525"/>
    <n v="337.25"/>
    <n v="323856"/>
    <n v="359.84"/>
    <m/>
    <m/>
    <n v="0"/>
    <n v="0"/>
    <m/>
    <m/>
    <m/>
    <m/>
    <m/>
    <m/>
    <m/>
    <m/>
    <n v="0"/>
    <n v="0"/>
    <n v="0"/>
    <n v="0"/>
    <n v="2945.75"/>
    <n v="2897.44"/>
  </r>
  <r>
    <x v="13"/>
    <s v="Texas Southmost College "/>
    <m/>
    <n v="229072"/>
    <x v="6"/>
    <s v="sem"/>
    <m/>
    <n v="31913"/>
    <n v="34144"/>
    <n v="3630"/>
    <n v="2395"/>
    <n v="1566"/>
    <n v="2533"/>
    <n v="31221"/>
    <n v="31235"/>
    <n v="68330"/>
    <n v="2277.6666666666665"/>
    <n v="70307"/>
    <n v="2343.5666666666666"/>
    <n v="8434"/>
    <n v="10397"/>
    <n v="68330"/>
    <n v="70307"/>
    <n v="18206"/>
    <n v="33532"/>
    <n v="10314"/>
    <n v="10040"/>
    <n v="13261"/>
    <n v="13840"/>
    <n v="10289"/>
    <n v="13080"/>
    <n v="52070"/>
    <n v="57.855555555555554"/>
    <n v="70492"/>
    <n v="78.324444444444438"/>
    <m/>
    <m/>
    <n v="0"/>
    <n v="0"/>
    <m/>
    <m/>
    <m/>
    <m/>
    <m/>
    <m/>
    <m/>
    <m/>
    <n v="0"/>
    <n v="0"/>
    <n v="0"/>
    <n v="0"/>
    <n v="2335.5222222222219"/>
    <n v="2421.8911111111111"/>
  </r>
  <r>
    <x v="13"/>
    <s v="Texas State Technical College-Harlingen "/>
    <m/>
    <n v="229319"/>
    <x v="6"/>
    <s v="sem"/>
    <m/>
    <n v="47499"/>
    <n v="43512"/>
    <n v="24954"/>
    <n v="24557"/>
    <n v="0"/>
    <n v="0"/>
    <n v="48953"/>
    <n v="43519"/>
    <n v="121406"/>
    <n v="4046.8666666666668"/>
    <n v="111588"/>
    <n v="3719.6"/>
    <n v="11878"/>
    <n v="12502"/>
    <n v="121406"/>
    <n v="111588"/>
    <n v="17315"/>
    <n v="29972"/>
    <n v="34400"/>
    <n v="55465"/>
    <n v="26702"/>
    <n v="34193"/>
    <n v="43128"/>
    <n v="30247"/>
    <n v="121545"/>
    <n v="135.05000000000001"/>
    <n v="149877"/>
    <n v="166.53"/>
    <m/>
    <m/>
    <n v="0"/>
    <n v="0"/>
    <m/>
    <m/>
    <m/>
    <m/>
    <m/>
    <m/>
    <m/>
    <m/>
    <n v="0"/>
    <n v="0"/>
    <n v="0"/>
    <n v="0"/>
    <n v="4181.916666666667"/>
    <n v="3886.13"/>
  </r>
  <r>
    <x v="13"/>
    <s v="Texas State Technical College-Waco"/>
    <m/>
    <n v="228680"/>
    <x v="6"/>
    <s v="sem"/>
    <m/>
    <n v="42113"/>
    <n v="40694"/>
    <n v="30321"/>
    <n v="29051"/>
    <n v="0"/>
    <n v="0"/>
    <n v="45027"/>
    <n v="41289"/>
    <n v="117461"/>
    <n v="3915.3666666666668"/>
    <n v="111034"/>
    <n v="3701.1333333333332"/>
    <n v="2593"/>
    <n v="3614"/>
    <n v="117461"/>
    <n v="111034"/>
    <n v="0"/>
    <n v="3980"/>
    <n v="0"/>
    <n v="3800"/>
    <n v="408"/>
    <n v="1128"/>
    <n v="0"/>
    <n v="0"/>
    <n v="408"/>
    <n v="0.45333333333333331"/>
    <n v="8908"/>
    <n v="9.8977777777777778"/>
    <m/>
    <m/>
    <n v="0"/>
    <n v="0"/>
    <m/>
    <m/>
    <m/>
    <m/>
    <m/>
    <m/>
    <m/>
    <m/>
    <n v="0"/>
    <n v="0"/>
    <n v="0"/>
    <n v="0"/>
    <n v="3915.82"/>
    <n v="3711.0311111111109"/>
  </r>
  <r>
    <x v="13"/>
    <s v="Vernon College "/>
    <m/>
    <n v="229504"/>
    <x v="6"/>
    <s v="sem"/>
    <m/>
    <n v="27731"/>
    <n v="25202"/>
    <n v="3583"/>
    <n v="2997"/>
    <n v="4988"/>
    <n v="4565"/>
    <n v="26535"/>
    <n v="25557"/>
    <n v="62837"/>
    <n v="2094.5666666666666"/>
    <n v="58321"/>
    <n v="1944.0333333333333"/>
    <n v="3930"/>
    <n v="4375"/>
    <n v="62837"/>
    <n v="58321"/>
    <n v="69618"/>
    <n v="65312"/>
    <n v="49850"/>
    <n v="50689"/>
    <n v="27881"/>
    <n v="35088"/>
    <n v="87970"/>
    <n v="89631"/>
    <n v="235319"/>
    <n v="261.46555555555557"/>
    <n v="240720"/>
    <n v="267.46666666666664"/>
    <m/>
    <m/>
    <n v="0"/>
    <n v="0"/>
    <m/>
    <m/>
    <m/>
    <m/>
    <m/>
    <m/>
    <m/>
    <m/>
    <n v="0"/>
    <n v="0"/>
    <n v="0"/>
    <n v="0"/>
    <n v="2356.0322222222221"/>
    <n v="2211.5"/>
  </r>
  <r>
    <x v="13"/>
    <s v="Victoria College "/>
    <m/>
    <n v="229540"/>
    <x v="6"/>
    <s v="sem"/>
    <m/>
    <n v="32050"/>
    <n v="29339"/>
    <n v="9265"/>
    <n v="9092"/>
    <n v="0"/>
    <n v="0"/>
    <n v="32589"/>
    <n v="32053"/>
    <n v="73904"/>
    <n v="2463.4666666666667"/>
    <n v="70484"/>
    <n v="2349.4666666666667"/>
    <n v="5789"/>
    <n v="6117"/>
    <n v="73904"/>
    <n v="70484"/>
    <n v="38823"/>
    <n v="50333"/>
    <n v="34281"/>
    <n v="19263"/>
    <n v="35281"/>
    <n v="38952"/>
    <n v="56510"/>
    <n v="63824"/>
    <n v="164895"/>
    <n v="183.21666666666667"/>
    <n v="172372"/>
    <n v="191.52444444444444"/>
    <m/>
    <m/>
    <n v="0"/>
    <n v="0"/>
    <m/>
    <m/>
    <m/>
    <m/>
    <m/>
    <m/>
    <m/>
    <m/>
    <n v="0"/>
    <n v="0"/>
    <n v="0"/>
    <n v="0"/>
    <n v="2646.6833333333334"/>
    <n v="2540.991111111111"/>
  </r>
  <r>
    <x v="13"/>
    <s v="Weatherford College "/>
    <m/>
    <n v="229799"/>
    <x v="6"/>
    <s v="sem"/>
    <m/>
    <n v="48945"/>
    <n v="46464"/>
    <n v="7942"/>
    <n v="7626"/>
    <n v="5092"/>
    <n v="4464"/>
    <n v="51040"/>
    <n v="48854"/>
    <n v="113019"/>
    <n v="3767.3"/>
    <n v="107408"/>
    <n v="3580.2666666666669"/>
    <n v="8832"/>
    <n v="10827"/>
    <n v="113019"/>
    <n v="107408"/>
    <n v="76554"/>
    <n v="149568"/>
    <n v="31758"/>
    <n v="30466"/>
    <n v="26585"/>
    <n v="42369"/>
    <n v="181025"/>
    <n v="211390"/>
    <n v="315922"/>
    <n v="351.02444444444444"/>
    <n v="433793"/>
    <n v="481.99222222222221"/>
    <m/>
    <m/>
    <n v="0"/>
    <n v="0"/>
    <m/>
    <m/>
    <m/>
    <m/>
    <m/>
    <m/>
    <m/>
    <m/>
    <n v="0"/>
    <n v="0"/>
    <n v="0"/>
    <n v="0"/>
    <n v="4118.3244444444445"/>
    <n v="4062.258888888889"/>
  </r>
  <r>
    <x v="13"/>
    <s v="Wharton County Junior College "/>
    <m/>
    <n v="229841"/>
    <x v="6"/>
    <s v="sem"/>
    <m/>
    <n v="61620"/>
    <n v="59698"/>
    <n v="12969"/>
    <n v="13036"/>
    <n v="6456"/>
    <n v="6056"/>
    <n v="64010"/>
    <n v="65723"/>
    <n v="145055"/>
    <n v="4835.166666666667"/>
    <n v="144513"/>
    <n v="4817.1000000000004"/>
    <n v="9463"/>
    <n v="9399"/>
    <n v="145055"/>
    <n v="144513"/>
    <n v="13299"/>
    <n v="13943"/>
    <n v="9329"/>
    <n v="7840"/>
    <n v="11456"/>
    <n v="12724"/>
    <n v="13163"/>
    <n v="10761"/>
    <n v="47247"/>
    <n v="52.49666666666667"/>
    <n v="45268"/>
    <n v="50.297777777777775"/>
    <m/>
    <m/>
    <n v="0"/>
    <n v="0"/>
    <m/>
    <m/>
    <m/>
    <m/>
    <m/>
    <m/>
    <m/>
    <m/>
    <n v="0"/>
    <n v="0"/>
    <n v="0"/>
    <n v="0"/>
    <n v="4887.6633333333339"/>
    <n v="4867.3977777777782"/>
  </r>
  <r>
    <x v="13"/>
    <s v="Clarendon College "/>
    <m/>
    <n v="223922"/>
    <x v="8"/>
    <s v="sem"/>
    <m/>
    <n v="12269"/>
    <n v="11211"/>
    <n v="2838"/>
    <n v="2541"/>
    <n v="933"/>
    <n v="738"/>
    <n v="12405"/>
    <n v="12907"/>
    <n v="28445"/>
    <n v="948.16666666666663"/>
    <n v="27397"/>
    <n v="913.23333333333335"/>
    <n v="3463"/>
    <n v="4439"/>
    <n v="28445"/>
    <n v="27397"/>
    <n v="6322"/>
    <n v="5898"/>
    <n v="8536"/>
    <n v="6427"/>
    <n v="1862"/>
    <n v="1572"/>
    <n v="1680"/>
    <n v="6862"/>
    <n v="18400"/>
    <n v="20.444444444444443"/>
    <n v="20759"/>
    <n v="23.065555555555555"/>
    <m/>
    <m/>
    <n v="0"/>
    <n v="0"/>
    <m/>
    <m/>
    <m/>
    <m/>
    <m/>
    <m/>
    <m/>
    <m/>
    <n v="0"/>
    <n v="0"/>
    <n v="0"/>
    <n v="0"/>
    <n v="968.61111111111109"/>
    <n v="936.29888888888888"/>
  </r>
  <r>
    <x v="13"/>
    <s v="Frank Phillips College "/>
    <m/>
    <n v="224891"/>
    <x v="8"/>
    <s v="sem"/>
    <m/>
    <n v="9846"/>
    <n v="11655"/>
    <n v="1417"/>
    <n v="1641"/>
    <n v="466"/>
    <n v="618"/>
    <n v="11920"/>
    <n v="12372"/>
    <n v="23649"/>
    <n v="788.3"/>
    <n v="26286"/>
    <n v="876.2"/>
    <n v="6178"/>
    <n v="7957"/>
    <n v="23649"/>
    <n v="26286"/>
    <n v="17211"/>
    <n v="33357"/>
    <n v="25554"/>
    <n v="28725"/>
    <n v="18564"/>
    <n v="25851"/>
    <n v="39926"/>
    <n v="15387"/>
    <n v="101255"/>
    <n v="112.50555555555556"/>
    <n v="103320"/>
    <n v="114.8"/>
    <m/>
    <m/>
    <n v="0"/>
    <n v="0"/>
    <m/>
    <m/>
    <m/>
    <m/>
    <m/>
    <m/>
    <m/>
    <m/>
    <n v="0"/>
    <n v="0"/>
    <n v="0"/>
    <n v="0"/>
    <n v="900.80555555555554"/>
    <n v="991"/>
  </r>
  <r>
    <x v="13"/>
    <s v="Galveston College "/>
    <m/>
    <n v="224961"/>
    <x v="8"/>
    <s v="sem"/>
    <m/>
    <n v="18777"/>
    <n v="17400"/>
    <n v="4576"/>
    <n v="4252"/>
    <n v="3327"/>
    <n v="3435"/>
    <n v="16505"/>
    <n v="16412"/>
    <n v="43185"/>
    <n v="1439.5"/>
    <n v="41499"/>
    <n v="1383.3"/>
    <n v="2834"/>
    <n v="3458"/>
    <n v="43185"/>
    <n v="41499"/>
    <n v="3018"/>
    <n v="7520"/>
    <n v="2463"/>
    <n v="3704"/>
    <n v="3380"/>
    <n v="3984"/>
    <n v="7767"/>
    <n v="16315"/>
    <n v="16628"/>
    <n v="18.475555555555555"/>
    <n v="31523"/>
    <n v="35.025555555555556"/>
    <m/>
    <m/>
    <n v="0"/>
    <n v="0"/>
    <m/>
    <m/>
    <m/>
    <m/>
    <m/>
    <m/>
    <m/>
    <m/>
    <n v="0"/>
    <n v="0"/>
    <n v="0"/>
    <n v="0"/>
    <n v="1457.9755555555555"/>
    <n v="1418.3255555555554"/>
  </r>
  <r>
    <x v="13"/>
    <s v="Lamar State College-Orange"/>
    <m/>
    <n v="226107"/>
    <x v="8"/>
    <s v="sem"/>
    <m/>
    <n v="19767"/>
    <n v="19087"/>
    <n v="5787"/>
    <n v="5696"/>
    <n v="0"/>
    <n v="0"/>
    <n v="21206"/>
    <n v="21101"/>
    <n v="46760"/>
    <n v="1558.6666666666667"/>
    <n v="45884"/>
    <n v="1529.4666666666667"/>
    <n v="3996"/>
    <n v="3825"/>
    <n v="46760"/>
    <n v="45884"/>
    <n v="2026"/>
    <n v="11059"/>
    <n v="1348"/>
    <n v="4067"/>
    <n v="6133"/>
    <n v="4764"/>
    <n v="4483"/>
    <n v="6916"/>
    <n v="13990"/>
    <n v="15.544444444444444"/>
    <n v="26806"/>
    <n v="29.784444444444443"/>
    <m/>
    <m/>
    <n v="0"/>
    <n v="0"/>
    <m/>
    <m/>
    <m/>
    <m/>
    <m/>
    <m/>
    <m/>
    <m/>
    <n v="0"/>
    <n v="0"/>
    <n v="0"/>
    <n v="0"/>
    <n v="1574.2111111111112"/>
    <n v="1559.2511111111112"/>
  </r>
  <r>
    <x v="13"/>
    <s v="Northeast Lakeview College (ACCD)"/>
    <m/>
    <s v="???"/>
    <x v="8"/>
    <s v="sem"/>
    <m/>
    <n v="12135"/>
    <n v="15964"/>
    <n v="3961"/>
    <n v="7755"/>
    <n v="0"/>
    <n v="0"/>
    <n v="11970"/>
    <n v="19402"/>
    <n v="28066"/>
    <n v="935.5333333333333"/>
    <n v="43121"/>
    <n v="1437.3666666666666"/>
    <n v="0"/>
    <n v="24"/>
    <n v="28066"/>
    <n v="43121"/>
    <n v="11472"/>
    <n v="1808"/>
    <n v="24592"/>
    <n v="552"/>
    <n v="2776"/>
    <n v="6528"/>
    <n v="4296"/>
    <n v="2680"/>
    <n v="43136"/>
    <n v="47.928888888888892"/>
    <n v="11568"/>
    <n v="12.853333333333333"/>
    <m/>
    <m/>
    <n v="0"/>
    <n v="0"/>
    <m/>
    <m/>
    <m/>
    <m/>
    <m/>
    <m/>
    <m/>
    <m/>
    <n v="0"/>
    <n v="0"/>
    <n v="0"/>
    <n v="0"/>
    <n v="983.46222222222218"/>
    <n v="1450.2199999999998"/>
  </r>
  <r>
    <x v="13"/>
    <s v="Panola College"/>
    <m/>
    <n v="227386"/>
    <x v="8"/>
    <s v="sem"/>
    <m/>
    <n v="24376"/>
    <n v="24672"/>
    <n v="3818"/>
    <n v="2848"/>
    <n v="1259"/>
    <n v="1766"/>
    <n v="26415"/>
    <n v="27379"/>
    <n v="55868"/>
    <n v="1862.2666666666667"/>
    <n v="56665"/>
    <n v="1888.8333333333333"/>
    <n v="5073"/>
    <n v="6149"/>
    <n v="55868"/>
    <n v="56665"/>
    <n v="12599"/>
    <n v="13245"/>
    <n v="9374"/>
    <n v="7942"/>
    <n v="11055"/>
    <n v="12179"/>
    <n v="15209"/>
    <n v="7868"/>
    <n v="48237"/>
    <n v="53.596666666666664"/>
    <n v="41234"/>
    <n v="45.815555555555555"/>
    <m/>
    <m/>
    <n v="0"/>
    <n v="0"/>
    <m/>
    <m/>
    <m/>
    <m/>
    <m/>
    <m/>
    <m/>
    <m/>
    <n v="0"/>
    <n v="0"/>
    <n v="0"/>
    <n v="0"/>
    <n v="1915.8633333333332"/>
    <n v="1934.6488888888889"/>
  </r>
  <r>
    <x v="13"/>
    <s v="Ranger College "/>
    <m/>
    <n v="227687"/>
    <x v="8"/>
    <s v="sem"/>
    <m/>
    <n v="16760"/>
    <n v="19111"/>
    <n v="3768"/>
    <n v="3510"/>
    <n v="1136"/>
    <n v="1060"/>
    <n v="21241"/>
    <n v="20731"/>
    <n v="42905"/>
    <n v="1430.1666666666667"/>
    <n v="44412"/>
    <n v="1480.4"/>
    <n v="7156"/>
    <n v="8345"/>
    <n v="42905"/>
    <n v="44412"/>
    <n v="9036"/>
    <n v="8711"/>
    <n v="9486"/>
    <n v="24916"/>
    <n v="12086"/>
    <n v="12542"/>
    <n v="9090"/>
    <n v="10075"/>
    <n v="39698"/>
    <n v="44.108888888888892"/>
    <n v="56244"/>
    <n v="62.493333333333332"/>
    <m/>
    <m/>
    <n v="0"/>
    <n v="0"/>
    <m/>
    <m/>
    <m/>
    <m/>
    <m/>
    <m/>
    <m/>
    <m/>
    <n v="0"/>
    <n v="0"/>
    <n v="0"/>
    <n v="0"/>
    <n v="1474.2755555555557"/>
    <n v="1542.8933333333334"/>
  </r>
  <r>
    <x v="13"/>
    <s v="Southwest Collegiate Institute for the Deaf (HCJCD)"/>
    <m/>
    <n v="382911"/>
    <x v="8"/>
    <s v="sem"/>
    <m/>
    <n v="1361"/>
    <n v="1121"/>
    <n v="60"/>
    <n v="0"/>
    <n v="0"/>
    <n v="0"/>
    <n v="1314"/>
    <n v="1219"/>
    <n v="2735"/>
    <n v="91.166666666666671"/>
    <n v="2340"/>
    <n v="78"/>
    <n v="0"/>
    <n v="0"/>
    <n v="2735"/>
    <n v="2340"/>
    <m/>
    <m/>
    <m/>
    <m/>
    <m/>
    <m/>
    <m/>
    <m/>
    <n v="0"/>
    <n v="0"/>
    <n v="0"/>
    <n v="0"/>
    <m/>
    <m/>
    <n v="0"/>
    <n v="0"/>
    <m/>
    <m/>
    <m/>
    <m/>
    <m/>
    <m/>
    <m/>
    <m/>
    <n v="0"/>
    <n v="0"/>
    <n v="0"/>
    <n v="0"/>
    <n v="91.166666666666671"/>
    <n v="78"/>
  </r>
  <r>
    <x v="13"/>
    <s v="Texas State Technical College-Marshall"/>
    <m/>
    <n v="408394"/>
    <x v="8"/>
    <s v="sem"/>
    <m/>
    <n v="6889"/>
    <n v="6613"/>
    <n v="4220"/>
    <n v="4029"/>
    <n v="0"/>
    <n v="0"/>
    <n v="7948"/>
    <n v="7917"/>
    <n v="19057"/>
    <n v="635.23333333333335"/>
    <n v="18559"/>
    <n v="618.63333333333333"/>
    <n v="1945"/>
    <n v="1829"/>
    <n v="19057"/>
    <n v="18559"/>
    <n v="3449"/>
    <n v="7368"/>
    <n v="4568"/>
    <n v="6032"/>
    <n v="3477"/>
    <n v="7408"/>
    <n v="5976"/>
    <n v="4312"/>
    <n v="17470"/>
    <n v="19.411111111111111"/>
    <n v="25120"/>
    <n v="27.911111111111111"/>
    <m/>
    <m/>
    <n v="0"/>
    <n v="0"/>
    <m/>
    <m/>
    <m/>
    <m/>
    <m/>
    <m/>
    <m/>
    <m/>
    <n v="0"/>
    <n v="0"/>
    <n v="0"/>
    <n v="0"/>
    <n v="654.6444444444445"/>
    <n v="646.54444444444448"/>
  </r>
  <r>
    <x v="13"/>
    <s v="Texas State Technical College-West Texas"/>
    <m/>
    <n v="229328"/>
    <x v="8"/>
    <s v="sem"/>
    <m/>
    <n v="10147"/>
    <n v="10066"/>
    <n v="7300"/>
    <n v="6532"/>
    <n v="0"/>
    <n v="0"/>
    <n v="11736"/>
    <n v="10833"/>
    <n v="29183"/>
    <n v="972.76666666666665"/>
    <n v="27431"/>
    <n v="914.36666666666667"/>
    <n v="2315"/>
    <n v="2817"/>
    <n v="29183"/>
    <n v="27431"/>
    <n v="2120"/>
    <n v="1513"/>
    <n v="4608"/>
    <n v="1547"/>
    <n v="2964"/>
    <n v="945"/>
    <n v="3124"/>
    <n v="1752"/>
    <n v="12816"/>
    <n v="14.24"/>
    <n v="5757"/>
    <n v="6.3966666666666665"/>
    <m/>
    <m/>
    <n v="0"/>
    <n v="0"/>
    <m/>
    <m/>
    <m/>
    <m/>
    <m/>
    <m/>
    <m/>
    <m/>
    <n v="0"/>
    <n v="0"/>
    <n v="0"/>
    <n v="0"/>
    <n v="987.00666666666666"/>
    <n v="920.76333333333332"/>
  </r>
  <r>
    <x v="13"/>
    <s v="Western Texas College "/>
    <m/>
    <n v="229832"/>
    <x v="8"/>
    <s v="sem"/>
    <m/>
    <n v="16599"/>
    <n v="16396"/>
    <n v="6619"/>
    <n v="7275"/>
    <n v="2551"/>
    <n v="2918"/>
    <n v="17477"/>
    <n v="16972"/>
    <n v="43246"/>
    <n v="1441.5333333333333"/>
    <n v="43561"/>
    <n v="1452.0333333333333"/>
    <n v="7467"/>
    <n v="8621"/>
    <n v="43246"/>
    <n v="43561"/>
    <n v="21153"/>
    <n v="12853"/>
    <n v="33667"/>
    <n v="25382"/>
    <n v="13009"/>
    <n v="11821"/>
    <n v="28465"/>
    <n v="29433"/>
    <n v="96294"/>
    <n v="106.99333333333334"/>
    <n v="79489"/>
    <n v="88.321111111111108"/>
    <m/>
    <m/>
    <n v="0"/>
    <n v="0"/>
    <m/>
    <m/>
    <m/>
    <m/>
    <m/>
    <m/>
    <m/>
    <m/>
    <n v="0"/>
    <n v="0"/>
    <n v="0"/>
    <n v="0"/>
    <n v="1548.5266666666666"/>
    <n v="1540.3544444444444"/>
  </r>
  <r>
    <x v="13"/>
    <s v="Alamo Community College District (ACCD)"/>
    <m/>
    <m/>
    <x v="12"/>
    <s v="sem"/>
    <m/>
    <n v="455317"/>
    <n v="446949"/>
    <n v="171057"/>
    <n v="177199"/>
    <n v="0"/>
    <n v="0"/>
    <n v="406484"/>
    <n v="409197"/>
    <n v="1032858"/>
    <n v="34428.6"/>
    <n v="1033345"/>
    <n v="34444.833333333336"/>
    <n v="86623"/>
    <n v="101860"/>
    <n v="1032858"/>
    <n v="1033345"/>
    <n v="117946"/>
    <n v="123642"/>
    <n v="161923"/>
    <n v="125171"/>
    <n v="150363"/>
    <n v="119697"/>
    <n v="142039"/>
    <n v="111508"/>
    <n v="572271"/>
    <n v="635.85666666666668"/>
    <n v="480018"/>
    <n v="533.35333333333335"/>
    <m/>
    <m/>
    <n v="0"/>
    <n v="0"/>
    <m/>
    <m/>
    <m/>
    <m/>
    <m/>
    <m/>
    <m/>
    <m/>
    <n v="0"/>
    <n v="0"/>
    <n v="0"/>
    <n v="0"/>
    <n v="35064.456666666665"/>
    <n v="34978.186666666668"/>
  </r>
  <r>
    <x v="13"/>
    <s v="Dallas County Community College District (DCCD)"/>
    <m/>
    <m/>
    <x v="12"/>
    <s v="sem"/>
    <m/>
    <n v="558215"/>
    <n v="550686"/>
    <n v="296813"/>
    <n v="303598"/>
    <n v="0"/>
    <n v="0"/>
    <n v="472500"/>
    <n v="466836"/>
    <n v="1327528"/>
    <n v="44250.933333333334"/>
    <n v="1321120"/>
    <n v="44037.333333333336"/>
    <n v="118392"/>
    <n v="134601"/>
    <n v="1327528"/>
    <n v="1321120"/>
    <n v="689363"/>
    <n v="737303"/>
    <n v="682429"/>
    <n v="822144"/>
    <n v="666561"/>
    <n v="750388"/>
    <n v="875801"/>
    <n v="957130"/>
    <n v="2914154"/>
    <n v="3237.9488888888891"/>
    <n v="3266965"/>
    <n v="3629.9611111111112"/>
    <m/>
    <m/>
    <n v="0"/>
    <n v="0"/>
    <m/>
    <m/>
    <m/>
    <m/>
    <m/>
    <m/>
    <m/>
    <m/>
    <n v="0"/>
    <n v="0"/>
    <n v="0"/>
    <n v="0"/>
    <n v="47488.882222222222"/>
    <n v="47667.294444444444"/>
  </r>
  <r>
    <x v="13"/>
    <s v="Howard County Community/Junior College District (HCJCD)"/>
    <m/>
    <m/>
    <x v="12"/>
    <s v="sem"/>
    <m/>
    <n v="31481"/>
    <n v="27177"/>
    <n v="3284"/>
    <n v="3688"/>
    <n v="1703"/>
    <n v="1600"/>
    <n v="30708"/>
    <n v="30772"/>
    <n v="67176"/>
    <n v="2239.1999999999998"/>
    <n v="63237"/>
    <n v="2107.9"/>
    <n v="16398"/>
    <n v="17667"/>
    <n v="67176"/>
    <n v="63237"/>
    <n v="173459"/>
    <n v="130658"/>
    <n v="172296"/>
    <n v="128260"/>
    <n v="152628"/>
    <n v="140947"/>
    <n v="166857"/>
    <n v="131190"/>
    <n v="665240"/>
    <n v="739.15555555555557"/>
    <n v="531055"/>
    <n v="590.06111111111113"/>
    <m/>
    <m/>
    <n v="0"/>
    <n v="0"/>
    <m/>
    <m/>
    <m/>
    <m/>
    <m/>
    <m/>
    <m/>
    <m/>
    <n v="0"/>
    <n v="0"/>
    <n v="0"/>
    <n v="0"/>
    <n v="2978.3555555555554"/>
    <n v="2697.9611111111112"/>
  </r>
  <r>
    <x v="13"/>
    <s v="University of North Texas at Dallas"/>
    <s v="New fall 2009. No degrees yet granted."/>
    <n v="443711"/>
    <x v="13"/>
    <s v="sem"/>
    <m/>
    <m/>
    <n v="0"/>
    <n v="14983"/>
    <n v="17970"/>
    <n v="3456"/>
    <n v="5282"/>
    <n v="18913"/>
    <n v="20795"/>
    <n v="37352"/>
    <n v="1245.0666666666666"/>
    <n v="44047"/>
    <n v="1468.2333333333333"/>
    <m/>
    <n v="0"/>
    <n v="0"/>
    <n v="44047"/>
    <m/>
    <m/>
    <m/>
    <m/>
    <m/>
    <m/>
    <m/>
    <m/>
    <n v="0"/>
    <n v="0"/>
    <n v="0"/>
    <n v="0"/>
    <m/>
    <m/>
    <n v="0"/>
    <n v="0"/>
    <m/>
    <m/>
    <n v="1311"/>
    <n v="1668"/>
    <n v="1629"/>
    <n v="1343"/>
    <n v="1684"/>
    <n v="5211"/>
    <n v="4624"/>
    <n v="192.66666666666666"/>
    <n v="8222"/>
    <n v="342.58333333333331"/>
    <n v="1437.7333333333333"/>
    <n v="1810.8166666666666"/>
  </r>
  <r>
    <x v="13"/>
    <s v="University of North Texas at Dallas College of Law"/>
    <s v="New Fall 2014?"/>
    <m/>
    <x v="13"/>
    <s v="sem"/>
    <m/>
    <m/>
    <n v="0"/>
    <n v="0"/>
    <n v="0"/>
    <n v="0"/>
    <n v="0"/>
    <n v="0"/>
    <n v="0"/>
    <n v="0"/>
    <n v="0"/>
    <n v="0"/>
    <n v="0"/>
    <m/>
    <n v="0"/>
    <n v="0"/>
    <n v="0"/>
    <m/>
    <m/>
    <m/>
    <m/>
    <m/>
    <m/>
    <m/>
    <m/>
    <n v="0"/>
    <n v="0"/>
    <n v="0"/>
    <n v="0"/>
    <m/>
    <m/>
    <n v="0"/>
    <n v="0"/>
    <m/>
    <m/>
    <n v="0"/>
    <n v="1789"/>
    <n v="0"/>
    <n v="290"/>
    <n v="2191"/>
    <n v="0"/>
    <n v="2191"/>
    <n v="91.291666666666671"/>
    <n v="2079"/>
    <n v="86.625"/>
    <n v="91.291666666666671"/>
    <n v="86.625"/>
  </r>
  <r>
    <x v="13"/>
    <s v="Alamo Community College District (ACCD)"/>
    <m/>
    <m/>
    <x v="14"/>
    <s v="sem"/>
    <m/>
    <n v="443182"/>
    <n v="430985"/>
    <n v="167096"/>
    <n v="169444"/>
    <n v="0"/>
    <n v="0"/>
    <n v="394514"/>
    <n v="389795"/>
    <n v="1004792"/>
    <n v="33493.066666666666"/>
    <n v="990224"/>
    <n v="33007.466666666667"/>
    <n v="86623"/>
    <n v="101836"/>
    <n v="1004792"/>
    <n v="990224"/>
    <n v="106474"/>
    <n v="121834"/>
    <n v="137331"/>
    <n v="124619"/>
    <n v="147587"/>
    <n v="113169"/>
    <n v="137743"/>
    <n v="108828"/>
    <n v="529135"/>
    <n v="587.92777777777781"/>
    <n v="468450"/>
    <n v="520.5"/>
    <m/>
    <m/>
    <n v="0"/>
    <n v="0"/>
    <m/>
    <m/>
    <m/>
    <m/>
    <m/>
    <m/>
    <m/>
    <m/>
    <n v="0"/>
    <n v="0"/>
    <n v="0"/>
    <n v="0"/>
    <n v="34080.994444444441"/>
    <n v="33527.966666666667"/>
  </r>
  <r>
    <x v="13"/>
    <s v="Dallas County Community College District (DCCD)"/>
    <m/>
    <m/>
    <x v="14"/>
    <s v="sem"/>
    <m/>
    <n v="457806"/>
    <n v="452073"/>
    <n v="245295"/>
    <n v="246005"/>
    <n v="0"/>
    <n v="0"/>
    <n v="381271"/>
    <n v="372587"/>
    <n v="1084372"/>
    <n v="36145.73333333333"/>
    <n v="1070665"/>
    <n v="35688.833333333336"/>
    <n v="90991"/>
    <n v="99402"/>
    <n v="1084372"/>
    <n v="1070665"/>
    <n v="641624"/>
    <n v="667581"/>
    <n v="617466"/>
    <n v="743759"/>
    <n v="581737"/>
    <n v="668339"/>
    <n v="807821"/>
    <n v="857965"/>
    <n v="2648648"/>
    <n v="2942.9422222222224"/>
    <n v="2937644"/>
    <n v="3264.048888888889"/>
    <m/>
    <m/>
    <n v="0"/>
    <n v="0"/>
    <m/>
    <m/>
    <m/>
    <m/>
    <m/>
    <m/>
    <m/>
    <m/>
    <n v="0"/>
    <n v="0"/>
    <n v="0"/>
    <n v="0"/>
    <n v="39088.67555555555"/>
    <n v="38952.882222222222"/>
  </r>
  <r>
    <x v="13"/>
    <s v="Dallas County Community College District (DCCD)"/>
    <m/>
    <m/>
    <x v="15"/>
    <s v="sem"/>
    <m/>
    <n v="100409"/>
    <n v="98613"/>
    <n v="51518"/>
    <n v="57593"/>
    <n v="0"/>
    <n v="0"/>
    <n v="91229"/>
    <n v="94249"/>
    <n v="243156"/>
    <n v="8105.2"/>
    <n v="250455"/>
    <n v="8348.5"/>
    <n v="27401"/>
    <n v="35199"/>
    <n v="243156"/>
    <n v="250455"/>
    <n v="47739"/>
    <n v="69722"/>
    <n v="64963"/>
    <n v="78385"/>
    <n v="84824"/>
    <n v="82049"/>
    <n v="67980"/>
    <n v="99165"/>
    <n v="265506"/>
    <n v="295.00666666666666"/>
    <n v="329321"/>
    <n v="365.91222222222223"/>
    <m/>
    <m/>
    <n v="0"/>
    <n v="0"/>
    <m/>
    <m/>
    <m/>
    <m/>
    <m/>
    <m/>
    <m/>
    <m/>
    <n v="0"/>
    <n v="0"/>
    <n v="0"/>
    <n v="0"/>
    <n v="8400.2066666666669"/>
    <n v="8714.4122222222213"/>
  </r>
  <r>
    <x v="13"/>
    <s v="Howard County Community/Junior College District (HCJCD)"/>
    <m/>
    <m/>
    <x v="15"/>
    <s v="sem"/>
    <m/>
    <n v="30120"/>
    <n v="26056"/>
    <n v="3224"/>
    <n v="3688"/>
    <n v="1703"/>
    <n v="1600"/>
    <n v="29394"/>
    <n v="29553"/>
    <n v="64441"/>
    <n v="2148.0333333333333"/>
    <n v="60897"/>
    <n v="2029.9"/>
    <n v="16398"/>
    <n v="17667"/>
    <n v="64441"/>
    <n v="60897"/>
    <n v="173459"/>
    <n v="130658"/>
    <n v="172296"/>
    <n v="128260"/>
    <n v="152628"/>
    <n v="140947"/>
    <n v="166857"/>
    <n v="131190"/>
    <n v="665240"/>
    <n v="739.15555555555557"/>
    <n v="531055"/>
    <n v="590.06111111111113"/>
    <m/>
    <m/>
    <n v="0"/>
    <n v="0"/>
    <m/>
    <m/>
    <m/>
    <m/>
    <m/>
    <m/>
    <m/>
    <m/>
    <n v="0"/>
    <n v="0"/>
    <n v="0"/>
    <n v="0"/>
    <n v="2887.1888888888889"/>
    <n v="2619.9611111111112"/>
  </r>
  <r>
    <x v="13"/>
    <s v="Alamo Community College District (ACCD)"/>
    <m/>
    <m/>
    <x v="16"/>
    <s v="sem"/>
    <m/>
    <n v="12135"/>
    <n v="15964"/>
    <n v="3961"/>
    <n v="7755"/>
    <n v="0"/>
    <n v="0"/>
    <n v="11970"/>
    <n v="19402"/>
    <n v="28066"/>
    <n v="935.5333333333333"/>
    <n v="43121"/>
    <n v="1437.3666666666666"/>
    <n v="0"/>
    <n v="24"/>
    <n v="28066"/>
    <n v="43121"/>
    <n v="11472"/>
    <n v="1808"/>
    <n v="24592"/>
    <n v="552"/>
    <n v="2776"/>
    <n v="6528"/>
    <n v="4296"/>
    <n v="2680"/>
    <n v="43136"/>
    <n v="47.928888888888892"/>
    <n v="11568"/>
    <n v="12.853333333333333"/>
    <m/>
    <m/>
    <n v="0"/>
    <n v="0"/>
    <m/>
    <m/>
    <m/>
    <m/>
    <m/>
    <m/>
    <m/>
    <m/>
    <n v="0"/>
    <n v="0"/>
    <n v="0"/>
    <n v="0"/>
    <n v="983.46222222222218"/>
    <n v="1450.2199999999998"/>
  </r>
  <r>
    <x v="13"/>
    <s v="Howard County Community/Junior College District (HCJCD)"/>
    <m/>
    <m/>
    <x v="16"/>
    <s v="sem"/>
    <m/>
    <n v="1361"/>
    <n v="1121"/>
    <n v="60"/>
    <n v="0"/>
    <n v="0"/>
    <n v="0"/>
    <n v="1314"/>
    <n v="1219"/>
    <n v="2735"/>
    <n v="91.166666666666671"/>
    <n v="2340"/>
    <n v="78"/>
    <n v="0"/>
    <n v="0"/>
    <n v="2735"/>
    <n v="2340"/>
    <n v="0"/>
    <n v="0"/>
    <n v="0"/>
    <n v="0"/>
    <n v="0"/>
    <n v="0"/>
    <n v="0"/>
    <n v="0"/>
    <n v="0"/>
    <n v="0"/>
    <n v="0"/>
    <n v="0"/>
    <m/>
    <m/>
    <n v="0"/>
    <n v="0"/>
    <m/>
    <m/>
    <m/>
    <m/>
    <m/>
    <m/>
    <m/>
    <m/>
    <n v="0"/>
    <n v="0"/>
    <n v="0"/>
    <n v="0"/>
    <n v="91.166666666666671"/>
    <n v="78"/>
  </r>
  <r>
    <x v="14"/>
    <s v="George Mason University "/>
    <m/>
    <n v="232186"/>
    <x v="0"/>
    <s v="sem"/>
    <s v="sem"/>
    <m/>
    <m/>
    <n v="272424.5"/>
    <n v="284102"/>
    <n v="56207"/>
    <n v="53435"/>
    <n v="292154"/>
    <n v="302855.5"/>
    <n v="620785.5"/>
    <n v="20692.849999999999"/>
    <n v="640392.5"/>
    <n v="21346.416666666668"/>
    <n v="20297"/>
    <n v="16141"/>
    <n v="620785.5"/>
    <n v="640392.5"/>
    <m/>
    <m/>
    <m/>
    <m/>
    <m/>
    <m/>
    <m/>
    <m/>
    <n v="0"/>
    <n v="0"/>
    <n v="0"/>
    <n v="0"/>
    <m/>
    <m/>
    <n v="0"/>
    <n v="0"/>
    <m/>
    <m/>
    <n v="73690"/>
    <n v="72782"/>
    <n v="18880.5"/>
    <n v="18432"/>
    <n v="73796"/>
    <n v="72083.5"/>
    <n v="166366.5"/>
    <n v="6931.9375"/>
    <n v="163297.5"/>
    <n v="6804.0625"/>
    <n v="27624.787499999999"/>
    <n v="28150.479166666668"/>
  </r>
  <r>
    <x v="14"/>
    <s v="Old Dominion University "/>
    <m/>
    <n v="232982"/>
    <x v="0"/>
    <s v="sem"/>
    <s v="sem"/>
    <m/>
    <m/>
    <n v="222539"/>
    <n v="224529"/>
    <n v="55961"/>
    <n v="55397"/>
    <n v="244833"/>
    <n v="245454"/>
    <n v="523333"/>
    <n v="17444.433333333334"/>
    <n v="525380"/>
    <n v="17512.666666666668"/>
    <n v="91"/>
    <n v="66"/>
    <n v="523333"/>
    <n v="525380"/>
    <m/>
    <m/>
    <m/>
    <m/>
    <m/>
    <m/>
    <m/>
    <m/>
    <n v="0"/>
    <n v="0"/>
    <n v="0"/>
    <n v="0"/>
    <m/>
    <m/>
    <n v="0"/>
    <n v="0"/>
    <m/>
    <m/>
    <n v="27848"/>
    <n v="27242"/>
    <n v="14076"/>
    <n v="13603"/>
    <n v="28997"/>
    <n v="27178"/>
    <n v="70921"/>
    <n v="2955.0416666666665"/>
    <n v="68023"/>
    <n v="2834.2916666666665"/>
    <n v="20399.475000000002"/>
    <n v="20346.958333333336"/>
  </r>
  <r>
    <x v="14"/>
    <s v="University of Virginia"/>
    <m/>
    <n v="234076"/>
    <x v="0"/>
    <s v="sem"/>
    <s v="sem"/>
    <m/>
    <m/>
    <n v="225049"/>
    <n v="230413"/>
    <n v="22994"/>
    <n v="18270"/>
    <n v="235424.5"/>
    <n v="239828.5"/>
    <n v="483467.5"/>
    <n v="16115.583333333334"/>
    <n v="488511.5"/>
    <n v="16283.716666666667"/>
    <n v="0"/>
    <n v="0"/>
    <n v="483467.5"/>
    <n v="488511.5"/>
    <m/>
    <m/>
    <m/>
    <m/>
    <m/>
    <m/>
    <m/>
    <m/>
    <n v="0"/>
    <n v="0"/>
    <n v="0"/>
    <n v="0"/>
    <m/>
    <m/>
    <n v="0"/>
    <n v="0"/>
    <m/>
    <m/>
    <n v="84462"/>
    <n v="83438.5"/>
    <n v="14947.8"/>
    <n v="14352"/>
    <n v="84245.1"/>
    <n v="83050"/>
    <n v="183654.90000000002"/>
    <n v="7652.2875000000013"/>
    <n v="180840.5"/>
    <n v="7535.020833333333"/>
    <n v="23767.870833333334"/>
    <n v="23818.737499999999"/>
  </r>
  <r>
    <x v="14"/>
    <s v="Virginia Tech "/>
    <m/>
    <n v="233921"/>
    <x v="0"/>
    <s v="sem"/>
    <s v="sem"/>
    <m/>
    <m/>
    <n v="351407"/>
    <n v="359738"/>
    <n v="37073"/>
    <n v="33893"/>
    <n v="372913"/>
    <n v="389183"/>
    <n v="761393"/>
    <n v="25379.766666666666"/>
    <n v="782814"/>
    <n v="26093.8"/>
    <n v="0"/>
    <n v="0"/>
    <n v="761393"/>
    <n v="782814"/>
    <m/>
    <m/>
    <m/>
    <m/>
    <m/>
    <m/>
    <m/>
    <m/>
    <n v="0"/>
    <n v="0"/>
    <n v="0"/>
    <n v="0"/>
    <m/>
    <m/>
    <n v="0"/>
    <n v="0"/>
    <m/>
    <m/>
    <n v="66274"/>
    <n v="64843"/>
    <n v="7993"/>
    <n v="7661"/>
    <n v="67769"/>
    <n v="69586"/>
    <n v="142036"/>
    <n v="5918.166666666667"/>
    <n v="142090"/>
    <n v="5920.416666666667"/>
    <n v="31297.933333333334"/>
    <n v="32014.216666666667"/>
  </r>
  <r>
    <x v="14"/>
    <s v="College of William &amp; Mary"/>
    <m/>
    <n v="231624"/>
    <x v="1"/>
    <s v="sem"/>
    <s v="sem"/>
    <m/>
    <m/>
    <n v="85670.9"/>
    <n v="86903.6"/>
    <n v="8731"/>
    <n v="8631"/>
    <n v="90434.9"/>
    <n v="90795.3"/>
    <n v="184836.8"/>
    <n v="6161.2266666666665"/>
    <n v="186329.90000000002"/>
    <n v="6210.9966666666678"/>
    <n v="0"/>
    <n v="0"/>
    <n v="184836.8"/>
    <n v="186329.90000000002"/>
    <m/>
    <m/>
    <m/>
    <m/>
    <m/>
    <m/>
    <m/>
    <m/>
    <n v="0"/>
    <n v="0"/>
    <n v="0"/>
    <n v="0"/>
    <m/>
    <m/>
    <n v="0"/>
    <n v="0"/>
    <m/>
    <m/>
    <n v="25101"/>
    <n v="24289.5"/>
    <n v="4729"/>
    <n v="4353.5"/>
    <n v="25611.5"/>
    <n v="26074"/>
    <n v="55441.5"/>
    <n v="2310.0625"/>
    <n v="54717"/>
    <n v="2279.875"/>
    <n v="8471.2891666666656"/>
    <n v="8490.8716666666678"/>
  </r>
  <r>
    <x v="14"/>
    <s v="Virginia Commonwealth University"/>
    <s v="Reclassified: Met the criteria for Four-Year 1 in 2013-14, 2014-15, and 2015-16."/>
    <n v="234030"/>
    <x v="0"/>
    <s v="sem"/>
    <s v="sem"/>
    <m/>
    <m/>
    <n v="291502.5"/>
    <n v="298822"/>
    <n v="39733.5"/>
    <n v="39960.5"/>
    <n v="324721.5"/>
    <n v="322337.5"/>
    <n v="655957.5"/>
    <n v="21865.25"/>
    <n v="661120"/>
    <n v="22037.333333333332"/>
    <n v="8094"/>
    <n v="7673"/>
    <n v="655957.5"/>
    <n v="661120"/>
    <m/>
    <m/>
    <m/>
    <m/>
    <m/>
    <m/>
    <m/>
    <m/>
    <n v="0"/>
    <n v="0"/>
    <n v="0"/>
    <n v="0"/>
    <m/>
    <m/>
    <n v="0"/>
    <n v="0"/>
    <m/>
    <m/>
    <n v="57646.5"/>
    <n v="59693.5"/>
    <n v="12435.5"/>
    <n v="11708.5"/>
    <n v="61504.5"/>
    <n v="61948.5"/>
    <n v="131586.5"/>
    <n v="5482.770833333333"/>
    <n v="133350.5"/>
    <n v="5556.270833333333"/>
    <n v="27348.020833333332"/>
    <n v="27593.604166666664"/>
  </r>
  <r>
    <x v="14"/>
    <s v="James Madison University"/>
    <m/>
    <n v="232423"/>
    <x v="2"/>
    <s v="sem"/>
    <s v="sem"/>
    <m/>
    <m/>
    <n v="256541"/>
    <n v="261923"/>
    <n v="26912"/>
    <n v="27605"/>
    <n v="279066"/>
    <n v="283191"/>
    <n v="562519"/>
    <n v="18750.633333333335"/>
    <n v="572719"/>
    <n v="19090.633333333335"/>
    <n v="7004"/>
    <n v="6114"/>
    <n v="562519"/>
    <n v="572719"/>
    <m/>
    <m/>
    <m/>
    <m/>
    <m/>
    <m/>
    <m/>
    <m/>
    <n v="0"/>
    <n v="0"/>
    <n v="0"/>
    <n v="0"/>
    <m/>
    <m/>
    <n v="0"/>
    <n v="0"/>
    <m/>
    <m/>
    <n v="13966"/>
    <n v="13061"/>
    <n v="7515"/>
    <n v="7160"/>
    <n v="13840"/>
    <n v="15034"/>
    <n v="35321"/>
    <n v="1471.7083333333333"/>
    <n v="35255"/>
    <n v="1468.9583333333333"/>
    <n v="20222.341666666667"/>
    <n v="20559.591666666667"/>
  </r>
  <r>
    <x v="14"/>
    <s v="Longwood University "/>
    <m/>
    <n v="232566"/>
    <x v="2"/>
    <s v="sem"/>
    <s v="sem"/>
    <m/>
    <m/>
    <n v="60247"/>
    <n v="61851"/>
    <n v="9292"/>
    <n v="9954"/>
    <n v="63570.5"/>
    <n v="63561"/>
    <n v="133109.5"/>
    <n v="4436.9833333333336"/>
    <n v="135366"/>
    <n v="4512.2"/>
    <n v="726"/>
    <n v="1346"/>
    <n v="133109.5"/>
    <n v="135366"/>
    <m/>
    <m/>
    <m/>
    <m/>
    <m/>
    <m/>
    <m/>
    <m/>
    <n v="0"/>
    <n v="0"/>
    <n v="0"/>
    <n v="0"/>
    <m/>
    <m/>
    <n v="0"/>
    <n v="0"/>
    <m/>
    <m/>
    <n v="2719"/>
    <n v="2818"/>
    <n v="2482"/>
    <n v="2848"/>
    <n v="3032"/>
    <n v="2935"/>
    <n v="8233"/>
    <n v="343.04166666666669"/>
    <n v="8601"/>
    <n v="358.375"/>
    <n v="4780.0250000000005"/>
    <n v="4870.5749999999998"/>
  </r>
  <r>
    <x v="14"/>
    <s v="Norfolk State University "/>
    <m/>
    <n v="232937"/>
    <x v="2"/>
    <s v="sem"/>
    <s v="sem"/>
    <m/>
    <m/>
    <n v="73813"/>
    <n v="65661"/>
    <n v="8921"/>
    <n v="7911"/>
    <n v="73460"/>
    <n v="61923"/>
    <n v="156194"/>
    <n v="5206.4666666666662"/>
    <n v="135495"/>
    <n v="4516.5"/>
    <n v="555"/>
    <n v="433"/>
    <n v="156194"/>
    <n v="135495"/>
    <m/>
    <m/>
    <m/>
    <m/>
    <m/>
    <m/>
    <m/>
    <m/>
    <n v="0"/>
    <n v="0"/>
    <n v="0"/>
    <n v="0"/>
    <m/>
    <m/>
    <n v="0"/>
    <n v="0"/>
    <m/>
    <m/>
    <n v="5695"/>
    <n v="5212"/>
    <n v="622"/>
    <n v="701"/>
    <n v="5778"/>
    <n v="5106"/>
    <n v="12095"/>
    <n v="503.95833333333331"/>
    <n v="11019"/>
    <n v="459.125"/>
    <n v="5710.4249999999993"/>
    <n v="4975.625"/>
  </r>
  <r>
    <x v="14"/>
    <s v="Radford University"/>
    <m/>
    <n v="233277"/>
    <x v="2"/>
    <s v="sem"/>
    <s v="sem"/>
    <m/>
    <m/>
    <n v="122233"/>
    <n v="121297"/>
    <n v="10991"/>
    <n v="11066"/>
    <n v="130858"/>
    <n v="130137"/>
    <n v="264082"/>
    <n v="8802.7333333333336"/>
    <n v="262500"/>
    <n v="8750"/>
    <n v="0"/>
    <n v="0"/>
    <n v="264082"/>
    <n v="262500"/>
    <m/>
    <m/>
    <m/>
    <m/>
    <m/>
    <m/>
    <m/>
    <m/>
    <n v="0"/>
    <n v="0"/>
    <n v="0"/>
    <n v="0"/>
    <m/>
    <m/>
    <n v="0"/>
    <n v="0"/>
    <m/>
    <m/>
    <n v="8614"/>
    <n v="7624"/>
    <n v="4167"/>
    <n v="3713"/>
    <n v="8078"/>
    <n v="7863"/>
    <n v="20859"/>
    <n v="869.125"/>
    <n v="19200"/>
    <n v="800"/>
    <n v="9671.8583333333336"/>
    <n v="9550"/>
  </r>
  <r>
    <x v="14"/>
    <s v="University of Mary Washington "/>
    <m/>
    <n v="232681"/>
    <x v="2"/>
    <s v="sem"/>
    <s v="sem"/>
    <m/>
    <m/>
    <n v="57011"/>
    <n v="54910"/>
    <n v="5119"/>
    <n v="4690"/>
    <n v="58124"/>
    <n v="59702"/>
    <n v="120254"/>
    <n v="4008.4666666666667"/>
    <n v="119302"/>
    <n v="3976.7333333333331"/>
    <n v="29"/>
    <n v="54"/>
    <n v="120254"/>
    <n v="119302"/>
    <m/>
    <m/>
    <m/>
    <m/>
    <m/>
    <m/>
    <m/>
    <m/>
    <n v="0"/>
    <n v="0"/>
    <n v="0"/>
    <n v="0"/>
    <m/>
    <m/>
    <n v="0"/>
    <n v="0"/>
    <m/>
    <m/>
    <n v="2414.1999999999998"/>
    <n v="2164.4"/>
    <n v="994"/>
    <n v="1070"/>
    <n v="2460"/>
    <n v="2417"/>
    <n v="5868.2"/>
    <n v="244.50833333333333"/>
    <n v="5651.4"/>
    <n v="235.47499999999999"/>
    <n v="4252.9750000000004"/>
    <n v="4212.208333333333"/>
  </r>
  <r>
    <x v="14"/>
    <s v="Virginia State University "/>
    <m/>
    <n v="234155"/>
    <x v="2"/>
    <s v="sem"/>
    <s v="sem"/>
    <m/>
    <m/>
    <n v="68689"/>
    <n v="63192"/>
    <n v="3925"/>
    <n v="3465"/>
    <n v="68390"/>
    <n v="66136"/>
    <n v="141004"/>
    <n v="4700.1333333333332"/>
    <n v="132793"/>
    <n v="4426.4333333333334"/>
    <n v="0"/>
    <n v="0"/>
    <n v="141004"/>
    <n v="132793"/>
    <m/>
    <m/>
    <m/>
    <m/>
    <m/>
    <m/>
    <m/>
    <m/>
    <n v="0"/>
    <n v="0"/>
    <n v="0"/>
    <n v="0"/>
    <m/>
    <m/>
    <n v="0"/>
    <n v="0"/>
    <m/>
    <m/>
    <n v="4707"/>
    <n v="3594"/>
    <n v="894"/>
    <n v="609"/>
    <n v="3913"/>
    <n v="3392"/>
    <n v="9514"/>
    <n v="396.41666666666669"/>
    <n v="7595"/>
    <n v="316.45833333333331"/>
    <n v="5096.55"/>
    <n v="4742.8916666666664"/>
  </r>
  <r>
    <x v="14"/>
    <s v="Christopher Newport University"/>
    <m/>
    <n v="231712"/>
    <x v="4"/>
    <s v="sem"/>
    <s v="sem"/>
    <m/>
    <m/>
    <n v="71413"/>
    <n v="71331"/>
    <n v="1170"/>
    <n v="1203"/>
    <n v="75781"/>
    <n v="75257"/>
    <n v="148364"/>
    <n v="4945.4666666666662"/>
    <n v="147791"/>
    <n v="4926.3666666666668"/>
    <n v="0"/>
    <n v="57"/>
    <n v="148364"/>
    <n v="147791"/>
    <m/>
    <m/>
    <m/>
    <m/>
    <m/>
    <m/>
    <m/>
    <m/>
    <n v="0"/>
    <n v="0"/>
    <n v="0"/>
    <n v="0"/>
    <m/>
    <m/>
    <n v="0"/>
    <n v="0"/>
    <m/>
    <m/>
    <n v="1347"/>
    <n v="1284"/>
    <n v="656"/>
    <n v="613"/>
    <n v="1391"/>
    <n v="1385"/>
    <n v="3394"/>
    <n v="141.41666666666666"/>
    <n v="3282"/>
    <n v="136.75"/>
    <n v="5086.8833333333332"/>
    <n v="5063.1166666666668"/>
  </r>
  <r>
    <x v="14"/>
    <s v="University of Virginia's College at Wise "/>
    <m/>
    <n v="233897"/>
    <x v="5"/>
    <s v="sem"/>
    <s v="sem"/>
    <m/>
    <m/>
    <n v="24407"/>
    <n v="23496"/>
    <n v="4086"/>
    <n v="5708"/>
    <n v="24192"/>
    <n v="22802"/>
    <n v="52685"/>
    <n v="1756.1666666666667"/>
    <n v="52006"/>
    <n v="1733.5333333333333"/>
    <n v="358"/>
    <n v="449"/>
    <n v="52685"/>
    <n v="52006"/>
    <m/>
    <m/>
    <m/>
    <m/>
    <m/>
    <m/>
    <m/>
    <m/>
    <n v="0"/>
    <n v="0"/>
    <n v="0"/>
    <n v="0"/>
    <m/>
    <m/>
    <n v="0"/>
    <n v="0"/>
    <m/>
    <m/>
    <n v="0"/>
    <m/>
    <n v="0"/>
    <m/>
    <n v="0"/>
    <m/>
    <n v="0"/>
    <n v="0"/>
    <n v="0"/>
    <n v="0"/>
    <n v="1756.1666666666667"/>
    <n v="1733.5333333333333"/>
  </r>
  <r>
    <x v="14"/>
    <s v="J.S. Reynolds Community College"/>
    <m/>
    <n v="232414"/>
    <x v="7"/>
    <s v="sem"/>
    <s v="sem"/>
    <m/>
    <m/>
    <n v="96404"/>
    <n v="92271"/>
    <n v="37720"/>
    <n v="33671"/>
    <n v="98123"/>
    <n v="90084"/>
    <n v="232247"/>
    <n v="7741.5666666666666"/>
    <n v="216026"/>
    <n v="7200.8666666666668"/>
    <n v="14538"/>
    <n v="16807"/>
    <n v="232247"/>
    <n v="216026"/>
    <m/>
    <m/>
    <m/>
    <m/>
    <m/>
    <m/>
    <m/>
    <m/>
    <n v="0"/>
    <n v="0"/>
    <n v="0"/>
    <n v="0"/>
    <m/>
    <m/>
    <n v="0"/>
    <n v="0"/>
    <m/>
    <m/>
    <m/>
    <m/>
    <m/>
    <m/>
    <m/>
    <m/>
    <n v="0"/>
    <n v="0"/>
    <n v="0"/>
    <n v="0"/>
    <n v="7741.5666666666666"/>
    <n v="7200.8666666666668"/>
  </r>
  <r>
    <x v="14"/>
    <s v="John Tyler Community College"/>
    <m/>
    <n v="232450"/>
    <x v="7"/>
    <s v="sem"/>
    <s v="sem"/>
    <m/>
    <m/>
    <n v="73977"/>
    <n v="70008"/>
    <n v="18736"/>
    <n v="18698"/>
    <n v="77598"/>
    <n v="76688"/>
    <n v="170311"/>
    <n v="5677.0333333333338"/>
    <n v="165394"/>
    <n v="5513.1333333333332"/>
    <n v="41495"/>
    <n v="45125"/>
    <n v="170311"/>
    <n v="165394"/>
    <m/>
    <m/>
    <m/>
    <m/>
    <m/>
    <m/>
    <m/>
    <m/>
    <n v="0"/>
    <n v="0"/>
    <n v="0"/>
    <n v="0"/>
    <m/>
    <m/>
    <n v="0"/>
    <n v="0"/>
    <m/>
    <m/>
    <m/>
    <m/>
    <m/>
    <m/>
    <m/>
    <m/>
    <n v="0"/>
    <n v="0"/>
    <n v="0"/>
    <n v="0"/>
    <n v="5677.0333333333338"/>
    <n v="5513.1333333333332"/>
  </r>
  <r>
    <x v="14"/>
    <s v="Northern Virginia Community College "/>
    <m/>
    <n v="232946"/>
    <x v="7"/>
    <s v="sem"/>
    <s v="sem"/>
    <m/>
    <m/>
    <n v="440660"/>
    <n v="426055.5"/>
    <n v="162747"/>
    <n v="157192"/>
    <n v="454333"/>
    <n v="453988"/>
    <n v="1057740"/>
    <n v="35258"/>
    <n v="1037235.5"/>
    <n v="34574.51666666667"/>
    <n v="43911"/>
    <n v="62676"/>
    <n v="1057740"/>
    <n v="1037235.5"/>
    <m/>
    <m/>
    <m/>
    <m/>
    <m/>
    <m/>
    <m/>
    <m/>
    <n v="0"/>
    <n v="0"/>
    <n v="0"/>
    <n v="0"/>
    <m/>
    <m/>
    <n v="0"/>
    <n v="0"/>
    <m/>
    <m/>
    <m/>
    <m/>
    <m/>
    <m/>
    <m/>
    <m/>
    <n v="0"/>
    <n v="0"/>
    <n v="0"/>
    <n v="0"/>
    <n v="35258"/>
    <n v="34574.51666666667"/>
  </r>
  <r>
    <x v="14"/>
    <s v="Thomas Nelson Community College "/>
    <m/>
    <n v="233754"/>
    <x v="7"/>
    <s v="sem"/>
    <s v="sem"/>
    <m/>
    <m/>
    <n v="89127"/>
    <n v="81747"/>
    <n v="26534"/>
    <n v="23591"/>
    <n v="90057"/>
    <n v="81214"/>
    <n v="205718"/>
    <n v="6857.2666666666664"/>
    <n v="186552"/>
    <n v="6218.4"/>
    <n v="22530"/>
    <n v="18578"/>
    <n v="205718"/>
    <n v="186552"/>
    <m/>
    <m/>
    <m/>
    <m/>
    <m/>
    <m/>
    <m/>
    <m/>
    <n v="0"/>
    <n v="0"/>
    <n v="0"/>
    <n v="0"/>
    <m/>
    <m/>
    <n v="0"/>
    <n v="0"/>
    <m/>
    <m/>
    <m/>
    <m/>
    <m/>
    <m/>
    <m/>
    <m/>
    <n v="0"/>
    <n v="0"/>
    <n v="0"/>
    <n v="0"/>
    <n v="6857.2666666666664"/>
    <n v="6218.4"/>
  </r>
  <r>
    <x v="14"/>
    <s v="Tidewater Community College "/>
    <m/>
    <n v="233772"/>
    <x v="7"/>
    <s v="sem"/>
    <s v="sem"/>
    <m/>
    <m/>
    <n v="248791"/>
    <n v="233794"/>
    <n v="86595"/>
    <n v="75337"/>
    <n v="251049"/>
    <n v="233258"/>
    <n v="586435"/>
    <n v="19547.833333333332"/>
    <n v="542389"/>
    <n v="18079.633333333335"/>
    <n v="21098"/>
    <n v="23955"/>
    <n v="586435"/>
    <n v="542389"/>
    <m/>
    <m/>
    <m/>
    <m/>
    <m/>
    <m/>
    <m/>
    <m/>
    <n v="0"/>
    <n v="0"/>
    <n v="0"/>
    <n v="0"/>
    <m/>
    <m/>
    <n v="0"/>
    <n v="0"/>
    <m/>
    <m/>
    <m/>
    <m/>
    <m/>
    <m/>
    <m/>
    <m/>
    <n v="0"/>
    <n v="0"/>
    <n v="0"/>
    <n v="0"/>
    <n v="19547.833333333332"/>
    <n v="18079.633333333335"/>
  </r>
  <r>
    <x v="14"/>
    <s v="Blue Ridge Community College "/>
    <m/>
    <n v="231536"/>
    <x v="6"/>
    <s v="sem"/>
    <s v="sem"/>
    <m/>
    <m/>
    <n v="36903"/>
    <n v="35738"/>
    <n v="9539"/>
    <n v="9397"/>
    <n v="39988"/>
    <n v="36911"/>
    <n v="86430"/>
    <n v="2881"/>
    <n v="82046"/>
    <n v="2734.8666666666668"/>
    <n v="11235"/>
    <n v="11167"/>
    <n v="86430"/>
    <n v="82046"/>
    <m/>
    <m/>
    <m/>
    <m/>
    <m/>
    <m/>
    <m/>
    <m/>
    <n v="0"/>
    <n v="0"/>
    <n v="0"/>
    <n v="0"/>
    <m/>
    <m/>
    <n v="0"/>
    <n v="0"/>
    <m/>
    <m/>
    <m/>
    <m/>
    <m/>
    <m/>
    <m/>
    <m/>
    <n v="0"/>
    <n v="0"/>
    <n v="0"/>
    <n v="0"/>
    <n v="2881"/>
    <n v="2734.8666666666668"/>
  </r>
  <r>
    <x v="14"/>
    <s v="Central Virginia Community College "/>
    <m/>
    <n v="231697"/>
    <x v="6"/>
    <s v="sem"/>
    <s v="sem"/>
    <m/>
    <m/>
    <n v="33466"/>
    <n v="33880"/>
    <n v="8977"/>
    <n v="7373"/>
    <n v="37092"/>
    <n v="36608"/>
    <n v="79535"/>
    <n v="2651.1666666666665"/>
    <n v="77861"/>
    <n v="2595.3666666666668"/>
    <n v="33466"/>
    <n v="35848"/>
    <n v="79535"/>
    <n v="77861"/>
    <m/>
    <m/>
    <m/>
    <m/>
    <m/>
    <m/>
    <m/>
    <m/>
    <n v="0"/>
    <n v="0"/>
    <n v="0"/>
    <n v="0"/>
    <m/>
    <m/>
    <n v="0"/>
    <n v="0"/>
    <m/>
    <m/>
    <m/>
    <m/>
    <m/>
    <m/>
    <m/>
    <m/>
    <n v="0"/>
    <n v="0"/>
    <n v="0"/>
    <n v="0"/>
    <n v="2651.1666666666665"/>
    <n v="2595.3666666666668"/>
  </r>
  <r>
    <x v="14"/>
    <s v="Danville Community College "/>
    <m/>
    <n v="231882"/>
    <x v="6"/>
    <s v="sem"/>
    <s v="sem"/>
    <m/>
    <m/>
    <n v="33112"/>
    <n v="29759"/>
    <n v="9107"/>
    <n v="7890"/>
    <n v="33549"/>
    <n v="31445"/>
    <n v="75768"/>
    <n v="2525.6"/>
    <n v="69094"/>
    <n v="2303.1333333333332"/>
    <n v="27796"/>
    <n v="30058"/>
    <n v="75768"/>
    <n v="69094"/>
    <m/>
    <m/>
    <m/>
    <m/>
    <m/>
    <m/>
    <m/>
    <m/>
    <n v="0"/>
    <n v="0"/>
    <n v="0"/>
    <n v="0"/>
    <m/>
    <m/>
    <n v="0"/>
    <n v="0"/>
    <m/>
    <m/>
    <m/>
    <m/>
    <m/>
    <m/>
    <m/>
    <m/>
    <n v="0"/>
    <n v="0"/>
    <n v="0"/>
    <n v="0"/>
    <n v="2525.6"/>
    <n v="2303.1333333333332"/>
  </r>
  <r>
    <x v="14"/>
    <s v="Germanna Community College"/>
    <m/>
    <n v="232195"/>
    <x v="6"/>
    <s v="sem"/>
    <s v="sem"/>
    <m/>
    <m/>
    <n v="56433"/>
    <n v="57447"/>
    <n v="15753"/>
    <n v="16103"/>
    <n v="61553"/>
    <n v="59548"/>
    <n v="133739"/>
    <n v="4457.9666666666662"/>
    <n v="133098"/>
    <n v="4436.6000000000004"/>
    <n v="18605"/>
    <n v="21287"/>
    <n v="133739"/>
    <n v="133098"/>
    <m/>
    <m/>
    <m/>
    <m/>
    <m/>
    <m/>
    <m/>
    <m/>
    <n v="0"/>
    <n v="0"/>
    <n v="0"/>
    <n v="0"/>
    <m/>
    <m/>
    <n v="0"/>
    <n v="0"/>
    <m/>
    <m/>
    <m/>
    <m/>
    <m/>
    <m/>
    <m/>
    <m/>
    <n v="0"/>
    <n v="0"/>
    <n v="0"/>
    <n v="0"/>
    <n v="4457.9666666666662"/>
    <n v="4436.6000000000004"/>
  </r>
  <r>
    <x v="14"/>
    <s v="Lord Fairfax Community College"/>
    <m/>
    <n v="232575"/>
    <x v="6"/>
    <s v="sem"/>
    <s v="sem"/>
    <m/>
    <m/>
    <n v="50516"/>
    <n v="50535"/>
    <n v="13058"/>
    <n v="12607"/>
    <n v="57209"/>
    <n v="57424"/>
    <n v="120783"/>
    <n v="4026.1"/>
    <n v="120566"/>
    <n v="4018.8666666666668"/>
    <n v="48801"/>
    <n v="54418"/>
    <n v="120783"/>
    <n v="120566"/>
    <m/>
    <m/>
    <m/>
    <m/>
    <m/>
    <m/>
    <m/>
    <m/>
    <n v="0"/>
    <n v="0"/>
    <n v="0"/>
    <n v="0"/>
    <m/>
    <m/>
    <n v="0"/>
    <n v="0"/>
    <m/>
    <m/>
    <m/>
    <m/>
    <m/>
    <m/>
    <m/>
    <m/>
    <n v="0"/>
    <n v="0"/>
    <n v="0"/>
    <n v="0"/>
    <n v="4026.1"/>
    <n v="4018.8666666666668"/>
  </r>
  <r>
    <x v="14"/>
    <s v="Mountain Empire Community College"/>
    <s v="Reclassified: Met the criteria for Two-Year 3 in 2013-14, 2014-15, and 2015-16. "/>
    <n v="232788"/>
    <x v="8"/>
    <s v="sem"/>
    <s v="sem"/>
    <m/>
    <m/>
    <n v="22956"/>
    <n v="22336"/>
    <n v="5773"/>
    <n v="5391"/>
    <n v="24627"/>
    <n v="25394"/>
    <n v="53356"/>
    <n v="1778.5333333333333"/>
    <n v="53121"/>
    <n v="1770.7"/>
    <n v="22783"/>
    <n v="23769"/>
    <n v="53356"/>
    <n v="53121"/>
    <m/>
    <m/>
    <m/>
    <m/>
    <m/>
    <m/>
    <m/>
    <m/>
    <n v="0"/>
    <n v="0"/>
    <n v="0"/>
    <n v="0"/>
    <m/>
    <m/>
    <n v="0"/>
    <n v="0"/>
    <m/>
    <m/>
    <m/>
    <m/>
    <m/>
    <m/>
    <m/>
    <m/>
    <n v="0"/>
    <n v="0"/>
    <n v="0"/>
    <n v="0"/>
    <n v="1778.5333333333333"/>
    <n v="1770.7"/>
  </r>
  <r>
    <x v="14"/>
    <s v="New River Community College "/>
    <m/>
    <n v="232867"/>
    <x v="6"/>
    <s v="sem"/>
    <s v="sem"/>
    <m/>
    <m/>
    <n v="37043"/>
    <n v="38000"/>
    <n v="7946"/>
    <n v="6990"/>
    <n v="41645"/>
    <n v="40612"/>
    <n v="86634"/>
    <n v="2887.8"/>
    <n v="85602"/>
    <n v="2853.4"/>
    <n v="30204"/>
    <n v="32411"/>
    <n v="86634"/>
    <n v="85602"/>
    <m/>
    <m/>
    <m/>
    <m/>
    <m/>
    <m/>
    <m/>
    <m/>
    <n v="0"/>
    <n v="0"/>
    <n v="0"/>
    <n v="0"/>
    <m/>
    <m/>
    <n v="0"/>
    <n v="0"/>
    <m/>
    <m/>
    <m/>
    <m/>
    <m/>
    <m/>
    <m/>
    <m/>
    <n v="0"/>
    <n v="0"/>
    <n v="0"/>
    <n v="0"/>
    <n v="2887.8"/>
    <n v="2853.4"/>
  </r>
  <r>
    <x v="14"/>
    <s v="Patrick Henry Community College "/>
    <s v="Met the criteria for Two-Year 3 in 2015-16. "/>
    <n v="233019"/>
    <x v="6"/>
    <s v="sem"/>
    <s v="sem"/>
    <m/>
    <m/>
    <n v="28314"/>
    <n v="26551"/>
    <n v="5983"/>
    <n v="5567"/>
    <n v="29455"/>
    <n v="26748"/>
    <n v="63752"/>
    <n v="2125.0666666666666"/>
    <n v="58866"/>
    <n v="1962.2"/>
    <n v="30295"/>
    <n v="28079"/>
    <n v="63752"/>
    <n v="58866"/>
    <m/>
    <m/>
    <m/>
    <m/>
    <m/>
    <m/>
    <m/>
    <m/>
    <n v="0"/>
    <n v="0"/>
    <n v="0"/>
    <n v="0"/>
    <m/>
    <m/>
    <n v="0"/>
    <n v="0"/>
    <m/>
    <m/>
    <m/>
    <m/>
    <m/>
    <m/>
    <m/>
    <m/>
    <n v="0"/>
    <n v="0"/>
    <n v="0"/>
    <n v="0"/>
    <n v="2125.0666666666666"/>
    <n v="1962.2"/>
  </r>
  <r>
    <x v="14"/>
    <s v="Piedmont Virginia Community College "/>
    <m/>
    <n v="233116"/>
    <x v="6"/>
    <s v="sem"/>
    <s v="sem"/>
    <m/>
    <m/>
    <n v="38681"/>
    <n v="37878"/>
    <n v="10404"/>
    <n v="10353"/>
    <n v="41850"/>
    <n v="41071"/>
    <n v="90935"/>
    <n v="3031.1666666666665"/>
    <n v="89302"/>
    <n v="2976.7333333333331"/>
    <n v="28698"/>
    <n v="31786"/>
    <n v="90935"/>
    <n v="89302"/>
    <m/>
    <m/>
    <m/>
    <m/>
    <m/>
    <m/>
    <m/>
    <m/>
    <n v="0"/>
    <n v="0"/>
    <n v="0"/>
    <n v="0"/>
    <m/>
    <m/>
    <n v="0"/>
    <n v="0"/>
    <m/>
    <m/>
    <m/>
    <m/>
    <m/>
    <m/>
    <m/>
    <m/>
    <n v="0"/>
    <n v="0"/>
    <n v="0"/>
    <n v="0"/>
    <n v="3031.1666666666665"/>
    <n v="2976.7333333333331"/>
  </r>
  <r>
    <x v="14"/>
    <s v="Southside Virginia Community College"/>
    <m/>
    <n v="233639"/>
    <x v="6"/>
    <s v="sem"/>
    <s v="sem"/>
    <m/>
    <m/>
    <n v="43529"/>
    <n v="40879"/>
    <n v="11900"/>
    <n v="9566"/>
    <n v="47465"/>
    <n v="39757"/>
    <n v="102894"/>
    <n v="3429.8"/>
    <n v="90202"/>
    <n v="3006.7333333333331"/>
    <n v="70023"/>
    <n v="67449"/>
    <n v="102894"/>
    <n v="90202"/>
    <m/>
    <m/>
    <m/>
    <m/>
    <m/>
    <m/>
    <m/>
    <m/>
    <n v="0"/>
    <n v="0"/>
    <n v="0"/>
    <n v="0"/>
    <m/>
    <m/>
    <n v="0"/>
    <n v="0"/>
    <m/>
    <m/>
    <m/>
    <m/>
    <m/>
    <m/>
    <m/>
    <m/>
    <n v="0"/>
    <n v="0"/>
    <n v="0"/>
    <n v="0"/>
    <n v="3429.8"/>
    <n v="3006.7333333333331"/>
  </r>
  <r>
    <x v="14"/>
    <s v="Virginia Western Community College "/>
    <m/>
    <n v="233949"/>
    <x v="6"/>
    <s v="sem"/>
    <s v="sem"/>
    <m/>
    <m/>
    <n v="66512"/>
    <n v="65732"/>
    <n v="16111"/>
    <n v="15306"/>
    <n v="67796"/>
    <n v="62563"/>
    <n v="150419"/>
    <n v="5013.9666666666662"/>
    <n v="143601"/>
    <n v="4786.7"/>
    <n v="55258"/>
    <n v="57799"/>
    <n v="150419"/>
    <n v="143601"/>
    <m/>
    <m/>
    <m/>
    <m/>
    <m/>
    <m/>
    <m/>
    <m/>
    <n v="0"/>
    <n v="0"/>
    <n v="0"/>
    <n v="0"/>
    <m/>
    <m/>
    <n v="0"/>
    <n v="0"/>
    <m/>
    <m/>
    <m/>
    <m/>
    <m/>
    <m/>
    <m/>
    <m/>
    <n v="0"/>
    <n v="0"/>
    <n v="0"/>
    <n v="0"/>
    <n v="5013.9666666666662"/>
    <n v="4786.7"/>
  </r>
  <r>
    <x v="14"/>
    <s v="Wytheville Community College "/>
    <s v="Met the criteria for Two-Year 3 in 2015-16. "/>
    <n v="234377"/>
    <x v="6"/>
    <s v="sem"/>
    <s v="sem"/>
    <m/>
    <m/>
    <n v="25596"/>
    <n v="24696"/>
    <n v="6751"/>
    <n v="6381"/>
    <n v="27819"/>
    <n v="24555"/>
    <n v="60166"/>
    <n v="2005.5333333333333"/>
    <n v="55632"/>
    <n v="1854.4"/>
    <n v="27198"/>
    <n v="27441"/>
    <n v="60166"/>
    <n v="55632"/>
    <m/>
    <m/>
    <m/>
    <m/>
    <m/>
    <m/>
    <m/>
    <m/>
    <n v="0"/>
    <n v="0"/>
    <n v="0"/>
    <n v="0"/>
    <m/>
    <m/>
    <n v="0"/>
    <n v="0"/>
    <m/>
    <m/>
    <m/>
    <m/>
    <m/>
    <m/>
    <m/>
    <m/>
    <n v="0"/>
    <n v="0"/>
    <n v="0"/>
    <n v="0"/>
    <n v="2005.5333333333333"/>
    <n v="1854.4"/>
  </r>
  <r>
    <x v="14"/>
    <s v="D.S. Lancaster Community College "/>
    <m/>
    <n v="231873"/>
    <x v="8"/>
    <s v="sem"/>
    <s v="sem"/>
    <m/>
    <m/>
    <n v="9576"/>
    <n v="9947"/>
    <n v="1532"/>
    <n v="1449"/>
    <n v="10282"/>
    <n v="10286"/>
    <n v="21390"/>
    <n v="713"/>
    <n v="21682"/>
    <n v="722.73333333333335"/>
    <n v="8321"/>
    <n v="9335"/>
    <n v="21390"/>
    <n v="21682"/>
    <m/>
    <m/>
    <m/>
    <m/>
    <m/>
    <m/>
    <m/>
    <m/>
    <n v="0"/>
    <n v="0"/>
    <n v="0"/>
    <n v="0"/>
    <m/>
    <m/>
    <n v="0"/>
    <n v="0"/>
    <m/>
    <m/>
    <m/>
    <m/>
    <m/>
    <m/>
    <m/>
    <m/>
    <n v="0"/>
    <n v="0"/>
    <n v="0"/>
    <n v="0"/>
    <n v="713"/>
    <n v="722.73333333333335"/>
  </r>
  <r>
    <x v="14"/>
    <s v="Eastern Shore Community College"/>
    <m/>
    <n v="232052"/>
    <x v="8"/>
    <s v="sem"/>
    <s v="sem"/>
    <m/>
    <m/>
    <n v="6992"/>
    <n v="6843"/>
    <n v="1057"/>
    <n v="893"/>
    <n v="6933"/>
    <n v="6041"/>
    <n v="14982"/>
    <n v="499.4"/>
    <n v="13777"/>
    <n v="459.23333333333335"/>
    <n v="5469"/>
    <n v="5505"/>
    <n v="14982"/>
    <n v="13777"/>
    <m/>
    <m/>
    <m/>
    <m/>
    <m/>
    <m/>
    <m/>
    <m/>
    <n v="0"/>
    <n v="0"/>
    <n v="0"/>
    <n v="0"/>
    <m/>
    <m/>
    <n v="0"/>
    <n v="0"/>
    <m/>
    <m/>
    <m/>
    <m/>
    <m/>
    <m/>
    <m/>
    <m/>
    <n v="0"/>
    <n v="0"/>
    <n v="0"/>
    <n v="0"/>
    <n v="499.4"/>
    <n v="459.23333333333335"/>
  </r>
  <r>
    <x v="14"/>
    <s v="Paul D. Camp Community College"/>
    <m/>
    <n v="233037"/>
    <x v="8"/>
    <s v="sem"/>
    <s v="sem"/>
    <m/>
    <m/>
    <n v="10428"/>
    <n v="9679"/>
    <n v="3952"/>
    <n v="3586"/>
    <n v="10135"/>
    <n v="11021"/>
    <n v="24515"/>
    <n v="817.16666666666663"/>
    <n v="24286"/>
    <n v="809.5333333333333"/>
    <n v="9401"/>
    <n v="11633"/>
    <n v="24515"/>
    <n v="24286"/>
    <m/>
    <m/>
    <m/>
    <m/>
    <m/>
    <m/>
    <m/>
    <m/>
    <n v="0"/>
    <n v="0"/>
    <n v="0"/>
    <n v="0"/>
    <m/>
    <m/>
    <n v="0"/>
    <n v="0"/>
    <m/>
    <m/>
    <m/>
    <m/>
    <m/>
    <m/>
    <m/>
    <m/>
    <n v="0"/>
    <n v="0"/>
    <n v="0"/>
    <n v="0"/>
    <n v="817.16666666666663"/>
    <n v="809.5333333333333"/>
  </r>
  <r>
    <x v="14"/>
    <s v="Rappahannock Community College"/>
    <m/>
    <n v="233310"/>
    <x v="8"/>
    <s v="sem"/>
    <s v="sem"/>
    <m/>
    <m/>
    <n v="23464"/>
    <n v="23232"/>
    <n v="6011"/>
    <n v="4973"/>
    <n v="27243"/>
    <n v="27753"/>
    <n v="56718"/>
    <n v="1890.6"/>
    <n v="55958"/>
    <n v="1865.2666666666667"/>
    <n v="43989"/>
    <n v="46129"/>
    <n v="56718"/>
    <n v="55958"/>
    <m/>
    <m/>
    <m/>
    <m/>
    <m/>
    <m/>
    <m/>
    <m/>
    <n v="0"/>
    <n v="0"/>
    <n v="0"/>
    <n v="0"/>
    <m/>
    <m/>
    <n v="0"/>
    <n v="0"/>
    <m/>
    <m/>
    <m/>
    <m/>
    <m/>
    <m/>
    <m/>
    <m/>
    <n v="0"/>
    <n v="0"/>
    <n v="0"/>
    <n v="0"/>
    <n v="1890.6"/>
    <n v="1865.2666666666667"/>
  </r>
  <r>
    <x v="14"/>
    <s v="Richard Bland College "/>
    <m/>
    <n v="233338"/>
    <x v="8"/>
    <s v="sem"/>
    <s v="sem"/>
    <m/>
    <m/>
    <n v="13687"/>
    <n v="13926"/>
    <n v="2057"/>
    <n v="1145"/>
    <n v="16232"/>
    <n v="19238"/>
    <n v="31976"/>
    <n v="1065.8666666666666"/>
    <n v="34309"/>
    <n v="1143.6333333333334"/>
    <n v="6453"/>
    <n v="13359"/>
    <n v="31976"/>
    <n v="34309"/>
    <m/>
    <m/>
    <m/>
    <m/>
    <m/>
    <m/>
    <m/>
    <m/>
    <n v="0"/>
    <n v="0"/>
    <n v="0"/>
    <n v="0"/>
    <m/>
    <m/>
    <n v="0"/>
    <n v="0"/>
    <m/>
    <m/>
    <m/>
    <m/>
    <m/>
    <m/>
    <m/>
    <m/>
    <n v="0"/>
    <n v="0"/>
    <n v="0"/>
    <n v="0"/>
    <n v="1065.8666666666666"/>
    <n v="1143.6333333333334"/>
  </r>
  <r>
    <x v="14"/>
    <s v="Southwest Virginia Community College "/>
    <m/>
    <n v="233648"/>
    <x v="8"/>
    <s v="sem"/>
    <s v="sem"/>
    <m/>
    <m/>
    <n v="21060"/>
    <n v="22410"/>
    <n v="7342"/>
    <n v="7164"/>
    <n v="24023"/>
    <n v="24576"/>
    <n v="52425"/>
    <n v="1747.5"/>
    <n v="54150"/>
    <n v="1805"/>
    <n v="15595"/>
    <n v="14855"/>
    <n v="52425"/>
    <n v="54150"/>
    <m/>
    <m/>
    <m/>
    <m/>
    <m/>
    <m/>
    <m/>
    <m/>
    <n v="0"/>
    <n v="0"/>
    <n v="0"/>
    <n v="0"/>
    <m/>
    <m/>
    <n v="0"/>
    <n v="0"/>
    <m/>
    <m/>
    <m/>
    <m/>
    <m/>
    <m/>
    <m/>
    <m/>
    <n v="0"/>
    <n v="0"/>
    <n v="0"/>
    <n v="0"/>
    <n v="1747.5"/>
    <n v="1805"/>
  </r>
  <r>
    <x v="14"/>
    <s v="Virginia Highlands Community College "/>
    <m/>
    <n v="233903"/>
    <x v="8"/>
    <s v="sem"/>
    <s v="sem"/>
    <m/>
    <m/>
    <n v="20710"/>
    <n v="20928"/>
    <n v="4515"/>
    <n v="4017"/>
    <n v="23807"/>
    <n v="21908"/>
    <n v="49032"/>
    <n v="1634.4"/>
    <n v="46853"/>
    <n v="1561.7666666666667"/>
    <n v="16603"/>
    <n v="17371"/>
    <n v="49032"/>
    <n v="46853"/>
    <m/>
    <m/>
    <m/>
    <m/>
    <m/>
    <m/>
    <m/>
    <m/>
    <n v="0"/>
    <n v="0"/>
    <n v="0"/>
    <n v="0"/>
    <m/>
    <m/>
    <n v="0"/>
    <n v="0"/>
    <m/>
    <m/>
    <m/>
    <m/>
    <m/>
    <m/>
    <m/>
    <m/>
    <n v="0"/>
    <n v="0"/>
    <n v="0"/>
    <n v="0"/>
    <n v="1634.4"/>
    <n v="1561.7666666666667"/>
  </r>
  <r>
    <x v="14"/>
    <s v="All Community Colleges except R. Bland"/>
    <m/>
    <s v="All CC - Bland"/>
    <x v="12"/>
    <s v="sem"/>
    <s v="sem"/>
    <m/>
    <m/>
    <n v="1514250"/>
    <n v="1460345.5"/>
    <n v="478043"/>
    <n v="443495"/>
    <n v="1583631"/>
    <n v="1519453"/>
    <n v="3575924"/>
    <n v="119197.46666666666"/>
    <n v="3423293.5"/>
    <n v="114109.78333333334"/>
    <n v="647312"/>
    <n v="693481"/>
    <n v="3575924"/>
    <n v="3423293.5"/>
    <m/>
    <m/>
    <m/>
    <m/>
    <m/>
    <m/>
    <m/>
    <m/>
    <n v="0"/>
    <n v="0"/>
    <n v="0"/>
    <n v="0"/>
    <m/>
    <m/>
    <n v="0"/>
    <n v="0"/>
    <m/>
    <m/>
    <m/>
    <m/>
    <m/>
    <m/>
    <m/>
    <m/>
    <n v="0"/>
    <n v="0"/>
    <n v="0"/>
    <n v="0"/>
    <n v="119197.46666666666"/>
    <n v="114109.78333333334"/>
  </r>
  <r>
    <x v="14"/>
    <m/>
    <s v="all 8's"/>
    <m/>
    <x v="14"/>
    <s v="sem"/>
    <s v="sem"/>
    <m/>
    <m/>
    <n v="948959"/>
    <n v="903875.5"/>
    <n v="332332"/>
    <n v="308489"/>
    <n v="971160"/>
    <n v="935232"/>
    <n v="2252451"/>
    <n v="75081.7"/>
    <n v="2147596.5"/>
    <n v="71586.55"/>
    <n v="143572"/>
    <n v="167141"/>
    <n v="2252451"/>
    <n v="2147596.5"/>
    <m/>
    <m/>
    <m/>
    <m/>
    <m/>
    <m/>
    <m/>
    <m/>
    <n v="0"/>
    <n v="0"/>
    <n v="0"/>
    <n v="0"/>
    <m/>
    <m/>
    <n v="0"/>
    <n v="0"/>
    <m/>
    <m/>
    <m/>
    <m/>
    <m/>
    <m/>
    <m/>
    <m/>
    <n v="0"/>
    <n v="0"/>
    <n v="0"/>
    <n v="0"/>
    <n v="75081.7"/>
    <n v="71586.55"/>
  </r>
  <r>
    <x v="14"/>
    <m/>
    <s v="all 9's"/>
    <m/>
    <x v="15"/>
    <s v="sem"/>
    <s v="sem"/>
    <m/>
    <m/>
    <n v="473061"/>
    <n v="463431"/>
    <n v="121302"/>
    <n v="112924"/>
    <n v="510048"/>
    <n v="482636"/>
    <n v="1104411"/>
    <n v="36813.699999999997"/>
    <n v="1058991"/>
    <n v="35299.699999999997"/>
    <n v="404362"/>
    <n v="421512"/>
    <n v="1104411"/>
    <n v="1058991"/>
    <m/>
    <m/>
    <m/>
    <m/>
    <m/>
    <m/>
    <m/>
    <m/>
    <n v="0"/>
    <n v="0"/>
    <n v="0"/>
    <n v="0"/>
    <m/>
    <m/>
    <n v="0"/>
    <n v="0"/>
    <m/>
    <m/>
    <m/>
    <m/>
    <m/>
    <m/>
    <m/>
    <m/>
    <n v="0"/>
    <n v="0"/>
    <n v="0"/>
    <n v="0"/>
    <n v="36813.699999999997"/>
    <n v="35299.699999999997"/>
  </r>
  <r>
    <x v="14"/>
    <s v="Richard Bland College B"/>
    <m/>
    <n v="233338"/>
    <x v="16"/>
    <s v="sem"/>
    <s v="sem"/>
    <m/>
    <m/>
    <n v="13687"/>
    <n v="13926"/>
    <n v="2057"/>
    <n v="1145"/>
    <n v="16232"/>
    <n v="19238"/>
    <n v="31976"/>
    <n v="1065.8666666666666"/>
    <n v="34309"/>
    <n v="1143.6333333333334"/>
    <n v="6453"/>
    <n v="13359"/>
    <n v="31976"/>
    <n v="34309"/>
    <m/>
    <m/>
    <m/>
    <m/>
    <m/>
    <m/>
    <m/>
    <m/>
    <n v="0"/>
    <n v="0"/>
    <n v="0"/>
    <n v="0"/>
    <m/>
    <m/>
    <n v="0"/>
    <n v="0"/>
    <m/>
    <m/>
    <m/>
    <m/>
    <m/>
    <m/>
    <m/>
    <m/>
    <n v="0"/>
    <n v="0"/>
    <n v="0"/>
    <n v="0"/>
    <n v="1065.8666666666666"/>
    <n v="1143.6333333333334"/>
  </r>
  <r>
    <x v="14"/>
    <m/>
    <s v="All'10's except R.B."/>
    <m/>
    <x v="16"/>
    <s v="sem"/>
    <s v="sem"/>
    <m/>
    <m/>
    <n v="92230"/>
    <n v="93039"/>
    <n v="24409"/>
    <n v="22082"/>
    <n v="102423"/>
    <n v="101585"/>
    <n v="219062"/>
    <n v="7302.0666666666666"/>
    <n v="216706"/>
    <n v="7223.5333333333338"/>
    <n v="99378"/>
    <n v="104828"/>
    <n v="219062"/>
    <n v="216706"/>
    <m/>
    <m/>
    <m/>
    <m/>
    <m/>
    <m/>
    <m/>
    <m/>
    <n v="0"/>
    <n v="0"/>
    <n v="0"/>
    <n v="0"/>
    <m/>
    <m/>
    <n v="0"/>
    <n v="0"/>
    <m/>
    <m/>
    <m/>
    <m/>
    <m/>
    <m/>
    <m/>
    <m/>
    <n v="0"/>
    <n v="0"/>
    <n v="0"/>
    <n v="0"/>
    <n v="7302.0666666666666"/>
    <n v="7223.5333333333338"/>
  </r>
  <r>
    <x v="15"/>
    <s v="West Virginia University"/>
    <m/>
    <n v="238032"/>
    <x v="0"/>
    <s v="sem"/>
    <s v="sem"/>
    <m/>
    <m/>
    <n v="302180"/>
    <n v="295191"/>
    <n v="42113"/>
    <n v="41586"/>
    <n v="316807"/>
    <n v="315348"/>
    <n v="661100"/>
    <n v="22036.666666666668"/>
    <n v="652125"/>
    <n v="21737.5"/>
    <n v="3847"/>
    <n v="4737"/>
    <n v="661100"/>
    <n v="652125"/>
    <m/>
    <m/>
    <m/>
    <m/>
    <m/>
    <m/>
    <m/>
    <m/>
    <n v="0"/>
    <n v="0"/>
    <n v="0"/>
    <n v="0"/>
    <m/>
    <m/>
    <n v="0"/>
    <n v="0"/>
    <m/>
    <m/>
    <n v="47424"/>
    <n v="45511"/>
    <n v="14592"/>
    <n v="13052"/>
    <n v="46997"/>
    <n v="45441"/>
    <n v="109013"/>
    <n v="4542.208333333333"/>
    <n v="104004"/>
    <n v="4333.5"/>
    <n v="26578.875"/>
    <n v="26071"/>
  </r>
  <r>
    <x v="15"/>
    <s v="Marshall University "/>
    <m/>
    <n v="237525"/>
    <x v="2"/>
    <s v="sem"/>
    <s v="sem"/>
    <m/>
    <m/>
    <n v="119419"/>
    <n v="117475"/>
    <n v="14811"/>
    <n v="13801"/>
    <n v="129884"/>
    <n v="130472"/>
    <n v="264114"/>
    <n v="8803.7999999999993"/>
    <n v="261748"/>
    <n v="8724.9333333333325"/>
    <n v="4580"/>
    <n v="5608"/>
    <n v="264114"/>
    <n v="261748"/>
    <m/>
    <m/>
    <m/>
    <m/>
    <m/>
    <m/>
    <m/>
    <m/>
    <n v="0"/>
    <n v="0"/>
    <n v="0"/>
    <n v="0"/>
    <m/>
    <m/>
    <n v="0"/>
    <n v="0"/>
    <m/>
    <m/>
    <n v="25159"/>
    <n v="28637"/>
    <n v="11044"/>
    <n v="11744"/>
    <n v="26540"/>
    <n v="29487"/>
    <n v="62743"/>
    <n v="2614.2916666666665"/>
    <n v="69868"/>
    <n v="2911.1666666666665"/>
    <n v="11418.091666666665"/>
    <n v="11636.099999999999"/>
  </r>
  <r>
    <x v="15"/>
    <s v="Fairmont State University"/>
    <m/>
    <n v="237367"/>
    <x v="4"/>
    <s v="sem"/>
    <s v="sem"/>
    <m/>
    <m/>
    <n v="48932"/>
    <n v="45683"/>
    <n v="5271"/>
    <n v="4549"/>
    <n v="50877"/>
    <n v="51351"/>
    <n v="105080"/>
    <n v="3502.6666666666665"/>
    <n v="101583"/>
    <n v="3386.1"/>
    <n v="56"/>
    <n v="283"/>
    <n v="105080"/>
    <n v="101583"/>
    <m/>
    <m/>
    <m/>
    <m/>
    <m/>
    <m/>
    <m/>
    <m/>
    <n v="0"/>
    <n v="0"/>
    <n v="0"/>
    <n v="0"/>
    <m/>
    <m/>
    <n v="0"/>
    <n v="0"/>
    <m/>
    <m/>
    <n v="1649"/>
    <n v="1703"/>
    <n v="727"/>
    <n v="716"/>
    <n v="1816"/>
    <n v="1588"/>
    <n v="4192"/>
    <n v="174.66666666666666"/>
    <n v="4007"/>
    <n v="166.95833333333334"/>
    <n v="3677.333333333333"/>
    <n v="3553.0583333333334"/>
  </r>
  <r>
    <x v="15"/>
    <s v="Shepherd University "/>
    <m/>
    <n v="237792"/>
    <x v="4"/>
    <s v="sem"/>
    <s v="sem"/>
    <m/>
    <m/>
    <n v="48972"/>
    <n v="45057"/>
    <n v="4327"/>
    <n v="4045"/>
    <n v="50130"/>
    <n v="47486"/>
    <n v="103429"/>
    <n v="3447.6333333333332"/>
    <n v="96588"/>
    <n v="3219.6"/>
    <n v="89"/>
    <n v="118"/>
    <n v="103429"/>
    <n v="96588"/>
    <m/>
    <m/>
    <m/>
    <m/>
    <m/>
    <m/>
    <m/>
    <m/>
    <n v="0"/>
    <n v="0"/>
    <n v="0"/>
    <n v="0"/>
    <m/>
    <m/>
    <n v="0"/>
    <n v="0"/>
    <m/>
    <m/>
    <n v="1284"/>
    <n v="1848"/>
    <n v="543"/>
    <n v="955"/>
    <n v="1654"/>
    <n v="1492"/>
    <n v="3481"/>
    <n v="145.04166666666666"/>
    <n v="4295"/>
    <n v="178.95833333333334"/>
    <n v="3592.6749999999997"/>
    <n v="3398.5583333333334"/>
  </r>
  <r>
    <x v="15"/>
    <s v="Bluefield State College "/>
    <m/>
    <n v="237215"/>
    <x v="5"/>
    <s v="sem"/>
    <s v="sem"/>
    <m/>
    <m/>
    <n v="20910"/>
    <n v="18472"/>
    <n v="1895"/>
    <n v="1470"/>
    <n v="20278.5"/>
    <n v="19537"/>
    <n v="43083.5"/>
    <n v="1436.1166666666666"/>
    <n v="39479"/>
    <n v="1315.9666666666667"/>
    <n v="174"/>
    <n v="302"/>
    <n v="43083.5"/>
    <n v="39479"/>
    <m/>
    <m/>
    <m/>
    <m/>
    <m/>
    <m/>
    <m/>
    <m/>
    <n v="0"/>
    <n v="0"/>
    <n v="0"/>
    <n v="0"/>
    <m/>
    <m/>
    <n v="0"/>
    <n v="0"/>
    <m/>
    <m/>
    <m/>
    <m/>
    <m/>
    <m/>
    <m/>
    <m/>
    <n v="0"/>
    <n v="0"/>
    <n v="0"/>
    <n v="0"/>
    <n v="1436.1166666666666"/>
    <n v="1315.9666666666667"/>
  </r>
  <r>
    <x v="15"/>
    <s v="Concord University "/>
    <s v="Met the criteria for Four-Year 5 in 2014-15 and 2015-16."/>
    <n v="237330"/>
    <x v="5"/>
    <s v="sem"/>
    <s v="sem"/>
    <m/>
    <m/>
    <n v="32782"/>
    <n v="28993"/>
    <n v="3522"/>
    <n v="3035"/>
    <n v="32382"/>
    <n v="31002"/>
    <n v="68686"/>
    <n v="2289.5333333333333"/>
    <n v="63030"/>
    <n v="2101"/>
    <n v="392"/>
    <n v="287"/>
    <n v="68686"/>
    <n v="63030"/>
    <m/>
    <m/>
    <m/>
    <m/>
    <m/>
    <m/>
    <m/>
    <m/>
    <n v="0"/>
    <n v="0"/>
    <n v="0"/>
    <n v="0"/>
    <m/>
    <m/>
    <n v="0"/>
    <n v="0"/>
    <m/>
    <m/>
    <n v="1717"/>
    <n v="2113"/>
    <n v="1239"/>
    <n v="1566"/>
    <n v="1819"/>
    <n v="2319"/>
    <n v="4775"/>
    <n v="198.95833333333334"/>
    <n v="5998"/>
    <n v="249.91666666666666"/>
    <n v="2488.4916666666668"/>
    <n v="2350.9166666666665"/>
  </r>
  <r>
    <x v="15"/>
    <s v="Glenville State College "/>
    <m/>
    <n v="237385"/>
    <x v="5"/>
    <s v="sem"/>
    <s v="sem"/>
    <m/>
    <m/>
    <n v="17333"/>
    <n v="17240"/>
    <n v="1278"/>
    <n v="1459"/>
    <n v="18926"/>
    <n v="18696.3"/>
    <n v="37537"/>
    <n v="1251.2333333333333"/>
    <n v="37395.300000000003"/>
    <n v="1246.51"/>
    <n v="1746"/>
    <n v="2050"/>
    <n v="37537"/>
    <n v="37395.300000000003"/>
    <m/>
    <m/>
    <m/>
    <m/>
    <m/>
    <m/>
    <m/>
    <m/>
    <n v="0"/>
    <n v="0"/>
    <n v="0"/>
    <n v="0"/>
    <m/>
    <m/>
    <n v="0"/>
    <n v="0"/>
    <m/>
    <m/>
    <m/>
    <m/>
    <m/>
    <m/>
    <m/>
    <m/>
    <n v="0"/>
    <n v="0"/>
    <n v="0"/>
    <n v="0"/>
    <n v="1251.2333333333333"/>
    <n v="1246.51"/>
  </r>
  <r>
    <x v="15"/>
    <s v="West Liberty University"/>
    <s v="Met the criteria for Four-Year 5 in 2014-15 and 2015-16."/>
    <n v="237932"/>
    <x v="5"/>
    <s v="sem"/>
    <s v="sem"/>
    <m/>
    <m/>
    <n v="34446"/>
    <n v="32120"/>
    <n v="2620"/>
    <n v="2255"/>
    <n v="35716"/>
    <n v="31549"/>
    <n v="72782"/>
    <n v="2426.0666666666666"/>
    <n v="65924"/>
    <n v="2197.4666666666667"/>
    <n v="1657"/>
    <n v="1513"/>
    <n v="72782"/>
    <n v="65924"/>
    <m/>
    <m/>
    <m/>
    <m/>
    <m/>
    <m/>
    <m/>
    <m/>
    <n v="0"/>
    <n v="0"/>
    <n v="0"/>
    <n v="0"/>
    <m/>
    <m/>
    <n v="0"/>
    <n v="0"/>
    <m/>
    <m/>
    <n v="1557"/>
    <n v="1849"/>
    <n v="885"/>
    <n v="1133"/>
    <n v="1475"/>
    <n v="1540"/>
    <n v="3917"/>
    <n v="163.20833333333334"/>
    <n v="4522"/>
    <n v="188.41666666666666"/>
    <n v="2589.2750000000001"/>
    <n v="2385.8833333333332"/>
  </r>
  <r>
    <x v="15"/>
    <s v="West Virginia State University "/>
    <m/>
    <n v="237899"/>
    <x v="5"/>
    <s v="sem"/>
    <s v="sem"/>
    <m/>
    <m/>
    <n v="29084"/>
    <n v="30505"/>
    <n v="2773"/>
    <n v="2865"/>
    <n v="32876"/>
    <n v="33966"/>
    <n v="64733"/>
    <n v="2157.7666666666669"/>
    <n v="67336"/>
    <n v="2244.5333333333333"/>
    <n v="3382"/>
    <n v="6015"/>
    <n v="64733"/>
    <n v="67336"/>
    <m/>
    <m/>
    <m/>
    <m/>
    <m/>
    <m/>
    <m/>
    <m/>
    <n v="0"/>
    <n v="0"/>
    <n v="0"/>
    <n v="0"/>
    <m/>
    <m/>
    <n v="0"/>
    <n v="0"/>
    <m/>
    <m/>
    <n v="422"/>
    <n v="349"/>
    <n v="58"/>
    <n v="94"/>
    <n v="370"/>
    <n v="440"/>
    <n v="850"/>
    <n v="35.416666666666664"/>
    <n v="883"/>
    <n v="36.791666666666664"/>
    <n v="2193.1833333333334"/>
    <n v="2281.3249999999998"/>
  </r>
  <r>
    <x v="15"/>
    <s v="West Virginia University Institute of Technology"/>
    <m/>
    <n v="237950"/>
    <x v="5"/>
    <s v="sem"/>
    <s v="sem"/>
    <m/>
    <m/>
    <n v="15061"/>
    <n v="15332"/>
    <n v="1170"/>
    <n v="1015"/>
    <n v="16531"/>
    <n v="16470"/>
    <n v="32762"/>
    <n v="1092.0666666666666"/>
    <n v="32817"/>
    <n v="1093.9000000000001"/>
    <n v="783"/>
    <n v="1152"/>
    <n v="32762"/>
    <n v="32817"/>
    <m/>
    <m/>
    <m/>
    <m/>
    <m/>
    <m/>
    <m/>
    <m/>
    <n v="0"/>
    <n v="0"/>
    <n v="0"/>
    <n v="0"/>
    <m/>
    <m/>
    <n v="0"/>
    <n v="0"/>
    <m/>
    <m/>
    <m/>
    <m/>
    <m/>
    <m/>
    <m/>
    <m/>
    <n v="0"/>
    <n v="0"/>
    <n v="0"/>
    <n v="0"/>
    <n v="1092.0666666666666"/>
    <n v="1093.9000000000001"/>
  </r>
  <r>
    <x v="15"/>
    <s v="Potomac State College of West Virginia University"/>
    <m/>
    <n v="237701"/>
    <x v="11"/>
    <s v="sem"/>
    <s v="sem"/>
    <m/>
    <m/>
    <n v="18517"/>
    <n v="17451"/>
    <n v="1375"/>
    <n v="1233"/>
    <n v="19754"/>
    <n v="18868"/>
    <n v="39646"/>
    <n v="1321.5333333333333"/>
    <n v="37552"/>
    <n v="1251.7333333333333"/>
    <n v="2149"/>
    <n v="2557"/>
    <n v="39646"/>
    <n v="37552"/>
    <m/>
    <m/>
    <m/>
    <m/>
    <m/>
    <m/>
    <m/>
    <m/>
    <n v="0"/>
    <n v="0"/>
    <n v="0"/>
    <n v="0"/>
    <m/>
    <m/>
    <n v="0"/>
    <n v="0"/>
    <m/>
    <m/>
    <m/>
    <m/>
    <m/>
    <m/>
    <m/>
    <m/>
    <n v="0"/>
    <n v="0"/>
    <n v="0"/>
    <n v="0"/>
    <n v="1321.5333333333333"/>
    <n v="1251.7333333333333"/>
  </r>
  <r>
    <x v="15"/>
    <s v="West Virginia University at Parkersburg"/>
    <s v="Reclassified: Met the criteria for Four-Year 6 in 2013-14, 2014-15, and 2015-16."/>
    <n v="237686"/>
    <x v="5"/>
    <s v="sem"/>
    <s v="sem"/>
    <m/>
    <m/>
    <n v="32353"/>
    <n v="27270"/>
    <n v="5765"/>
    <n v="5131"/>
    <n v="31229"/>
    <n v="28215"/>
    <n v="69347"/>
    <n v="2311.5666666666666"/>
    <n v="60616"/>
    <n v="2020.5333333333333"/>
    <n v="2864"/>
    <n v="3072"/>
    <n v="69347"/>
    <n v="60616"/>
    <m/>
    <m/>
    <m/>
    <m/>
    <m/>
    <m/>
    <m/>
    <m/>
    <n v="0"/>
    <n v="0"/>
    <n v="0"/>
    <n v="0"/>
    <m/>
    <m/>
    <n v="0"/>
    <n v="0"/>
    <m/>
    <m/>
    <m/>
    <m/>
    <m/>
    <m/>
    <m/>
    <m/>
    <n v="0"/>
    <n v="0"/>
    <n v="0"/>
    <n v="0"/>
    <n v="2311.5666666666666"/>
    <n v="2020.5333333333333"/>
  </r>
  <r>
    <x v="15"/>
    <s v="New River Community &amp; Technical College"/>
    <s v="Met the criteria for Two-Year 3 in 2014-15 and 2015-16."/>
    <n v="447582"/>
    <x v="6"/>
    <s v="sem"/>
    <s v="sem"/>
    <m/>
    <m/>
    <n v="26537"/>
    <n v="21186"/>
    <n v="3984"/>
    <n v="2599"/>
    <n v="23699"/>
    <n v="18811"/>
    <n v="54220"/>
    <n v="1807.3333333333333"/>
    <n v="42596"/>
    <n v="1419.8666666666666"/>
    <n v="1255"/>
    <n v="984"/>
    <n v="54220"/>
    <n v="42596"/>
    <m/>
    <m/>
    <m/>
    <m/>
    <m/>
    <m/>
    <m/>
    <m/>
    <n v="0"/>
    <n v="0"/>
    <n v="0"/>
    <n v="0"/>
    <m/>
    <m/>
    <n v="0"/>
    <n v="0"/>
    <m/>
    <m/>
    <m/>
    <m/>
    <m/>
    <m/>
    <m/>
    <m/>
    <n v="0"/>
    <n v="0"/>
    <n v="0"/>
    <n v="0"/>
    <n v="1807.3333333333333"/>
    <n v="1419.8666666666666"/>
  </r>
  <r>
    <x v="15"/>
    <s v="Pierpont Community &amp; Technical College"/>
    <s v="Met the criteria for Two-Year 3 in 2014-15 and 2015-16."/>
    <n v="443492"/>
    <x v="6"/>
    <s v="sem"/>
    <s v="sem"/>
    <m/>
    <m/>
    <n v="23944"/>
    <n v="20117"/>
    <n v="2680"/>
    <n v="1976"/>
    <n v="24210"/>
    <n v="22666"/>
    <n v="50834"/>
    <n v="1694.4666666666667"/>
    <n v="44759"/>
    <n v="1491.9666666666667"/>
    <n v="4580"/>
    <n v="4466"/>
    <n v="50834"/>
    <n v="44759"/>
    <m/>
    <m/>
    <m/>
    <m/>
    <m/>
    <m/>
    <m/>
    <m/>
    <n v="0"/>
    <n v="0"/>
    <n v="0"/>
    <n v="0"/>
    <m/>
    <m/>
    <n v="0"/>
    <n v="0"/>
    <m/>
    <m/>
    <m/>
    <m/>
    <m/>
    <m/>
    <m/>
    <m/>
    <n v="0"/>
    <n v="0"/>
    <n v="0"/>
    <n v="0"/>
    <n v="1694.4666666666667"/>
    <n v="1491.9666666666667"/>
  </r>
  <r>
    <x v="15"/>
    <s v="Blue Ridge Community &amp; Technical College"/>
    <s v="Met the criteria for Two-Year 2 in 2014-15 and 2015-16."/>
    <n v="446774"/>
    <x v="8"/>
    <s v="sem"/>
    <s v="sem"/>
    <m/>
    <m/>
    <n v="26693.4"/>
    <n v="26991.8"/>
    <n v="3036"/>
    <n v="3066"/>
    <n v="31365.1"/>
    <n v="29979.8"/>
    <n v="61094.5"/>
    <n v="2036.4833333333333"/>
    <n v="60037.599999999999"/>
    <n v="2001.2533333333333"/>
    <n v="1252.3"/>
    <n v="1992.4"/>
    <n v="61094.5"/>
    <n v="60037.599999999999"/>
    <m/>
    <m/>
    <m/>
    <m/>
    <m/>
    <m/>
    <m/>
    <m/>
    <n v="0"/>
    <n v="0"/>
    <n v="0"/>
    <n v="0"/>
    <m/>
    <m/>
    <n v="0"/>
    <n v="0"/>
    <m/>
    <m/>
    <m/>
    <m/>
    <m/>
    <m/>
    <m/>
    <m/>
    <n v="0"/>
    <n v="0"/>
    <n v="0"/>
    <n v="0"/>
    <n v="2036.4833333333333"/>
    <n v="2001.2533333333333"/>
  </r>
  <r>
    <x v="15"/>
    <s v="BridgeValley Community &amp; Technical College"/>
    <s v="New"/>
    <n v="484932"/>
    <x v="8"/>
    <s v="sem"/>
    <s v="sem"/>
    <m/>
    <m/>
    <n v="23913.5"/>
    <n v="19190"/>
    <n v="2394"/>
    <n v="2160"/>
    <n v="21783"/>
    <n v="22118.5"/>
    <n v="48090.5"/>
    <n v="1603.0166666666667"/>
    <n v="43468.5"/>
    <n v="1448.95"/>
    <n v="578"/>
    <n v="1506"/>
    <n v="48090.5"/>
    <n v="43468.5"/>
    <m/>
    <m/>
    <m/>
    <m/>
    <m/>
    <m/>
    <m/>
    <m/>
    <n v="0"/>
    <n v="0"/>
    <n v="0"/>
    <n v="0"/>
    <m/>
    <m/>
    <n v="0"/>
    <n v="0"/>
    <m/>
    <m/>
    <m/>
    <m/>
    <m/>
    <m/>
    <m/>
    <m/>
    <n v="0"/>
    <n v="0"/>
    <n v="0"/>
    <n v="0"/>
    <n v="1603.0166666666667"/>
    <n v="1448.95"/>
  </r>
  <r>
    <x v="15"/>
    <s v="Eastern West Virginia Community &amp; Technical College"/>
    <m/>
    <n v="438708"/>
    <x v="8"/>
    <s v="sem"/>
    <s v="sem"/>
    <m/>
    <m/>
    <n v="6400"/>
    <n v="5643"/>
    <n v="1053"/>
    <n v="1027"/>
    <n v="7307"/>
    <n v="6934"/>
    <n v="14760"/>
    <n v="492"/>
    <n v="13604"/>
    <n v="453.46666666666664"/>
    <n v="1281"/>
    <n v="2063"/>
    <n v="14760"/>
    <n v="13604"/>
    <m/>
    <m/>
    <m/>
    <m/>
    <m/>
    <m/>
    <m/>
    <m/>
    <n v="0"/>
    <n v="0"/>
    <n v="0"/>
    <n v="0"/>
    <m/>
    <m/>
    <n v="0"/>
    <n v="0"/>
    <m/>
    <m/>
    <m/>
    <m/>
    <m/>
    <m/>
    <m/>
    <m/>
    <n v="0"/>
    <n v="0"/>
    <n v="0"/>
    <n v="0"/>
    <n v="492"/>
    <n v="453.46666666666664"/>
  </r>
  <r>
    <x v="15"/>
    <s v="Mountwest Community &amp; Technical College"/>
    <m/>
    <n v="444954"/>
    <x v="8"/>
    <s v="sem"/>
    <s v="sem"/>
    <m/>
    <m/>
    <n v="21101"/>
    <n v="19787"/>
    <n v="4341"/>
    <n v="3948"/>
    <n v="22838"/>
    <n v="21539"/>
    <n v="48280"/>
    <n v="1609.3333333333333"/>
    <n v="45274"/>
    <n v="1509.1333333333334"/>
    <n v="649"/>
    <n v="1301"/>
    <n v="48280"/>
    <n v="45274"/>
    <m/>
    <m/>
    <m/>
    <m/>
    <m/>
    <m/>
    <m/>
    <m/>
    <n v="0"/>
    <n v="0"/>
    <n v="0"/>
    <n v="0"/>
    <m/>
    <m/>
    <n v="0"/>
    <n v="0"/>
    <m/>
    <m/>
    <m/>
    <m/>
    <m/>
    <m/>
    <m/>
    <m/>
    <n v="0"/>
    <n v="0"/>
    <n v="0"/>
    <n v="0"/>
    <n v="1609.3333333333333"/>
    <n v="1509.1333333333334"/>
  </r>
  <r>
    <x v="15"/>
    <s v="Southern West Virginia Community &amp; Technical College "/>
    <m/>
    <n v="237817"/>
    <x v="8"/>
    <s v="sem"/>
    <s v="sem"/>
    <m/>
    <m/>
    <n v="19286"/>
    <n v="17542"/>
    <n v="1220"/>
    <n v="1238"/>
    <n v="20694"/>
    <n v="18681"/>
    <n v="41200"/>
    <n v="1373.3333333333333"/>
    <n v="37461"/>
    <n v="1248.7"/>
    <n v="1580"/>
    <n v="1081"/>
    <n v="41200"/>
    <n v="37461"/>
    <m/>
    <m/>
    <m/>
    <m/>
    <m/>
    <m/>
    <m/>
    <m/>
    <n v="0"/>
    <n v="0"/>
    <n v="0"/>
    <n v="0"/>
    <m/>
    <m/>
    <n v="0"/>
    <n v="0"/>
    <m/>
    <m/>
    <m/>
    <m/>
    <m/>
    <m/>
    <m/>
    <m/>
    <n v="0"/>
    <n v="0"/>
    <n v="0"/>
    <n v="0"/>
    <n v="1373.3333333333333"/>
    <n v="1248.7"/>
  </r>
  <r>
    <x v="15"/>
    <s v="West Virginia Northern Community College"/>
    <m/>
    <n v="238014"/>
    <x v="8"/>
    <s v="sem"/>
    <s v="sem"/>
    <m/>
    <m/>
    <n v="17952.599999999999"/>
    <n v="16874.2"/>
    <n v="4618.5"/>
    <n v="4180"/>
    <n v="19391.8"/>
    <n v="18429.400000000001"/>
    <n v="41962.899999999994"/>
    <n v="1398.7633333333331"/>
    <n v="39483.600000000006"/>
    <n v="1316.1200000000001"/>
    <n v="1849"/>
    <n v="3028"/>
    <n v="41962.899999999994"/>
    <n v="39483.600000000006"/>
    <m/>
    <m/>
    <m/>
    <m/>
    <m/>
    <m/>
    <m/>
    <m/>
    <n v="0"/>
    <n v="0"/>
    <n v="0"/>
    <n v="0"/>
    <m/>
    <m/>
    <n v="0"/>
    <n v="0"/>
    <m/>
    <m/>
    <m/>
    <m/>
    <m/>
    <m/>
    <m/>
    <m/>
    <n v="0"/>
    <n v="0"/>
    <n v="0"/>
    <n v="0"/>
    <n v="1398.7633333333331"/>
    <n v="1316.1200000000001"/>
  </r>
</pivotCacheRecords>
</file>

<file path=xl/pivotCache/pivotCacheRecords2.xml><?xml version="1.0" encoding="utf-8"?>
<pivotCacheRecords xmlns="http://schemas.openxmlformats.org/spreadsheetml/2006/main" xmlns:r="http://schemas.openxmlformats.org/officeDocument/2006/relationships" count="676">
  <r>
    <x v="0"/>
    <s v="Auburn University"/>
    <m/>
    <n v="100858"/>
    <x v="0"/>
    <s v="sem"/>
    <m/>
    <m/>
    <m/>
    <n v="255585"/>
    <n v="268440"/>
    <n v="49674"/>
    <n v="51741"/>
    <n v="287456"/>
    <n v="302489"/>
    <n v="592715"/>
    <n v="19757.166666666668"/>
    <n v="622670"/>
    <n v="20755.666666666668"/>
    <n v="17"/>
    <n v="61"/>
    <n v="592715"/>
    <n v="622670"/>
    <m/>
    <m/>
    <m/>
    <m/>
    <m/>
    <m/>
    <m/>
    <m/>
    <n v="0"/>
    <n v="0"/>
    <n v="0"/>
    <n v="0"/>
    <m/>
    <m/>
    <n v="0"/>
    <n v="0"/>
  </r>
  <r>
    <x v="0"/>
    <s v="University of Alabama "/>
    <m/>
    <n v="100751"/>
    <x v="0"/>
    <s v="sem"/>
    <m/>
    <m/>
    <m/>
    <n v="371355"/>
    <n v="386563"/>
    <n v="66238"/>
    <n v="67656"/>
    <n v="414095"/>
    <n v="430243"/>
    <n v="851688"/>
    <n v="28389.599999999999"/>
    <n v="884462"/>
    <n v="29482.066666666666"/>
    <n v="4494"/>
    <n v="5593"/>
    <n v="851688"/>
    <n v="884462"/>
    <m/>
    <m/>
    <m/>
    <m/>
    <m/>
    <m/>
    <m/>
    <m/>
    <n v="0"/>
    <n v="0"/>
    <n v="0"/>
    <n v="0"/>
    <m/>
    <m/>
    <n v="0"/>
    <n v="0"/>
  </r>
  <r>
    <x v="0"/>
    <s v="University of Alabama at Birmingham"/>
    <m/>
    <n v="100663"/>
    <x v="1"/>
    <s v="sem"/>
    <m/>
    <m/>
    <m/>
    <n v="112541"/>
    <n v="112991"/>
    <n v="26137"/>
    <n v="26100"/>
    <n v="126836"/>
    <n v="123892"/>
    <n v="265514"/>
    <n v="8850.4666666666672"/>
    <n v="262983"/>
    <n v="8766.1"/>
    <n v="86"/>
    <n v="31"/>
    <n v="265514"/>
    <n v="262983"/>
    <m/>
    <m/>
    <m/>
    <m/>
    <m/>
    <m/>
    <m/>
    <m/>
    <n v="0"/>
    <n v="0"/>
    <n v="0"/>
    <n v="0"/>
    <m/>
    <m/>
    <n v="0"/>
    <n v="0"/>
  </r>
  <r>
    <x v="0"/>
    <s v="University of Alabama in Huntsville"/>
    <m/>
    <n v="100706"/>
    <x v="1"/>
    <s v="sem"/>
    <m/>
    <m/>
    <m/>
    <n v="62273"/>
    <n v="64786"/>
    <n v="15030"/>
    <n v="13914"/>
    <n v="68590"/>
    <n v="75343"/>
    <n v="145893"/>
    <n v="4863.1000000000004"/>
    <n v="154043"/>
    <n v="5134.7666666666664"/>
    <n v="383"/>
    <n v="511"/>
    <n v="145893"/>
    <n v="154043"/>
    <m/>
    <m/>
    <m/>
    <m/>
    <m/>
    <m/>
    <m/>
    <m/>
    <n v="0"/>
    <n v="0"/>
    <n v="0"/>
    <n v="0"/>
    <m/>
    <m/>
    <n v="0"/>
    <n v="0"/>
  </r>
  <r>
    <x v="0"/>
    <s v="Alabama Agricultural &amp; Mechanical University"/>
    <m/>
    <n v="100654"/>
    <x v="2"/>
    <s v="sem"/>
    <m/>
    <m/>
    <m/>
    <n v="50080"/>
    <n v="48321"/>
    <n v="3606"/>
    <n v="4202"/>
    <n v="59631"/>
    <n v="65574"/>
    <n v="113317"/>
    <n v="3777.2333333333331"/>
    <n v="118097"/>
    <n v="3936.5666666666666"/>
    <n v="0"/>
    <n v="0"/>
    <n v="113317"/>
    <n v="118097"/>
    <m/>
    <m/>
    <m/>
    <m/>
    <m/>
    <m/>
    <m/>
    <m/>
    <n v="0"/>
    <n v="0"/>
    <n v="0"/>
    <n v="0"/>
    <m/>
    <m/>
    <n v="0"/>
    <n v="0"/>
  </r>
  <r>
    <x v="0"/>
    <s v="Jacksonville State University "/>
    <m/>
    <n v="101480"/>
    <x v="2"/>
    <s v="sem"/>
    <m/>
    <m/>
    <m/>
    <n v="84761"/>
    <n v="83498"/>
    <n v="18424"/>
    <n v="17065"/>
    <n v="91399"/>
    <n v="87002"/>
    <n v="194584"/>
    <n v="6486.1333333333332"/>
    <n v="187565"/>
    <n v="6252.166666666667"/>
    <n v="2485"/>
    <n v="3573"/>
    <n v="194584"/>
    <n v="187565"/>
    <m/>
    <m/>
    <m/>
    <m/>
    <m/>
    <m/>
    <m/>
    <m/>
    <n v="0"/>
    <n v="0"/>
    <n v="0"/>
    <n v="0"/>
    <m/>
    <m/>
    <n v="0"/>
    <n v="0"/>
  </r>
  <r>
    <x v="0"/>
    <s v="Troy University"/>
    <m/>
    <n v="102368"/>
    <x v="2"/>
    <s v="sem"/>
    <m/>
    <m/>
    <m/>
    <n v="119213"/>
    <n v="116695"/>
    <n v="23071"/>
    <n v="20021"/>
    <n v="126675"/>
    <n v="127244"/>
    <n v="268959"/>
    <n v="8965.2999999999993"/>
    <n v="263960"/>
    <n v="8798.6666666666661"/>
    <n v="1164"/>
    <n v="1531"/>
    <n v="268959"/>
    <n v="263960"/>
    <m/>
    <m/>
    <m/>
    <m/>
    <m/>
    <m/>
    <m/>
    <m/>
    <n v="0"/>
    <n v="0"/>
    <n v="0"/>
    <n v="0"/>
    <m/>
    <m/>
    <n v="0"/>
    <n v="0"/>
  </r>
  <r>
    <x v="0"/>
    <s v="University of South Alabama"/>
    <m/>
    <n v="102094"/>
    <x v="2"/>
    <s v="sem"/>
    <m/>
    <m/>
    <m/>
    <n v="116401"/>
    <n v="121008"/>
    <n v="22924"/>
    <n v="23609"/>
    <n v="132614"/>
    <n v="137096"/>
    <n v="271939"/>
    <n v="9064.6333333333332"/>
    <n v="281713"/>
    <n v="9390.4333333333325"/>
    <n v="193"/>
    <n v="712"/>
    <n v="271939"/>
    <n v="281713"/>
    <m/>
    <m/>
    <m/>
    <m/>
    <m/>
    <m/>
    <m/>
    <m/>
    <n v="0"/>
    <n v="0"/>
    <n v="0"/>
    <n v="0"/>
    <m/>
    <m/>
    <n v="0"/>
    <n v="0"/>
  </r>
  <r>
    <x v="0"/>
    <s v="Alabama State University "/>
    <s v="Met the criteria for Four-Year 3 in 2015-16."/>
    <n v="100724"/>
    <x v="3"/>
    <s v="sem"/>
    <m/>
    <m/>
    <m/>
    <n v="70728"/>
    <n v="66828"/>
    <n v="10234"/>
    <n v="10100"/>
    <n v="71143"/>
    <n v="72910"/>
    <n v="152105"/>
    <n v="5070.166666666667"/>
    <n v="149838"/>
    <n v="4994.6000000000004"/>
    <n v="0"/>
    <n v="120"/>
    <n v="152105"/>
    <n v="149838"/>
    <m/>
    <m/>
    <m/>
    <m/>
    <m/>
    <m/>
    <m/>
    <m/>
    <n v="0"/>
    <n v="0"/>
    <n v="0"/>
    <n v="0"/>
    <m/>
    <m/>
    <n v="0"/>
    <n v="0"/>
  </r>
  <r>
    <x v="0"/>
    <s v="Auburn University at Montgomery"/>
    <m/>
    <n v="100830"/>
    <x v="3"/>
    <s v="sem"/>
    <m/>
    <m/>
    <m/>
    <n v="45742"/>
    <n v="45597"/>
    <n v="11430"/>
    <n v="10864"/>
    <n v="51015"/>
    <n v="50202"/>
    <n v="108187"/>
    <n v="3606.2333333333331"/>
    <n v="106663"/>
    <n v="3555.4333333333334"/>
    <n v="131"/>
    <n v="108"/>
    <n v="108187"/>
    <n v="106663"/>
    <m/>
    <m/>
    <m/>
    <m/>
    <m/>
    <m/>
    <m/>
    <m/>
    <n v="0"/>
    <n v="0"/>
    <n v="0"/>
    <n v="0"/>
    <m/>
    <m/>
    <n v="0"/>
    <n v="0"/>
  </r>
  <r>
    <x v="0"/>
    <s v="University of North Alabama"/>
    <s v="Met the criteria for Four-Year 3 in 2014-15 and 2015-16."/>
    <n v="101879"/>
    <x v="3"/>
    <s v="sem"/>
    <m/>
    <m/>
    <m/>
    <n v="67207"/>
    <n v="65539"/>
    <n v="11356"/>
    <n v="11357"/>
    <n v="71137"/>
    <n v="74779"/>
    <n v="149700"/>
    <n v="4990"/>
    <n v="151675"/>
    <n v="5055.833333333333"/>
    <n v="2048"/>
    <n v="1905"/>
    <n v="149700"/>
    <n v="151675"/>
    <m/>
    <m/>
    <m/>
    <m/>
    <m/>
    <m/>
    <m/>
    <m/>
    <n v="0"/>
    <n v="0"/>
    <n v="0"/>
    <n v="0"/>
    <m/>
    <m/>
    <n v="0"/>
    <n v="0"/>
  </r>
  <r>
    <x v="0"/>
    <s v="University of Montevallo"/>
    <m/>
    <n v="101709"/>
    <x v="4"/>
    <s v="sem"/>
    <m/>
    <m/>
    <m/>
    <n v="32709"/>
    <n v="32692"/>
    <n v="5307"/>
    <n v="3960"/>
    <n v="36096"/>
    <n v="34467"/>
    <n v="74112"/>
    <n v="2470.4"/>
    <n v="71119"/>
    <n v="2370.6333333333332"/>
    <n v="91"/>
    <n v="79"/>
    <n v="74112"/>
    <n v="71119"/>
    <m/>
    <m/>
    <m/>
    <m/>
    <m/>
    <m/>
    <m/>
    <m/>
    <n v="0"/>
    <n v="0"/>
    <n v="0"/>
    <n v="0"/>
    <m/>
    <m/>
    <n v="0"/>
    <n v="0"/>
  </r>
  <r>
    <x v="0"/>
    <s v="University of West Alabama"/>
    <m/>
    <n v="101587"/>
    <x v="4"/>
    <s v="sem"/>
    <m/>
    <m/>
    <m/>
    <n v="23105"/>
    <n v="23194"/>
    <n v="3224"/>
    <n v="3417"/>
    <n v="25446"/>
    <n v="26347"/>
    <n v="51775"/>
    <n v="1725.8333333333333"/>
    <n v="52958"/>
    <n v="1765.2666666666667"/>
    <n v="677"/>
    <n v="538"/>
    <n v="51775"/>
    <n v="52958"/>
    <m/>
    <m/>
    <m/>
    <m/>
    <m/>
    <m/>
    <m/>
    <m/>
    <n v="0"/>
    <n v="0"/>
    <n v="0"/>
    <n v="0"/>
    <m/>
    <m/>
    <n v="0"/>
    <n v="0"/>
  </r>
  <r>
    <x v="0"/>
    <s v="Athens State University"/>
    <m/>
    <n v="100812"/>
    <x v="5"/>
    <s v="sem"/>
    <m/>
    <m/>
    <m/>
    <n v="28323"/>
    <n v="27909"/>
    <n v="15291"/>
    <n v="13925"/>
    <n v="29757"/>
    <n v="28582"/>
    <n v="73371"/>
    <n v="2445.6999999999998"/>
    <n v="70416"/>
    <n v="2347.1999999999998"/>
    <n v="0"/>
    <n v="0"/>
    <n v="73371"/>
    <n v="70416"/>
    <m/>
    <m/>
    <m/>
    <m/>
    <m/>
    <m/>
    <m/>
    <m/>
    <n v="0"/>
    <n v="0"/>
    <n v="0"/>
    <n v="0"/>
    <m/>
    <m/>
    <n v="0"/>
    <n v="0"/>
  </r>
  <r>
    <x v="0"/>
    <s v="Gadsden State Community College"/>
    <s v="Reclassified: Met the criteria for Two-Year 2 in 2013-14, 2014-15, and 2015-16."/>
    <n v="101240"/>
    <x v="6"/>
    <s v="sem"/>
    <m/>
    <m/>
    <m/>
    <n v="54827"/>
    <n v="48967"/>
    <n v="21213"/>
    <n v="19473"/>
    <n v="53904"/>
    <n v="50607"/>
    <n v="129944"/>
    <n v="4331.4666666666662"/>
    <n v="119047"/>
    <n v="3968.2333333333331"/>
    <n v="3006"/>
    <n v="3356"/>
    <n v="129944"/>
    <n v="119047"/>
    <m/>
    <m/>
    <m/>
    <m/>
    <m/>
    <m/>
    <m/>
    <m/>
    <n v="0"/>
    <n v="0"/>
    <n v="0"/>
    <n v="0"/>
    <m/>
    <m/>
    <n v="0"/>
    <n v="0"/>
  </r>
  <r>
    <x v="0"/>
    <s v="Jefferson State Community College"/>
    <m/>
    <n v="101505"/>
    <x v="7"/>
    <s v="sem"/>
    <m/>
    <m/>
    <m/>
    <n v="66537"/>
    <n v="63475"/>
    <n v="34490"/>
    <n v="34347"/>
    <n v="72450"/>
    <n v="72520"/>
    <n v="173477"/>
    <n v="5782.5666666666666"/>
    <n v="170342"/>
    <n v="5678.0666666666666"/>
    <n v="5360"/>
    <n v="8099"/>
    <n v="173477"/>
    <n v="170342"/>
    <m/>
    <m/>
    <m/>
    <m/>
    <m/>
    <m/>
    <m/>
    <m/>
    <n v="0"/>
    <n v="0"/>
    <n v="0"/>
    <n v="0"/>
    <m/>
    <m/>
    <n v="0"/>
    <n v="0"/>
  </r>
  <r>
    <x v="0"/>
    <s v="John C. Calhoun State Community College "/>
    <m/>
    <n v="101514"/>
    <x v="7"/>
    <s v="sem"/>
    <m/>
    <m/>
    <m/>
    <n v="94699"/>
    <n v="88381"/>
    <n v="38971"/>
    <n v="39190"/>
    <n v="97594"/>
    <n v="89515"/>
    <n v="231264"/>
    <n v="7708.8"/>
    <n v="217086"/>
    <n v="7236.2"/>
    <n v="8536"/>
    <n v="8700"/>
    <n v="231264"/>
    <n v="217086"/>
    <m/>
    <m/>
    <m/>
    <m/>
    <m/>
    <m/>
    <m/>
    <m/>
    <n v="0"/>
    <n v="0"/>
    <n v="0"/>
    <n v="0"/>
    <m/>
    <m/>
    <n v="0"/>
    <n v="0"/>
  </r>
  <r>
    <x v="0"/>
    <s v="Bevill State Community College"/>
    <m/>
    <n v="102429"/>
    <x v="6"/>
    <s v="sem"/>
    <m/>
    <m/>
    <m/>
    <n v="33058"/>
    <n v="33070"/>
    <n v="14164"/>
    <n v="15523"/>
    <n v="36646"/>
    <n v="35895"/>
    <n v="83868"/>
    <n v="2795.6"/>
    <n v="84488"/>
    <n v="2816.2666666666669"/>
    <n v="2942"/>
    <n v="4969"/>
    <n v="83868"/>
    <n v="84488"/>
    <m/>
    <m/>
    <m/>
    <m/>
    <m/>
    <m/>
    <m/>
    <m/>
    <n v="0"/>
    <n v="0"/>
    <n v="0"/>
    <n v="0"/>
    <m/>
    <m/>
    <n v="0"/>
    <n v="0"/>
  </r>
  <r>
    <x v="0"/>
    <s v="Bishop State Community College"/>
    <m/>
    <n v="102030"/>
    <x v="6"/>
    <s v="sem"/>
    <m/>
    <m/>
    <m/>
    <n v="34307"/>
    <n v="30950"/>
    <n v="12046"/>
    <n v="10858"/>
    <n v="33382"/>
    <n v="30316"/>
    <n v="79735"/>
    <n v="2657.8333333333335"/>
    <n v="72124"/>
    <n v="2404.1333333333332"/>
    <n v="2696"/>
    <n v="3022"/>
    <n v="79735"/>
    <n v="72124"/>
    <m/>
    <m/>
    <m/>
    <m/>
    <m/>
    <m/>
    <m/>
    <m/>
    <n v="0"/>
    <n v="0"/>
    <n v="0"/>
    <n v="0"/>
    <m/>
    <m/>
    <n v="0"/>
    <n v="0"/>
  </r>
  <r>
    <x v="0"/>
    <s v="Enterprise-Ozark Community College"/>
    <s v="Met the criteria for Two-Year 3 in 2014-15 and 2015-16."/>
    <n v="101143"/>
    <x v="6"/>
    <s v="sem"/>
    <m/>
    <m/>
    <m/>
    <n v="23096"/>
    <n v="18637"/>
    <n v="8376"/>
    <n v="6708"/>
    <n v="21177"/>
    <n v="19300"/>
    <n v="52649"/>
    <n v="1754.9666666666667"/>
    <n v="44645"/>
    <n v="1488.1666666666667"/>
    <n v="3513"/>
    <n v="3899"/>
    <n v="52649"/>
    <n v="44645"/>
    <m/>
    <m/>
    <m/>
    <m/>
    <m/>
    <m/>
    <m/>
    <m/>
    <n v="0"/>
    <n v="0"/>
    <n v="0"/>
    <n v="0"/>
    <m/>
    <m/>
    <n v="0"/>
    <n v="0"/>
  </r>
  <r>
    <x v="0"/>
    <s v="George C. Wallace State Community College - Dothan"/>
    <m/>
    <n v="101286"/>
    <x v="6"/>
    <s v="sem"/>
    <m/>
    <m/>
    <m/>
    <n v="42652"/>
    <n v="43238"/>
    <n v="20145"/>
    <n v="19161"/>
    <n v="46731"/>
    <n v="45555"/>
    <n v="109528"/>
    <n v="3650.9333333333334"/>
    <n v="107954"/>
    <n v="3598.4666666666667"/>
    <n v="4182"/>
    <n v="5240"/>
    <n v="109528"/>
    <n v="107954"/>
    <m/>
    <m/>
    <m/>
    <m/>
    <m/>
    <m/>
    <m/>
    <m/>
    <n v="0"/>
    <n v="0"/>
    <n v="0"/>
    <n v="0"/>
    <m/>
    <m/>
    <n v="0"/>
    <n v="0"/>
  </r>
  <r>
    <x v="0"/>
    <s v="James H. Faulkner State Community College"/>
    <m/>
    <n v="101161"/>
    <x v="6"/>
    <s v="sem"/>
    <m/>
    <m/>
    <m/>
    <n v="45068"/>
    <n v="45677"/>
    <n v="18604"/>
    <n v="19322"/>
    <n v="48558"/>
    <n v="49973"/>
    <n v="112230"/>
    <n v="3741"/>
    <n v="114972"/>
    <n v="3832.4"/>
    <n v="2628"/>
    <n v="3028"/>
    <n v="112230"/>
    <n v="114972"/>
    <m/>
    <m/>
    <m/>
    <m/>
    <m/>
    <m/>
    <m/>
    <m/>
    <n v="0"/>
    <n v="0"/>
    <n v="0"/>
    <n v="0"/>
    <m/>
    <m/>
    <n v="0"/>
    <n v="0"/>
  </r>
  <r>
    <x v="0"/>
    <s v="Lawson State Community College "/>
    <m/>
    <n v="101569"/>
    <x v="6"/>
    <s v="sem"/>
    <m/>
    <m/>
    <m/>
    <n v="29443"/>
    <n v="29363"/>
    <n v="11734"/>
    <n v="11150"/>
    <n v="32569"/>
    <n v="33450"/>
    <n v="73746"/>
    <n v="2458.1999999999998"/>
    <n v="73963"/>
    <n v="2465.4333333333334"/>
    <n v="1347"/>
    <n v="1283"/>
    <n v="73746"/>
    <n v="73963"/>
    <m/>
    <m/>
    <m/>
    <m/>
    <m/>
    <m/>
    <m/>
    <m/>
    <n v="0"/>
    <n v="0"/>
    <n v="0"/>
    <n v="0"/>
    <m/>
    <m/>
    <n v="0"/>
    <n v="0"/>
  </r>
  <r>
    <x v="0"/>
    <s v="Northeast Alabama State Community College "/>
    <s v="Met the criteria for Two-Year 3 in 2015-16."/>
    <n v="101897"/>
    <x v="6"/>
    <s v="sem"/>
    <m/>
    <m/>
    <m/>
    <n v="24805"/>
    <n v="22853"/>
    <n v="10426"/>
    <n v="9114"/>
    <n v="26093"/>
    <n v="25274"/>
    <n v="61324"/>
    <n v="2044.1333333333334"/>
    <n v="57241"/>
    <n v="1908.0333333333333"/>
    <n v="4312"/>
    <n v="5915"/>
    <n v="61324"/>
    <n v="57241"/>
    <m/>
    <m/>
    <m/>
    <m/>
    <m/>
    <m/>
    <m/>
    <m/>
    <n v="0"/>
    <n v="0"/>
    <n v="0"/>
    <n v="0"/>
    <m/>
    <m/>
    <n v="0"/>
    <n v="0"/>
  </r>
  <r>
    <x v="0"/>
    <s v="Northwest-Shoals Community College"/>
    <m/>
    <n v="101736"/>
    <x v="6"/>
    <s v="sem"/>
    <m/>
    <m/>
    <m/>
    <n v="32954"/>
    <n v="32099"/>
    <n v="13250"/>
    <n v="12217"/>
    <n v="36788"/>
    <n v="33729"/>
    <n v="82992"/>
    <n v="2766.4"/>
    <n v="78045"/>
    <n v="2601.5"/>
    <n v="4479"/>
    <n v="5282"/>
    <n v="82992"/>
    <n v="78045"/>
    <m/>
    <m/>
    <m/>
    <m/>
    <m/>
    <m/>
    <m/>
    <m/>
    <n v="0"/>
    <n v="0"/>
    <n v="0"/>
    <n v="0"/>
    <m/>
    <m/>
    <n v="0"/>
    <n v="0"/>
  </r>
  <r>
    <x v="0"/>
    <s v="Shelton State Community College"/>
    <m/>
    <n v="102067"/>
    <x v="6"/>
    <s v="sem"/>
    <m/>
    <m/>
    <m/>
    <n v="46609"/>
    <n v="43730"/>
    <n v="21771"/>
    <n v="20194"/>
    <n v="49557"/>
    <n v="47297"/>
    <n v="117937"/>
    <n v="3931.2333333333331"/>
    <n v="111221"/>
    <n v="3707.3666666666668"/>
    <n v="640"/>
    <n v="1713"/>
    <n v="117937"/>
    <n v="111221"/>
    <m/>
    <m/>
    <m/>
    <m/>
    <m/>
    <m/>
    <m/>
    <m/>
    <n v="0"/>
    <n v="0"/>
    <n v="0"/>
    <n v="0"/>
    <m/>
    <m/>
    <n v="0"/>
    <n v="0"/>
  </r>
  <r>
    <x v="0"/>
    <s v="Southern Union State Community College"/>
    <m/>
    <n v="251260"/>
    <x v="6"/>
    <s v="sem"/>
    <m/>
    <m/>
    <m/>
    <n v="46656"/>
    <n v="47479"/>
    <n v="20181"/>
    <n v="20187"/>
    <n v="50994"/>
    <n v="50250"/>
    <n v="117831"/>
    <n v="3927.7"/>
    <n v="117916"/>
    <n v="3930.5333333333333"/>
    <n v="990"/>
    <n v="1443"/>
    <n v="117831"/>
    <n v="117916"/>
    <m/>
    <m/>
    <m/>
    <m/>
    <m/>
    <m/>
    <m/>
    <m/>
    <n v="0"/>
    <n v="0"/>
    <n v="0"/>
    <n v="0"/>
    <m/>
    <m/>
    <n v="0"/>
    <n v="0"/>
  </r>
  <r>
    <x v="0"/>
    <s v="Wallace Community College - Hanceville"/>
    <m/>
    <n v="101295"/>
    <x v="6"/>
    <s v="sem"/>
    <m/>
    <m/>
    <m/>
    <n v="52648"/>
    <n v="51463"/>
    <n v="22292"/>
    <n v="21595"/>
    <n v="57482"/>
    <n v="56467"/>
    <n v="132422"/>
    <n v="4414.0666666666666"/>
    <n v="129525"/>
    <n v="4317.5"/>
    <n v="5332"/>
    <n v="7022"/>
    <n v="132422"/>
    <n v="129525"/>
    <m/>
    <m/>
    <m/>
    <m/>
    <m/>
    <m/>
    <m/>
    <m/>
    <n v="0"/>
    <n v="0"/>
    <n v="0"/>
    <n v="0"/>
    <m/>
    <m/>
    <n v="0"/>
    <n v="0"/>
  </r>
  <r>
    <x v="0"/>
    <s v="Alabama Southern Community College"/>
    <m/>
    <n v="101949"/>
    <x v="8"/>
    <s v="sem"/>
    <m/>
    <m/>
    <m/>
    <n v="14297"/>
    <n v="14544"/>
    <n v="4768"/>
    <n v="4295"/>
    <n v="15473"/>
    <n v="14742"/>
    <n v="34538"/>
    <n v="1151.2666666666667"/>
    <n v="33581"/>
    <n v="1119.3666666666666"/>
    <n v="1811"/>
    <n v="2127"/>
    <n v="34538"/>
    <n v="33581"/>
    <m/>
    <m/>
    <m/>
    <m/>
    <m/>
    <m/>
    <m/>
    <m/>
    <n v="0"/>
    <n v="0"/>
    <n v="0"/>
    <n v="0"/>
    <m/>
    <m/>
    <n v="0"/>
    <n v="0"/>
  </r>
  <r>
    <x v="0"/>
    <s v="Central Alabama Community College"/>
    <m/>
    <n v="100760"/>
    <x v="8"/>
    <s v="sem"/>
    <m/>
    <m/>
    <m/>
    <n v="16746"/>
    <n v="17716"/>
    <n v="6955"/>
    <n v="6577"/>
    <n v="17198"/>
    <n v="18575"/>
    <n v="40899"/>
    <n v="1363.3"/>
    <n v="42868"/>
    <n v="1428.9333333333334"/>
    <n v="1207"/>
    <n v="1489"/>
    <n v="40899"/>
    <n v="42868"/>
    <m/>
    <m/>
    <m/>
    <m/>
    <m/>
    <m/>
    <m/>
    <m/>
    <n v="0"/>
    <n v="0"/>
    <n v="0"/>
    <n v="0"/>
    <m/>
    <m/>
    <n v="0"/>
    <n v="0"/>
  </r>
  <r>
    <x v="0"/>
    <s v="Chattahoochee Valley State Community College "/>
    <m/>
    <n v="101028"/>
    <x v="8"/>
    <s v="sem"/>
    <m/>
    <m/>
    <m/>
    <n v="18905"/>
    <n v="17771"/>
    <n v="7101"/>
    <n v="6812"/>
    <n v="18704"/>
    <n v="17259"/>
    <n v="44710"/>
    <n v="1490.3333333333333"/>
    <n v="41842"/>
    <n v="1394.7333333333333"/>
    <n v="654"/>
    <n v="748"/>
    <n v="44710"/>
    <n v="41842"/>
    <m/>
    <m/>
    <m/>
    <m/>
    <m/>
    <m/>
    <m/>
    <m/>
    <n v="0"/>
    <n v="0"/>
    <n v="0"/>
    <n v="0"/>
    <m/>
    <m/>
    <n v="0"/>
    <n v="0"/>
  </r>
  <r>
    <x v="0"/>
    <s v="George Corley Wallace State Community College - Selma"/>
    <m/>
    <n v="101301"/>
    <x v="8"/>
    <s v="sem"/>
    <m/>
    <m/>
    <m/>
    <n v="16109"/>
    <n v="17041"/>
    <n v="9316"/>
    <n v="9634"/>
    <n v="17250"/>
    <n v="16887"/>
    <n v="42675"/>
    <n v="1422.5"/>
    <n v="43562"/>
    <n v="1452.0666666666666"/>
    <n v="1608"/>
    <n v="2893"/>
    <n v="42675"/>
    <n v="43562"/>
    <m/>
    <m/>
    <m/>
    <m/>
    <m/>
    <m/>
    <m/>
    <m/>
    <n v="0"/>
    <n v="0"/>
    <n v="0"/>
    <n v="0"/>
    <m/>
    <m/>
    <n v="0"/>
    <n v="0"/>
  </r>
  <r>
    <x v="0"/>
    <s v="Jefferson Davis Community College"/>
    <m/>
    <n v="101499"/>
    <x v="8"/>
    <s v="sem"/>
    <m/>
    <m/>
    <m/>
    <n v="11916"/>
    <n v="11210"/>
    <n v="4574"/>
    <n v="4765"/>
    <n v="11556"/>
    <n v="12093"/>
    <n v="28046"/>
    <n v="934.86666666666667"/>
    <n v="28068"/>
    <n v="935.6"/>
    <n v="362"/>
    <n v="376"/>
    <n v="28046"/>
    <n v="28068"/>
    <m/>
    <m/>
    <m/>
    <m/>
    <m/>
    <m/>
    <m/>
    <m/>
    <n v="0"/>
    <n v="0"/>
    <n v="0"/>
    <n v="0"/>
    <m/>
    <m/>
    <n v="0"/>
    <n v="0"/>
  </r>
  <r>
    <x v="0"/>
    <s v="Lurleen B. Wallace Community College "/>
    <m/>
    <n v="101602"/>
    <x v="8"/>
    <s v="sem"/>
    <m/>
    <m/>
    <m/>
    <n v="15359"/>
    <n v="14667"/>
    <n v="6927"/>
    <n v="7250"/>
    <n v="17384"/>
    <n v="17982"/>
    <n v="39670"/>
    <n v="1322.3333333333333"/>
    <n v="39899"/>
    <n v="1329.9666666666667"/>
    <n v="1809"/>
    <n v="2537"/>
    <n v="39670"/>
    <n v="39899"/>
    <m/>
    <m/>
    <m/>
    <m/>
    <m/>
    <m/>
    <m/>
    <m/>
    <n v="0"/>
    <n v="0"/>
    <n v="0"/>
    <n v="0"/>
    <m/>
    <m/>
    <n v="0"/>
    <n v="0"/>
  </r>
  <r>
    <x v="0"/>
    <s v="Snead State Community College "/>
    <s v="Met the criteria for Two-Year 2 in 2015-16."/>
    <n v="102076"/>
    <x v="8"/>
    <s v="sem"/>
    <m/>
    <m/>
    <m/>
    <n v="25070"/>
    <n v="25199"/>
    <n v="7635"/>
    <n v="8981"/>
    <n v="27127"/>
    <n v="28862"/>
    <n v="59832"/>
    <n v="1994.4"/>
    <n v="63042"/>
    <n v="2101.4"/>
    <n v="1424"/>
    <n v="2241"/>
    <n v="59832"/>
    <n v="63042"/>
    <m/>
    <m/>
    <m/>
    <m/>
    <m/>
    <m/>
    <m/>
    <m/>
    <n v="0"/>
    <n v="0"/>
    <n v="0"/>
    <n v="0"/>
    <m/>
    <m/>
    <n v="0"/>
    <n v="0"/>
  </r>
  <r>
    <x v="0"/>
    <s v="Trenholm State Technical College "/>
    <m/>
    <n v="102313"/>
    <x v="9"/>
    <s v="sem"/>
    <m/>
    <m/>
    <m/>
    <n v="13295"/>
    <n v="13213"/>
    <n v="8035"/>
    <n v="8511"/>
    <n v="13464"/>
    <n v="14363"/>
    <n v="34794"/>
    <n v="1159.8"/>
    <n v="36087"/>
    <n v="1202.9000000000001"/>
    <n v="671"/>
    <n v="1100"/>
    <n v="34794"/>
    <n v="36087"/>
    <m/>
    <m/>
    <m/>
    <m/>
    <m/>
    <m/>
    <m/>
    <m/>
    <n v="0"/>
    <n v="0"/>
    <n v="0"/>
    <n v="0"/>
    <m/>
    <m/>
    <n v="0"/>
    <n v="0"/>
  </r>
  <r>
    <x v="0"/>
    <s v="J.F. Drake State Technical College "/>
    <m/>
    <n v="101462"/>
    <x v="10"/>
    <s v="sem"/>
    <m/>
    <m/>
    <m/>
    <n v="10855"/>
    <n v="9324"/>
    <n v="5338"/>
    <n v="4358"/>
    <n v="10415"/>
    <n v="9187"/>
    <n v="26608"/>
    <n v="886.93333333333328"/>
    <n v="22869"/>
    <n v="762.3"/>
    <n v="945"/>
    <n v="974"/>
    <n v="26608"/>
    <n v="22869"/>
    <m/>
    <m/>
    <m/>
    <m/>
    <m/>
    <m/>
    <m/>
    <m/>
    <n v="0"/>
    <n v="0"/>
    <n v="0"/>
    <n v="0"/>
    <m/>
    <m/>
    <n v="0"/>
    <n v="0"/>
  </r>
  <r>
    <x v="0"/>
    <s v="J.F. Ingram State Technical College "/>
    <m/>
    <n v="101471"/>
    <x v="10"/>
    <s v="sem"/>
    <m/>
    <m/>
    <m/>
    <n v="6279"/>
    <n v="6408"/>
    <n v="5059"/>
    <n v="5621"/>
    <n v="6300"/>
    <n v="5555"/>
    <n v="17638"/>
    <n v="587.93333333333328"/>
    <n v="17584"/>
    <n v="586.13333333333333"/>
    <n v="0"/>
    <n v="0"/>
    <n v="17638"/>
    <n v="17584"/>
    <m/>
    <m/>
    <m/>
    <m/>
    <m/>
    <m/>
    <m/>
    <m/>
    <n v="0"/>
    <n v="0"/>
    <n v="0"/>
    <n v="0"/>
    <m/>
    <m/>
    <n v="0"/>
    <n v="0"/>
  </r>
  <r>
    <x v="0"/>
    <s v="Reid State Technical College "/>
    <m/>
    <n v="101994"/>
    <x v="10"/>
    <s v="sem"/>
    <m/>
    <m/>
    <m/>
    <n v="4779"/>
    <n v="4265"/>
    <n v="2665"/>
    <n v="3166"/>
    <n v="5556"/>
    <n v="5351"/>
    <n v="13000"/>
    <n v="433.33333333333331"/>
    <n v="12782"/>
    <n v="426.06666666666666"/>
    <n v="1532"/>
    <n v="1466"/>
    <n v="13000"/>
    <n v="12782"/>
    <m/>
    <m/>
    <m/>
    <m/>
    <m/>
    <m/>
    <m/>
    <m/>
    <n v="0"/>
    <n v="0"/>
    <n v="0"/>
    <n v="0"/>
    <m/>
    <m/>
    <n v="0"/>
    <n v="0"/>
  </r>
  <r>
    <x v="1"/>
    <s v="University of Arkansas, Fayetteville"/>
    <m/>
    <n v="106397"/>
    <x v="0"/>
    <s v="sem"/>
    <s v="sem"/>
    <m/>
    <m/>
    <n v="271117"/>
    <n v="278945"/>
    <n v="43884"/>
    <n v="42509"/>
    <n v="306376"/>
    <n v="307647"/>
    <n v="621377"/>
    <n v="20712.566666666666"/>
    <n v="629101"/>
    <n v="20970.033333333333"/>
    <n v="4407"/>
    <n v="4956"/>
    <n v="621377"/>
    <n v="629101"/>
    <m/>
    <m/>
    <m/>
    <m/>
    <m/>
    <m/>
    <m/>
    <m/>
    <n v="0"/>
    <n v="0"/>
    <n v="0"/>
    <n v="0"/>
    <m/>
    <m/>
    <n v="0"/>
    <n v="0"/>
  </r>
  <r>
    <x v="1"/>
    <s v="University of Arkansas at Little Rock"/>
    <m/>
    <n v="106245"/>
    <x v="1"/>
    <s v="sem"/>
    <s v="sem"/>
    <m/>
    <m/>
    <n v="94880"/>
    <n v="91192"/>
    <n v="20938"/>
    <n v="20591"/>
    <n v="100097"/>
    <n v="100883"/>
    <n v="215915"/>
    <n v="7197.166666666667"/>
    <n v="212666"/>
    <n v="7088.8666666666668"/>
    <n v="16521"/>
    <n v="18674"/>
    <n v="215915"/>
    <n v="212666"/>
    <m/>
    <m/>
    <m/>
    <m/>
    <m/>
    <m/>
    <m/>
    <m/>
    <n v="0"/>
    <n v="0"/>
    <n v="0"/>
    <n v="0"/>
    <m/>
    <m/>
    <n v="0"/>
    <n v="0"/>
  </r>
  <r>
    <x v="1"/>
    <s v="Arkansas State University"/>
    <m/>
    <n v="106458"/>
    <x v="2"/>
    <s v="sem"/>
    <s v="sem"/>
    <m/>
    <m/>
    <n v="120797"/>
    <n v="118647"/>
    <n v="22462"/>
    <n v="20368"/>
    <n v="128496"/>
    <n v="126257"/>
    <n v="271755"/>
    <n v="9058.5"/>
    <n v="265272"/>
    <n v="8842.4"/>
    <n v="4174"/>
    <n v="3769"/>
    <n v="271755"/>
    <n v="265272"/>
    <m/>
    <m/>
    <m/>
    <m/>
    <m/>
    <m/>
    <m/>
    <m/>
    <n v="0"/>
    <n v="0"/>
    <n v="0"/>
    <n v="0"/>
    <m/>
    <m/>
    <n v="0"/>
    <n v="0"/>
  </r>
  <r>
    <x v="1"/>
    <s v="Arkansas Tech University"/>
    <m/>
    <n v="106467"/>
    <x v="2"/>
    <s v="sem"/>
    <s v="sem"/>
    <m/>
    <m/>
    <n v="99842"/>
    <n v="103407"/>
    <n v="14549"/>
    <n v="12561"/>
    <n v="115219"/>
    <n v="114789"/>
    <n v="229610"/>
    <n v="7653.666666666667"/>
    <n v="230757"/>
    <n v="7691.9"/>
    <n v="9933"/>
    <n v="11586"/>
    <n v="229610"/>
    <n v="230757"/>
    <m/>
    <m/>
    <m/>
    <m/>
    <m/>
    <m/>
    <m/>
    <m/>
    <n v="0"/>
    <n v="0"/>
    <n v="0"/>
    <n v="0"/>
    <m/>
    <m/>
    <n v="0"/>
    <n v="0"/>
  </r>
  <r>
    <x v="1"/>
    <s v="University of Central Arkansas "/>
    <m/>
    <n v="106704"/>
    <x v="2"/>
    <s v="sem"/>
    <s v="sem"/>
    <m/>
    <m/>
    <n v="118621"/>
    <n v="120885"/>
    <n v="17043"/>
    <n v="17934"/>
    <n v="132406"/>
    <n v="134060"/>
    <n v="268070"/>
    <n v="8935.6666666666661"/>
    <n v="272879"/>
    <n v="9095.9666666666672"/>
    <n v="2339"/>
    <n v="2592"/>
    <n v="268070"/>
    <n v="272879"/>
    <m/>
    <m/>
    <m/>
    <m/>
    <m/>
    <m/>
    <m/>
    <m/>
    <n v="0"/>
    <n v="0"/>
    <n v="0"/>
    <n v="0"/>
    <m/>
    <m/>
    <n v="0"/>
    <n v="0"/>
  </r>
  <r>
    <x v="1"/>
    <s v="Henderson State University"/>
    <m/>
    <n v="107071"/>
    <x v="3"/>
    <s v="sem"/>
    <s v="sem"/>
    <m/>
    <m/>
    <n v="41227"/>
    <n v="40270"/>
    <n v="5354"/>
    <n v="5167"/>
    <n v="45570"/>
    <n v="43649"/>
    <n v="92151"/>
    <n v="3071.7"/>
    <n v="89086"/>
    <n v="2969.5333333333333"/>
    <n v="86"/>
    <n v="40"/>
    <n v="92151"/>
    <n v="89086"/>
    <m/>
    <m/>
    <m/>
    <m/>
    <m/>
    <m/>
    <m/>
    <m/>
    <n v="0"/>
    <n v="0"/>
    <n v="0"/>
    <n v="0"/>
    <m/>
    <m/>
    <n v="0"/>
    <n v="0"/>
  </r>
  <r>
    <x v="1"/>
    <s v="Southern Arkansas University"/>
    <m/>
    <n v="107983"/>
    <x v="3"/>
    <s v="sem"/>
    <s v="sem"/>
    <m/>
    <m/>
    <n v="36768"/>
    <n v="37408"/>
    <n v="4933"/>
    <n v="4817"/>
    <n v="42631"/>
    <n v="44073"/>
    <n v="84332"/>
    <n v="2811.0666666666666"/>
    <n v="86298"/>
    <n v="2876.6"/>
    <n v="1787"/>
    <n v="1276"/>
    <n v="84332"/>
    <n v="86298"/>
    <m/>
    <m/>
    <m/>
    <m/>
    <m/>
    <m/>
    <m/>
    <m/>
    <n v="0"/>
    <n v="0"/>
    <n v="0"/>
    <n v="0"/>
    <m/>
    <m/>
    <n v="0"/>
    <n v="0"/>
  </r>
  <r>
    <x v="1"/>
    <s v="University of Arkansas at Monticello"/>
    <m/>
    <n v="106485"/>
    <x v="4"/>
    <s v="sem"/>
    <s v="sem"/>
    <m/>
    <m/>
    <n v="29880"/>
    <n v="31377"/>
    <n v="3850"/>
    <n v="3838"/>
    <n v="35726"/>
    <n v="32940"/>
    <n v="69456"/>
    <n v="2315.1999999999998"/>
    <n v="68155"/>
    <n v="2271.8333333333335"/>
    <n v="5592"/>
    <n v="6126"/>
    <n v="69456"/>
    <n v="68155"/>
    <m/>
    <m/>
    <m/>
    <m/>
    <m/>
    <m/>
    <m/>
    <m/>
    <n v="0"/>
    <n v="0"/>
    <n v="0"/>
    <n v="0"/>
    <m/>
    <m/>
    <n v="0"/>
    <n v="0"/>
  </r>
  <r>
    <x v="1"/>
    <s v="University of Arkansas at Fort Smith"/>
    <m/>
    <n v="108092"/>
    <x v="5"/>
    <s v="sem"/>
    <s v="sem"/>
    <m/>
    <m/>
    <n v="78074"/>
    <n v="76417"/>
    <n v="10205"/>
    <n v="8422"/>
    <n v="83236"/>
    <n v="81335"/>
    <n v="171515"/>
    <n v="5717.166666666667"/>
    <n v="166174"/>
    <n v="5539.1333333333332"/>
    <n v="9851"/>
    <n v="11956"/>
    <n v="171515"/>
    <n v="166174"/>
    <m/>
    <m/>
    <m/>
    <m/>
    <m/>
    <m/>
    <m/>
    <m/>
    <n v="0"/>
    <n v="0"/>
    <n v="0"/>
    <n v="0"/>
    <m/>
    <m/>
    <n v="0"/>
    <n v="0"/>
  </r>
  <r>
    <x v="1"/>
    <s v="University of Arkansas at Pine Bluff"/>
    <m/>
    <n v="106412"/>
    <x v="5"/>
    <s v="sem"/>
    <s v="sem"/>
    <m/>
    <m/>
    <n v="30951"/>
    <n v="29717"/>
    <n v="4637"/>
    <n v="5052"/>
    <n v="33607"/>
    <n v="36067"/>
    <n v="69195"/>
    <n v="2306.5"/>
    <n v="70836"/>
    <n v="2361.1999999999998"/>
    <n v="0"/>
    <n v="3"/>
    <n v="69195"/>
    <n v="70836"/>
    <m/>
    <m/>
    <m/>
    <m/>
    <m/>
    <m/>
    <m/>
    <m/>
    <n v="0"/>
    <n v="0"/>
    <n v="0"/>
    <n v="0"/>
    <m/>
    <m/>
    <n v="0"/>
    <n v="0"/>
  </r>
  <r>
    <x v="1"/>
    <s v="Northwest Arkansas Community College "/>
    <s v="Met the criteria for Two-Year 2 in 2015-16. "/>
    <n v="367459"/>
    <x v="7"/>
    <s v="sem"/>
    <s v="sem"/>
    <m/>
    <m/>
    <n v="68788"/>
    <n v="65320"/>
    <n v="14868"/>
    <n v="14583"/>
    <n v="73750"/>
    <n v="69268"/>
    <n v="157406"/>
    <n v="5246.8666666666668"/>
    <n v="149171"/>
    <n v="4972.3666666666668"/>
    <n v="11899"/>
    <n v="15089"/>
    <n v="157406"/>
    <n v="149171"/>
    <m/>
    <m/>
    <m/>
    <m/>
    <m/>
    <m/>
    <m/>
    <m/>
    <n v="0"/>
    <n v="0"/>
    <n v="0"/>
    <n v="0"/>
    <m/>
    <m/>
    <n v="0"/>
    <n v="0"/>
  </r>
  <r>
    <x v="1"/>
    <s v="Pulaski Technical College"/>
    <m/>
    <n v="107664"/>
    <x v="7"/>
    <s v="sem"/>
    <s v="sem"/>
    <m/>
    <m/>
    <n v="98192"/>
    <n v="81915"/>
    <n v="16046"/>
    <n v="14732"/>
    <n v="91685"/>
    <n v="73881"/>
    <n v="205923"/>
    <n v="6864.1"/>
    <n v="170528"/>
    <n v="5684.2666666666664"/>
    <n v="6034"/>
    <n v="5180"/>
    <n v="205923"/>
    <n v="170528"/>
    <m/>
    <m/>
    <m/>
    <m/>
    <m/>
    <m/>
    <m/>
    <m/>
    <n v="0"/>
    <n v="0"/>
    <n v="0"/>
    <n v="0"/>
    <m/>
    <m/>
    <n v="0"/>
    <n v="0"/>
  </r>
  <r>
    <x v="1"/>
    <s v="Arkansas State University-Beebe"/>
    <m/>
    <n v="106449"/>
    <x v="6"/>
    <s v="sem"/>
    <s v="sem"/>
    <m/>
    <m/>
    <n v="40126"/>
    <n v="39417"/>
    <n v="7930"/>
    <n v="8153"/>
    <n v="43358"/>
    <n v="41906"/>
    <n v="91414"/>
    <n v="3047.1333333333332"/>
    <n v="89476"/>
    <n v="2982.5333333333333"/>
    <n v="8366"/>
    <n v="8243"/>
    <n v="91414"/>
    <n v="89476"/>
    <m/>
    <m/>
    <m/>
    <m/>
    <m/>
    <m/>
    <m/>
    <m/>
    <n v="0"/>
    <n v="0"/>
    <n v="0"/>
    <n v="0"/>
    <m/>
    <m/>
    <n v="0"/>
    <n v="0"/>
  </r>
  <r>
    <x v="1"/>
    <s v="National Park College"/>
    <s v="Met the criteria for Two-Year 3 in 2015-16. "/>
    <n v="106980"/>
    <x v="6"/>
    <s v="sem"/>
    <s v="sem"/>
    <m/>
    <m/>
    <n v="28512"/>
    <n v="24727"/>
    <n v="4128"/>
    <n v="3677"/>
    <n v="29115"/>
    <n v="29680"/>
    <n v="61755"/>
    <n v="2058.5"/>
    <n v="58084"/>
    <n v="1936.1333333333334"/>
    <n v="5243"/>
    <n v="6979"/>
    <n v="61755"/>
    <n v="58084"/>
    <m/>
    <m/>
    <m/>
    <m/>
    <m/>
    <m/>
    <m/>
    <m/>
    <n v="0"/>
    <n v="0"/>
    <n v="0"/>
    <n v="0"/>
    <m/>
    <m/>
    <n v="0"/>
    <n v="0"/>
  </r>
  <r>
    <x v="1"/>
    <s v="Arkansas Northeastern College"/>
    <m/>
    <n v="107327"/>
    <x v="8"/>
    <s v="sem"/>
    <s v="sem"/>
    <m/>
    <m/>
    <n v="11975"/>
    <n v="12276"/>
    <n v="2120"/>
    <n v="2476"/>
    <n v="12893"/>
    <n v="12918"/>
    <n v="26988"/>
    <n v="899.6"/>
    <n v="27670"/>
    <n v="922.33333333333337"/>
    <n v="1683"/>
    <n v="2208"/>
    <n v="26988"/>
    <n v="27670"/>
    <m/>
    <m/>
    <m/>
    <m/>
    <m/>
    <m/>
    <m/>
    <m/>
    <n v="0"/>
    <n v="0"/>
    <n v="0"/>
    <n v="0"/>
    <m/>
    <m/>
    <n v="0"/>
    <n v="0"/>
  </r>
  <r>
    <x v="1"/>
    <s v="Arkansas State University Mid-South"/>
    <m/>
    <n v="107318"/>
    <x v="8"/>
    <s v="sem"/>
    <s v="sem"/>
    <m/>
    <m/>
    <n v="15629"/>
    <n v="13838"/>
    <n v="2373"/>
    <n v="2055"/>
    <n v="16218"/>
    <n v="15950"/>
    <n v="34220"/>
    <n v="1140.6666666666667"/>
    <n v="31843"/>
    <n v="1061.4333333333334"/>
    <n v="6268"/>
    <n v="8238"/>
    <n v="34220"/>
    <n v="31843"/>
    <m/>
    <m/>
    <m/>
    <m/>
    <m/>
    <m/>
    <m/>
    <m/>
    <n v="0"/>
    <n v="0"/>
    <n v="0"/>
    <n v="0"/>
    <m/>
    <m/>
    <n v="0"/>
    <n v="0"/>
  </r>
  <r>
    <x v="1"/>
    <s v="Arkansas State University Mountain Home"/>
    <m/>
    <n v="420538"/>
    <x v="8"/>
    <s v="sem"/>
    <s v="sem"/>
    <m/>
    <m/>
    <n v="15109"/>
    <n v="13873"/>
    <n v="2911"/>
    <n v="3161"/>
    <n v="15645"/>
    <n v="15539"/>
    <n v="33665"/>
    <n v="1122.1666666666667"/>
    <n v="32573"/>
    <n v="1085.7666666666667"/>
    <n v="818"/>
    <n v="1796"/>
    <n v="33665"/>
    <n v="32573"/>
    <m/>
    <m/>
    <m/>
    <m/>
    <m/>
    <m/>
    <m/>
    <m/>
    <n v="0"/>
    <n v="0"/>
    <n v="0"/>
    <n v="0"/>
    <m/>
    <m/>
    <n v="0"/>
    <n v="0"/>
  </r>
  <r>
    <x v="1"/>
    <s v="Arkansas State University-Newport"/>
    <m/>
    <n v="440402"/>
    <x v="8"/>
    <s v="sem"/>
    <s v="sem"/>
    <m/>
    <m/>
    <n v="19236"/>
    <n v="21194"/>
    <n v="7940"/>
    <n v="8845"/>
    <n v="21789"/>
    <n v="23364"/>
    <n v="48965"/>
    <n v="1632.1666666666667"/>
    <n v="53403"/>
    <n v="1780.1"/>
    <n v="10204"/>
    <n v="12939"/>
    <n v="48965"/>
    <n v="53403"/>
    <m/>
    <m/>
    <m/>
    <m/>
    <m/>
    <m/>
    <m/>
    <m/>
    <n v="0"/>
    <n v="0"/>
    <n v="0"/>
    <n v="0"/>
    <m/>
    <m/>
    <n v="0"/>
    <n v="0"/>
  </r>
  <r>
    <x v="1"/>
    <s v="Black River Technical College"/>
    <m/>
    <n v="106625"/>
    <x v="8"/>
    <s v="sem"/>
    <s v="sem"/>
    <m/>
    <m/>
    <n v="22303"/>
    <n v="19008"/>
    <n v="4568"/>
    <n v="2756"/>
    <n v="21953"/>
    <n v="18567"/>
    <n v="48824"/>
    <n v="1627.4666666666667"/>
    <n v="40331"/>
    <n v="1344.3666666666666"/>
    <n v="3980"/>
    <n v="4252"/>
    <n v="48824"/>
    <n v="40331"/>
    <m/>
    <m/>
    <m/>
    <m/>
    <m/>
    <m/>
    <m/>
    <m/>
    <n v="0"/>
    <n v="0"/>
    <n v="0"/>
    <n v="0"/>
    <m/>
    <m/>
    <n v="0"/>
    <n v="0"/>
  </r>
  <r>
    <x v="1"/>
    <s v="College of the Ouachitas"/>
    <m/>
    <n v="107521"/>
    <x v="8"/>
    <s v="sem"/>
    <s v="sem"/>
    <m/>
    <m/>
    <n v="12544"/>
    <n v="11830"/>
    <n v="2372"/>
    <n v="2925"/>
    <n v="12769"/>
    <n v="11110"/>
    <n v="27685"/>
    <n v="922.83333333333337"/>
    <n v="25865"/>
    <n v="862.16666666666663"/>
    <n v="6491"/>
    <n v="4796"/>
    <n v="27685"/>
    <n v="25865"/>
    <m/>
    <m/>
    <m/>
    <m/>
    <m/>
    <m/>
    <m/>
    <m/>
    <n v="0"/>
    <n v="0"/>
    <n v="0"/>
    <n v="0"/>
    <m/>
    <m/>
    <n v="0"/>
    <n v="0"/>
  </r>
  <r>
    <x v="1"/>
    <s v="Cossatot Community College of the University of Arkansas"/>
    <m/>
    <n v="106795"/>
    <x v="8"/>
    <s v="sem"/>
    <s v="sem"/>
    <m/>
    <m/>
    <n v="13750"/>
    <n v="12880"/>
    <n v="2481"/>
    <n v="2421"/>
    <n v="13569"/>
    <n v="13589"/>
    <n v="29800"/>
    <n v="993.33333333333337"/>
    <n v="28890"/>
    <n v="963"/>
    <n v="4529"/>
    <n v="5520"/>
    <n v="29800"/>
    <n v="28890"/>
    <m/>
    <m/>
    <m/>
    <m/>
    <m/>
    <m/>
    <m/>
    <m/>
    <n v="0"/>
    <n v="0"/>
    <n v="0"/>
    <n v="0"/>
    <m/>
    <m/>
    <n v="0"/>
    <n v="0"/>
  </r>
  <r>
    <x v="1"/>
    <s v="East Arkansas Community College "/>
    <m/>
    <n v="106883"/>
    <x v="8"/>
    <s v="sem"/>
    <s v="sem"/>
    <m/>
    <m/>
    <n v="10708"/>
    <n v="9915"/>
    <n v="2969"/>
    <n v="3224"/>
    <n v="10679"/>
    <n v="10351"/>
    <n v="24356"/>
    <n v="811.86666666666667"/>
    <n v="23490"/>
    <n v="783"/>
    <n v="3821"/>
    <n v="3669"/>
    <n v="24356"/>
    <n v="23490"/>
    <m/>
    <m/>
    <m/>
    <m/>
    <m/>
    <m/>
    <m/>
    <m/>
    <n v="0"/>
    <n v="0"/>
    <n v="0"/>
    <n v="0"/>
    <m/>
    <m/>
    <n v="0"/>
    <n v="0"/>
  </r>
  <r>
    <x v="1"/>
    <s v="North Arkansas College"/>
    <m/>
    <n v="107460"/>
    <x v="8"/>
    <s v="sem"/>
    <s v="sem"/>
    <m/>
    <m/>
    <n v="21413"/>
    <n v="19094"/>
    <n v="2427"/>
    <n v="2324"/>
    <n v="21439"/>
    <n v="19636"/>
    <n v="45279"/>
    <n v="1509.3"/>
    <n v="41054"/>
    <n v="1368.4666666666667"/>
    <n v="2490"/>
    <n v="2529"/>
    <n v="45279"/>
    <n v="41054"/>
    <m/>
    <m/>
    <m/>
    <m/>
    <m/>
    <m/>
    <m/>
    <m/>
    <n v="0"/>
    <n v="0"/>
    <n v="0"/>
    <n v="0"/>
    <m/>
    <m/>
    <n v="0"/>
    <n v="0"/>
  </r>
  <r>
    <x v="1"/>
    <s v="Ozarka College "/>
    <m/>
    <n v="107549"/>
    <x v="8"/>
    <s v="sem"/>
    <s v="sem"/>
    <m/>
    <m/>
    <n v="13498"/>
    <n v="11959"/>
    <n v="3020"/>
    <n v="2572"/>
    <n v="13358"/>
    <n v="11257"/>
    <n v="29876"/>
    <n v="995.86666666666667"/>
    <n v="25788"/>
    <n v="859.6"/>
    <n v="2401"/>
    <n v="2648"/>
    <n v="29876"/>
    <n v="25788"/>
    <m/>
    <m/>
    <m/>
    <m/>
    <m/>
    <m/>
    <m/>
    <m/>
    <n v="0"/>
    <n v="0"/>
    <n v="0"/>
    <n v="0"/>
    <m/>
    <m/>
    <n v="0"/>
    <n v="0"/>
  </r>
  <r>
    <x v="1"/>
    <s v="Phillips Community College of the Univ of Arkansas"/>
    <m/>
    <n v="107619"/>
    <x v="8"/>
    <s v="sem"/>
    <s v="sem"/>
    <m/>
    <m/>
    <n v="14432"/>
    <n v="12722"/>
    <n v="2036"/>
    <n v="1941"/>
    <n v="14870"/>
    <n v="13850"/>
    <n v="31338"/>
    <n v="1044.5999999999999"/>
    <n v="28513"/>
    <n v="950.43333333333328"/>
    <n v="7639"/>
    <n v="7344"/>
    <n v="31338"/>
    <n v="28513"/>
    <m/>
    <m/>
    <m/>
    <m/>
    <m/>
    <m/>
    <m/>
    <m/>
    <n v="0"/>
    <n v="0"/>
    <n v="0"/>
    <n v="0"/>
    <m/>
    <m/>
    <n v="0"/>
    <n v="0"/>
  </r>
  <r>
    <x v="1"/>
    <s v="Rich Mountain Community College "/>
    <m/>
    <n v="107743"/>
    <x v="8"/>
    <s v="sem"/>
    <s v="sem"/>
    <m/>
    <m/>
    <n v="7873"/>
    <n v="7084"/>
    <n v="1626"/>
    <n v="1390"/>
    <n v="8389"/>
    <n v="7943"/>
    <n v="17888"/>
    <n v="596.26666666666665"/>
    <n v="16417"/>
    <n v="547.23333333333335"/>
    <n v="2897"/>
    <n v="2973"/>
    <n v="17888"/>
    <n v="16417"/>
    <m/>
    <m/>
    <m/>
    <m/>
    <m/>
    <m/>
    <m/>
    <m/>
    <n v="0"/>
    <n v="0"/>
    <n v="0"/>
    <n v="0"/>
    <m/>
    <m/>
    <n v="0"/>
    <n v="0"/>
  </r>
  <r>
    <x v="1"/>
    <s v="South Arkansas Community College"/>
    <m/>
    <n v="107974"/>
    <x v="8"/>
    <s v="sem"/>
    <s v="sem"/>
    <m/>
    <m/>
    <n v="16020"/>
    <n v="14359"/>
    <n v="4749"/>
    <n v="5007"/>
    <n v="16017"/>
    <n v="14458"/>
    <n v="36786"/>
    <n v="1226.2"/>
    <n v="33824"/>
    <n v="1127.4666666666667"/>
    <n v="2682"/>
    <n v="2742"/>
    <n v="36786"/>
    <n v="33824"/>
    <m/>
    <m/>
    <m/>
    <m/>
    <m/>
    <m/>
    <m/>
    <m/>
    <n v="0"/>
    <n v="0"/>
    <n v="0"/>
    <n v="0"/>
    <m/>
    <m/>
    <n v="0"/>
    <n v="0"/>
  </r>
  <r>
    <x v="1"/>
    <s v="Southeast Arkansas College"/>
    <m/>
    <n v="107637"/>
    <x v="8"/>
    <s v="sem"/>
    <s v="sem"/>
    <m/>
    <m/>
    <n v="15635"/>
    <n v="13275"/>
    <n v="3526"/>
    <n v="3755"/>
    <n v="14463"/>
    <n v="14298"/>
    <n v="33624"/>
    <n v="1120.8"/>
    <n v="31328"/>
    <n v="1044.2666666666667"/>
    <n v="716"/>
    <n v="814"/>
    <n v="33624"/>
    <n v="31328"/>
    <m/>
    <m/>
    <m/>
    <m/>
    <m/>
    <m/>
    <m/>
    <m/>
    <n v="0"/>
    <n v="0"/>
    <n v="0"/>
    <n v="0"/>
    <m/>
    <m/>
    <n v="0"/>
    <n v="0"/>
  </r>
  <r>
    <x v="1"/>
    <s v="Southern Arkansas University Tech"/>
    <m/>
    <n v="107992"/>
    <x v="8"/>
    <s v="sem"/>
    <s v="sem"/>
    <m/>
    <m/>
    <n v="19098"/>
    <n v="15991"/>
    <n v="4304"/>
    <n v="4977"/>
    <n v="13171"/>
    <n v="13000"/>
    <n v="36573"/>
    <n v="1219.0999999999999"/>
    <n v="33968"/>
    <n v="1132.2666666666667"/>
    <n v="9473"/>
    <n v="9741"/>
    <n v="36573"/>
    <n v="33968"/>
    <m/>
    <m/>
    <m/>
    <m/>
    <m/>
    <m/>
    <m/>
    <m/>
    <n v="0"/>
    <n v="0"/>
    <n v="0"/>
    <n v="0"/>
    <m/>
    <m/>
    <n v="0"/>
    <n v="0"/>
  </r>
  <r>
    <x v="1"/>
    <s v="University of Arkansas Community College at Batesville"/>
    <m/>
    <n v="106999"/>
    <x v="8"/>
    <s v="sem"/>
    <s v="sem"/>
    <m/>
    <m/>
    <n v="12175"/>
    <n v="12008"/>
    <n v="2644"/>
    <n v="2471"/>
    <n v="13757"/>
    <n v="14299"/>
    <n v="28576"/>
    <n v="952.5333333333333"/>
    <n v="28778"/>
    <n v="959.26666666666665"/>
    <n v="1537"/>
    <n v="2226"/>
    <n v="28576"/>
    <n v="28778"/>
    <m/>
    <m/>
    <m/>
    <m/>
    <m/>
    <m/>
    <m/>
    <m/>
    <n v="0"/>
    <n v="0"/>
    <n v="0"/>
    <n v="0"/>
    <m/>
    <m/>
    <n v="0"/>
    <n v="0"/>
  </r>
  <r>
    <x v="1"/>
    <s v="University of Arkansas Community College at Hope"/>
    <m/>
    <n v="107725"/>
    <x v="8"/>
    <s v="sem"/>
    <s v="sem"/>
    <m/>
    <m/>
    <n v="13275"/>
    <n v="11897"/>
    <n v="1890"/>
    <n v="2150"/>
    <n v="13359"/>
    <n v="13359"/>
    <n v="28524"/>
    <n v="950.8"/>
    <n v="27406"/>
    <n v="913.5333333333333"/>
    <n v="2499"/>
    <n v="2830"/>
    <n v="28524"/>
    <n v="27406"/>
    <m/>
    <m/>
    <m/>
    <m/>
    <m/>
    <m/>
    <m/>
    <m/>
    <n v="0"/>
    <n v="0"/>
    <n v="0"/>
    <n v="0"/>
    <m/>
    <m/>
    <n v="0"/>
    <n v="0"/>
  </r>
  <r>
    <x v="1"/>
    <s v="University of Arkansas Community College at Morrilton"/>
    <m/>
    <n v="107585"/>
    <x v="8"/>
    <s v="sem"/>
    <s v="sem"/>
    <m/>
    <m/>
    <n v="21550"/>
    <n v="19624"/>
    <n v="3971"/>
    <n v="3565"/>
    <n v="22450"/>
    <n v="23090"/>
    <n v="47971"/>
    <n v="1599.0333333333333"/>
    <n v="46279"/>
    <n v="1542.6333333333334"/>
    <n v="1055"/>
    <n v="1033"/>
    <n v="47971"/>
    <n v="46279"/>
    <m/>
    <m/>
    <m/>
    <m/>
    <m/>
    <m/>
    <m/>
    <m/>
    <n v="0"/>
    <n v="0"/>
    <n v="0"/>
    <n v="0"/>
    <m/>
    <m/>
    <n v="0"/>
    <n v="0"/>
  </r>
  <r>
    <x v="2"/>
    <s v="University of Delaware"/>
    <m/>
    <n v="130943"/>
    <x v="0"/>
    <s v="sem"/>
    <m/>
    <n v="31286"/>
    <n v="32196"/>
    <n v="242880"/>
    <n v="251621"/>
    <n v="9953"/>
    <n v="12918"/>
    <n v="269452"/>
    <n v="270598"/>
    <n v="553571"/>
    <n v="18452.366666666665"/>
    <n v="567333"/>
    <n v="18911.099999999999"/>
    <m/>
    <m/>
    <n v="0"/>
    <n v="0"/>
    <m/>
    <m/>
    <m/>
    <m/>
    <m/>
    <m/>
    <m/>
    <m/>
    <n v="0"/>
    <n v="0"/>
    <n v="0"/>
    <n v="0"/>
    <m/>
    <m/>
    <n v="0"/>
    <n v="0"/>
  </r>
  <r>
    <x v="2"/>
    <s v="Delaware State University"/>
    <m/>
    <n v="130934"/>
    <x v="2"/>
    <s v="sem"/>
    <m/>
    <m/>
    <m/>
    <n v="52239"/>
    <n v="54611"/>
    <n v="6119"/>
    <n v="7146"/>
    <n v="57216"/>
    <n v="60195"/>
    <n v="115574"/>
    <n v="3852.4666666666667"/>
    <n v="121952"/>
    <n v="4065.0666666666666"/>
    <m/>
    <m/>
    <n v="0"/>
    <n v="0"/>
    <m/>
    <m/>
    <m/>
    <m/>
    <m/>
    <m/>
    <m/>
    <m/>
    <n v="0"/>
    <n v="0"/>
    <n v="0"/>
    <n v="0"/>
    <m/>
    <m/>
    <n v="0"/>
    <n v="0"/>
  </r>
  <r>
    <x v="2"/>
    <s v="Delaware Technical and Community College--Terry"/>
    <s v="Met the criteria for Two-Year 1 in 2015-16. "/>
    <n v="130907"/>
    <x v="6"/>
    <s v="sem"/>
    <m/>
    <m/>
    <m/>
    <n v="130801"/>
    <n v="116621"/>
    <n v="29157"/>
    <n v="30852"/>
    <n v="137450"/>
    <n v="125587"/>
    <n v="297408"/>
    <n v="9913.6"/>
    <n v="273060"/>
    <n v="9102"/>
    <m/>
    <m/>
    <n v="0"/>
    <n v="0"/>
    <m/>
    <m/>
    <m/>
    <m/>
    <m/>
    <m/>
    <m/>
    <m/>
    <n v="0"/>
    <n v="0"/>
    <n v="0"/>
    <n v="0"/>
    <m/>
    <m/>
    <n v="0"/>
    <n v="0"/>
  </r>
  <r>
    <x v="3"/>
    <s v="Florida Atlantic University "/>
    <m/>
    <n v="133669"/>
    <x v="0"/>
    <s v="sem"/>
    <s v="sem"/>
    <m/>
    <m/>
    <n v="257105"/>
    <n v="254455"/>
    <n v="94611"/>
    <n v="98605"/>
    <n v="274377"/>
    <n v="278849"/>
    <n v="626093"/>
    <n v="20869.766666666666"/>
    <n v="631909"/>
    <n v="21063.633333333335"/>
    <n v="13328"/>
    <n v="15337"/>
    <n v="626093"/>
    <n v="631909"/>
    <m/>
    <m/>
    <m/>
    <m/>
    <m/>
    <m/>
    <m/>
    <m/>
    <n v="0"/>
    <n v="0"/>
    <n v="0"/>
    <n v="0"/>
    <m/>
    <m/>
    <n v="0"/>
    <n v="0"/>
  </r>
  <r>
    <x v="3"/>
    <s v="Florida International University"/>
    <m/>
    <n v="133951"/>
    <x v="0"/>
    <s v="sem"/>
    <s v="sem"/>
    <m/>
    <m/>
    <n v="431636"/>
    <n v="440310"/>
    <n v="178125"/>
    <n v="184125"/>
    <n v="469277"/>
    <n v="470100"/>
    <n v="1079038"/>
    <n v="35967.933333333334"/>
    <n v="1094535"/>
    <n v="36484.5"/>
    <n v="40871"/>
    <n v="37000"/>
    <n v="1079038"/>
    <n v="1094535"/>
    <m/>
    <m/>
    <m/>
    <m/>
    <m/>
    <m/>
    <m/>
    <m/>
    <n v="0"/>
    <n v="0"/>
    <n v="0"/>
    <n v="0"/>
    <m/>
    <m/>
    <n v="0"/>
    <n v="0"/>
  </r>
  <r>
    <x v="3"/>
    <s v="Florida State University "/>
    <m/>
    <n v="134097"/>
    <x v="0"/>
    <s v="sem"/>
    <s v="sem"/>
    <m/>
    <m/>
    <n v="402742"/>
    <n v="404136"/>
    <n v="122656.5"/>
    <n v="126209"/>
    <n v="420125"/>
    <n v="418565"/>
    <n v="945523.5"/>
    <n v="31517.45"/>
    <n v="948910"/>
    <n v="31630.333333333332"/>
    <n v="491"/>
    <n v="503"/>
    <n v="945523.5"/>
    <n v="948910"/>
    <m/>
    <m/>
    <m/>
    <m/>
    <m/>
    <m/>
    <m/>
    <m/>
    <n v="0"/>
    <n v="0"/>
    <n v="0"/>
    <n v="0"/>
    <m/>
    <m/>
    <n v="0"/>
    <n v="0"/>
  </r>
  <r>
    <x v="3"/>
    <s v="University of Central Florida "/>
    <m/>
    <n v="132903"/>
    <x v="0"/>
    <s v="sem"/>
    <s v="sem"/>
    <m/>
    <m/>
    <n v="567478"/>
    <n v="578497"/>
    <n v="198642"/>
    <n v="207206"/>
    <n v="596735"/>
    <n v="618644"/>
    <n v="1362855"/>
    <n v="45428.5"/>
    <n v="1404347"/>
    <n v="46811.566666666666"/>
    <n v="598"/>
    <n v="433"/>
    <n v="1362855"/>
    <n v="1404347"/>
    <m/>
    <m/>
    <m/>
    <m/>
    <m/>
    <m/>
    <m/>
    <m/>
    <n v="0"/>
    <n v="0"/>
    <n v="0"/>
    <n v="0"/>
    <m/>
    <m/>
    <n v="0"/>
    <n v="0"/>
  </r>
  <r>
    <x v="3"/>
    <s v="University of Florida"/>
    <m/>
    <n v="134130"/>
    <x v="0"/>
    <s v="sem"/>
    <s v="sem"/>
    <m/>
    <m/>
    <n v="423206"/>
    <n v="422884"/>
    <n v="120945"/>
    <n v="126853"/>
    <n v="436104"/>
    <n v="448638"/>
    <n v="980255"/>
    <n v="32675.166666666668"/>
    <n v="998375"/>
    <n v="33279.166666666664"/>
    <n v="1207"/>
    <n v="1899"/>
    <n v="980255"/>
    <n v="998375"/>
    <m/>
    <m/>
    <m/>
    <m/>
    <m/>
    <m/>
    <m/>
    <m/>
    <n v="0"/>
    <n v="0"/>
    <n v="0"/>
    <n v="0"/>
    <m/>
    <m/>
    <n v="0"/>
    <n v="0"/>
  </r>
  <r>
    <x v="3"/>
    <s v="University of South Florida "/>
    <m/>
    <n v="137351"/>
    <x v="0"/>
    <s v="sem"/>
    <s v="sem"/>
    <m/>
    <m/>
    <n v="418708"/>
    <n v="415901"/>
    <n v="151898"/>
    <n v="153949"/>
    <n v="442613"/>
    <n v="446747"/>
    <n v="1013219"/>
    <n v="33773.966666666667"/>
    <n v="1016597"/>
    <n v="33886.566666666666"/>
    <n v="274"/>
    <n v="204"/>
    <n v="1013219"/>
    <n v="1016597"/>
    <m/>
    <m/>
    <m/>
    <m/>
    <m/>
    <m/>
    <m/>
    <m/>
    <n v="0"/>
    <n v="0"/>
    <n v="0"/>
    <n v="0"/>
    <m/>
    <m/>
    <n v="0"/>
    <n v="0"/>
  </r>
  <r>
    <x v="3"/>
    <s v="Florida Agricultural &amp; Mechanical University "/>
    <s v="Met the criteria for Four-Year 2 in 2015-16."/>
    <n v="133650"/>
    <x v="2"/>
    <s v="sem"/>
    <s v="sem"/>
    <m/>
    <m/>
    <n v="109738"/>
    <n v="102835"/>
    <n v="27161"/>
    <n v="25481"/>
    <n v="112809"/>
    <n v="109153"/>
    <n v="249708"/>
    <n v="8323.6"/>
    <n v="237469"/>
    <n v="7915.6333333333332"/>
    <n v="36"/>
    <n v="2775"/>
    <n v="249708"/>
    <n v="237469"/>
    <m/>
    <m/>
    <m/>
    <m/>
    <m/>
    <m/>
    <m/>
    <m/>
    <n v="0"/>
    <n v="0"/>
    <n v="0"/>
    <n v="0"/>
    <m/>
    <m/>
    <n v="0"/>
    <n v="0"/>
  </r>
  <r>
    <x v="3"/>
    <s v="University of North Florida"/>
    <m/>
    <n v="136172"/>
    <x v="2"/>
    <s v="sem"/>
    <s v="sem"/>
    <m/>
    <m/>
    <n v="154107"/>
    <n v="152285"/>
    <n v="53992"/>
    <n v="53345"/>
    <n v="162794"/>
    <n v="158874"/>
    <n v="370893"/>
    <n v="12363.1"/>
    <n v="364504"/>
    <n v="12150.133333333333"/>
    <n v="442"/>
    <n v="127"/>
    <n v="370893"/>
    <n v="364504"/>
    <m/>
    <m/>
    <m/>
    <m/>
    <m/>
    <m/>
    <m/>
    <m/>
    <n v="0"/>
    <n v="0"/>
    <n v="0"/>
    <n v="0"/>
    <m/>
    <m/>
    <n v="0"/>
    <n v="0"/>
  </r>
  <r>
    <x v="3"/>
    <s v="University of West Florida"/>
    <m/>
    <n v="138354"/>
    <x v="2"/>
    <s v="sem"/>
    <s v="sem"/>
    <m/>
    <m/>
    <n v="107929"/>
    <n v="106681"/>
    <n v="33221"/>
    <n v="34065"/>
    <n v="115589"/>
    <n v="114385"/>
    <n v="256739"/>
    <n v="8557.9666666666672"/>
    <n v="255131"/>
    <n v="8504.3666666666668"/>
    <n v="651"/>
    <n v="929"/>
    <n v="256739"/>
    <n v="255131"/>
    <m/>
    <m/>
    <m/>
    <m/>
    <m/>
    <m/>
    <m/>
    <m/>
    <n v="0"/>
    <n v="0"/>
    <n v="0"/>
    <n v="0"/>
    <m/>
    <m/>
    <n v="0"/>
    <n v="0"/>
  </r>
  <r>
    <x v="3"/>
    <s v="Florida Gulf Coast University"/>
    <m/>
    <n v="433660"/>
    <x v="3"/>
    <s v="sem"/>
    <s v="sem"/>
    <m/>
    <m/>
    <n v="143424"/>
    <n v="149831"/>
    <n v="32641"/>
    <n v="33283"/>
    <n v="160448"/>
    <n v="165828"/>
    <n v="336513"/>
    <n v="11217.1"/>
    <n v="348942"/>
    <n v="11631.4"/>
    <n v="338"/>
    <n v="457"/>
    <n v="336513"/>
    <n v="348942"/>
    <m/>
    <m/>
    <m/>
    <m/>
    <m/>
    <m/>
    <m/>
    <m/>
    <n v="0"/>
    <n v="0"/>
    <n v="0"/>
    <n v="0"/>
    <m/>
    <m/>
    <n v="0"/>
    <n v="0"/>
  </r>
  <r>
    <x v="3"/>
    <s v="New College of Florida"/>
    <m/>
    <n v="262129"/>
    <x v="5"/>
    <s v="sem"/>
    <s v="sem"/>
    <m/>
    <m/>
    <n v="11744"/>
    <n v="12800"/>
    <m/>
    <m/>
    <n v="15896"/>
    <n v="16447.999999999996"/>
    <n v="27640"/>
    <n v="921.33333333333337"/>
    <n v="29247.999999999996"/>
    <n v="974.93333333333317"/>
    <m/>
    <m/>
    <n v="0"/>
    <n v="0"/>
    <m/>
    <m/>
    <m/>
    <m/>
    <m/>
    <m/>
    <m/>
    <m/>
    <n v="0"/>
    <n v="0"/>
    <n v="0"/>
    <n v="0"/>
    <m/>
    <m/>
    <n v="0"/>
    <n v="0"/>
  </r>
  <r>
    <x v="3"/>
    <s v="Broward College "/>
    <m/>
    <n v="132709"/>
    <x v="11"/>
    <s v="sem"/>
    <s v="sem"/>
    <m/>
    <m/>
    <n v="352534"/>
    <n v="342870"/>
    <n v="173136"/>
    <n v="165391"/>
    <n v="372724"/>
    <n v="352881"/>
    <n v="898394"/>
    <n v="29946.466666666667"/>
    <n v="861142"/>
    <n v="28704.733333333334"/>
    <n v="43443"/>
    <n v="42346"/>
    <n v="898394"/>
    <n v="861142"/>
    <m/>
    <m/>
    <n v="160719"/>
    <n v="175851"/>
    <n v="113680"/>
    <n v="74492"/>
    <n v="177088"/>
    <n v="164023"/>
    <n v="451487"/>
    <n v="501.65222222222224"/>
    <n v="414366"/>
    <n v="460.40666666666669"/>
    <n v="0"/>
    <n v="0"/>
    <n v="451487"/>
    <n v="414366"/>
  </r>
  <r>
    <x v="3"/>
    <s v="Chipola College "/>
    <m/>
    <n v="133021"/>
    <x v="11"/>
    <s v="sem"/>
    <s v="sem"/>
    <m/>
    <m/>
    <n v="17096"/>
    <n v="16453"/>
    <n v="4631"/>
    <n v="5253"/>
    <n v="18223"/>
    <n v="18483"/>
    <n v="39950"/>
    <n v="1331.6666666666667"/>
    <n v="40189"/>
    <n v="1339.6333333333334"/>
    <n v="5970"/>
    <n v="6225"/>
    <n v="39950"/>
    <n v="40189"/>
    <m/>
    <m/>
    <n v="46983"/>
    <n v="39717"/>
    <n v="21069"/>
    <n v="17334"/>
    <n v="49122"/>
    <n v="38961"/>
    <n v="117174"/>
    <n v="130.19333333333333"/>
    <n v="96012"/>
    <n v="106.68"/>
    <n v="900"/>
    <n v="240"/>
    <n v="117174"/>
    <n v="96012"/>
  </r>
  <r>
    <x v="3"/>
    <s v="Daytona State College "/>
    <m/>
    <n v="133386"/>
    <x v="11"/>
    <s v="sem"/>
    <s v="sem"/>
    <m/>
    <m/>
    <n v="124627"/>
    <n v="119818"/>
    <n v="37186"/>
    <n v="43624"/>
    <n v="129465"/>
    <n v="131403"/>
    <n v="291278"/>
    <n v="9709.2666666666664"/>
    <n v="294845"/>
    <n v="9828.1666666666661"/>
    <n v="22291"/>
    <n v="30118"/>
    <n v="291278"/>
    <n v="294845"/>
    <m/>
    <m/>
    <n v="757782"/>
    <n v="803574"/>
    <n v="371833"/>
    <n v="371776"/>
    <n v="783058"/>
    <n v="669019"/>
    <n v="1912673"/>
    <n v="2125.1922222222224"/>
    <n v="1844369"/>
    <n v="2049.298888888889"/>
    <n v="755"/>
    <n v="510"/>
    <n v="1912673"/>
    <n v="1844369"/>
  </r>
  <r>
    <x v="3"/>
    <s v="Florida SouthWestern State College"/>
    <m/>
    <n v="133508"/>
    <x v="11"/>
    <s v="sem"/>
    <s v="sem"/>
    <m/>
    <m/>
    <n v="122556"/>
    <n v="124821"/>
    <n v="46091"/>
    <n v="43376"/>
    <n v="129117"/>
    <n v="138212"/>
    <n v="297764"/>
    <n v="9925.4666666666672"/>
    <n v="306409"/>
    <n v="10213.633333333333"/>
    <n v="26983"/>
    <n v="38559"/>
    <n v="297764"/>
    <n v="306409"/>
    <m/>
    <m/>
    <n v="6090"/>
    <n v="3570"/>
    <n v="9918"/>
    <n v="7380"/>
    <n v="3840"/>
    <n v="3600"/>
    <n v="19848"/>
    <n v="22.053333333333335"/>
    <n v="14550"/>
    <n v="16.166666666666668"/>
    <n v="0"/>
    <n v="0"/>
    <n v="19848"/>
    <n v="14550"/>
  </r>
  <r>
    <x v="3"/>
    <s v="Florida State College at Jacksonville"/>
    <m/>
    <n v="133702"/>
    <x v="11"/>
    <s v="sem"/>
    <s v="sem"/>
    <m/>
    <m/>
    <n v="227819"/>
    <n v="216565"/>
    <n v="111535"/>
    <n v="115792"/>
    <n v="221080"/>
    <n v="214555"/>
    <n v="560434"/>
    <n v="18681.133333333335"/>
    <n v="546912"/>
    <n v="18230.400000000001"/>
    <n v="35054"/>
    <n v="34852"/>
    <n v="560434"/>
    <n v="546912"/>
    <m/>
    <m/>
    <n v="721394"/>
    <n v="636537"/>
    <n v="425924"/>
    <n v="503133"/>
    <n v="733308"/>
    <n v="514381"/>
    <n v="1880626"/>
    <n v="2089.5844444444447"/>
    <n v="1654051"/>
    <n v="1837.8344444444444"/>
    <n v="13504"/>
    <n v="8042"/>
    <n v="1880626"/>
    <n v="1654051"/>
  </r>
  <r>
    <x v="3"/>
    <s v="Gulf Coast State College "/>
    <m/>
    <n v="134343"/>
    <x v="11"/>
    <s v="sem"/>
    <s v="sem"/>
    <m/>
    <m/>
    <n v="52499"/>
    <n v="48288"/>
    <n v="13477"/>
    <n v="13709"/>
    <n v="53685"/>
    <n v="50913"/>
    <n v="119661"/>
    <n v="3988.7"/>
    <n v="112910"/>
    <n v="3763.6666666666665"/>
    <n v="13203"/>
    <n v="13881"/>
    <n v="119661"/>
    <n v="112910"/>
    <m/>
    <m/>
    <n v="56225"/>
    <n v="54022"/>
    <n v="34706"/>
    <n v="39604"/>
    <n v="38596"/>
    <n v="48809"/>
    <n v="129527"/>
    <n v="143.91888888888889"/>
    <n v="142435"/>
    <n v="158.26111111111112"/>
    <n v="0"/>
    <n v="0"/>
    <n v="129527"/>
    <n v="142435"/>
  </r>
  <r>
    <x v="3"/>
    <s v="Indian River State College "/>
    <m/>
    <n v="134608"/>
    <x v="11"/>
    <s v="sem"/>
    <s v="sem"/>
    <m/>
    <m/>
    <n v="129720"/>
    <n v="132017"/>
    <n v="56608"/>
    <n v="62131"/>
    <n v="143840"/>
    <n v="146582"/>
    <n v="330168"/>
    <n v="11005.6"/>
    <n v="340730"/>
    <n v="11357.666666666666"/>
    <n v="47208"/>
    <n v="55499"/>
    <n v="330168"/>
    <n v="340730"/>
    <m/>
    <m/>
    <n v="696028"/>
    <n v="731271"/>
    <n v="504941"/>
    <n v="541249"/>
    <n v="775836"/>
    <n v="764207"/>
    <n v="1976805"/>
    <n v="2196.4499999999998"/>
    <n v="2036727"/>
    <n v="2263.0300000000002"/>
    <n v="16957"/>
    <n v="19307"/>
    <n v="1976805"/>
    <n v="2036727"/>
  </r>
  <r>
    <x v="3"/>
    <s v="Miami Dade College "/>
    <m/>
    <n v="135717"/>
    <x v="11"/>
    <s v="sem"/>
    <s v="sem"/>
    <m/>
    <m/>
    <n v="612247"/>
    <n v="593082"/>
    <n v="263505"/>
    <n v="259832"/>
    <n v="637903"/>
    <n v="603926"/>
    <n v="1513655"/>
    <n v="50455.166666666664"/>
    <n v="1456840"/>
    <n v="48561.333333333336"/>
    <n v="43212"/>
    <n v="42954"/>
    <n v="1513655"/>
    <n v="1456840"/>
    <m/>
    <m/>
    <n v="1036635"/>
    <n v="1286127"/>
    <n v="972658"/>
    <n v="1112401"/>
    <n v="1280836"/>
    <n v="1265353"/>
    <n v="3290129"/>
    <n v="3655.6988888888891"/>
    <n v="3663881"/>
    <n v="4070.9788888888888"/>
    <n v="0"/>
    <n v="0"/>
    <n v="3290129"/>
    <n v="3663881"/>
  </r>
  <r>
    <x v="3"/>
    <s v="Northwest Florida State College"/>
    <m/>
    <n v="136233"/>
    <x v="11"/>
    <s v="sem"/>
    <s v="sem"/>
    <m/>
    <m/>
    <n v="56201"/>
    <n v="54351"/>
    <n v="21869"/>
    <n v="22853"/>
    <n v="57535"/>
    <n v="50987"/>
    <n v="135605"/>
    <n v="4520.166666666667"/>
    <n v="128191"/>
    <n v="4273.0333333333338"/>
    <n v="10819"/>
    <n v="12354"/>
    <n v="135605"/>
    <n v="128191"/>
    <m/>
    <m/>
    <n v="89855"/>
    <n v="135077"/>
    <n v="38869"/>
    <n v="51528"/>
    <n v="119579"/>
    <n v="117697"/>
    <n v="248303"/>
    <n v="275.89222222222224"/>
    <n v="304302"/>
    <n v="338.11333333333334"/>
    <n v="0"/>
    <n v="0"/>
    <n v="248303"/>
    <n v="304302"/>
  </r>
  <r>
    <x v="3"/>
    <s v="Palm Beach State College "/>
    <m/>
    <n v="136358"/>
    <x v="11"/>
    <s v="sem"/>
    <s v="sem"/>
    <m/>
    <m/>
    <n v="227944"/>
    <n v="222195"/>
    <n v="91490"/>
    <n v="95699"/>
    <n v="240298"/>
    <n v="241752"/>
    <n v="559732"/>
    <n v="18657.733333333334"/>
    <n v="559646"/>
    <n v="18654.866666666665"/>
    <n v="24074"/>
    <n v="23176"/>
    <n v="559732"/>
    <n v="559646"/>
    <m/>
    <m/>
    <n v="542660"/>
    <n v="516465"/>
    <n v="305288"/>
    <n v="284670"/>
    <n v="546377"/>
    <n v="526949"/>
    <n v="1394325"/>
    <n v="1549.25"/>
    <n v="1328084"/>
    <n v="1475.6488888888889"/>
    <n v="3600"/>
    <n v="0"/>
    <n v="1394325"/>
    <n v="1328084"/>
  </r>
  <r>
    <x v="3"/>
    <s v="Pensacola State College "/>
    <m/>
    <n v="136473"/>
    <x v="11"/>
    <s v="sem"/>
    <s v="sem"/>
    <m/>
    <m/>
    <n v="91131"/>
    <n v="81860"/>
    <n v="32960"/>
    <n v="30511"/>
    <n v="89414"/>
    <n v="81997"/>
    <n v="213505"/>
    <n v="7116.833333333333"/>
    <n v="194368"/>
    <n v="6478.9333333333334"/>
    <n v="25150"/>
    <n v="22935"/>
    <n v="213505"/>
    <n v="194368"/>
    <m/>
    <m/>
    <n v="288565"/>
    <n v="297005"/>
    <n v="168161"/>
    <n v="156156"/>
    <n v="293760"/>
    <n v="286915"/>
    <n v="750486"/>
    <n v="833.87333333333333"/>
    <n v="740076"/>
    <n v="822.30666666666662"/>
    <n v="300"/>
    <n v="0"/>
    <n v="750486"/>
    <n v="740076"/>
  </r>
  <r>
    <x v="3"/>
    <s v="Polk State College "/>
    <m/>
    <n v="136516"/>
    <x v="11"/>
    <s v="sem"/>
    <s v="sem"/>
    <m/>
    <m/>
    <n v="98120"/>
    <n v="91347"/>
    <n v="33025"/>
    <n v="31414"/>
    <n v="98063"/>
    <n v="93794"/>
    <n v="229208"/>
    <n v="7640.2666666666664"/>
    <n v="216555"/>
    <n v="7218.5"/>
    <n v="33207"/>
    <n v="34600"/>
    <n v="229208"/>
    <n v="216555"/>
    <m/>
    <m/>
    <n v="26422"/>
    <n v="33882"/>
    <n v="13456"/>
    <n v="22002"/>
    <n v="29228"/>
    <n v="26050"/>
    <n v="69106"/>
    <n v="76.784444444444446"/>
    <n v="81934"/>
    <n v="91.037777777777777"/>
    <n v="0"/>
    <n v="0"/>
    <n v="69106"/>
    <n v="81934"/>
  </r>
  <r>
    <x v="3"/>
    <s v="Santa Fe College "/>
    <m/>
    <n v="137096"/>
    <x v="11"/>
    <s v="sem"/>
    <s v="sem"/>
    <m/>
    <m/>
    <n v="128541"/>
    <n v="124028"/>
    <n v="54761"/>
    <n v="53581"/>
    <n v="139935"/>
    <n v="135101"/>
    <n v="323237"/>
    <n v="10774.566666666668"/>
    <n v="312710"/>
    <n v="10423.666666666666"/>
    <n v="15690"/>
    <n v="15516"/>
    <n v="323237"/>
    <n v="312710"/>
    <m/>
    <m/>
    <n v="198498"/>
    <n v="199512"/>
    <n v="144360"/>
    <n v="142883"/>
    <n v="206828"/>
    <n v="267081"/>
    <n v="549686"/>
    <n v="610.76222222222225"/>
    <n v="609476"/>
    <n v="677.19555555555553"/>
    <n v="3126"/>
    <n v="3666"/>
    <n v="549686"/>
    <n v="609476"/>
  </r>
  <r>
    <x v="3"/>
    <s v="Seminole State College of Florida"/>
    <m/>
    <n v="137209"/>
    <x v="11"/>
    <s v="sem"/>
    <s v="sem"/>
    <m/>
    <m/>
    <n v="148690"/>
    <n v="140599"/>
    <n v="58806"/>
    <n v="57678"/>
    <n v="156106"/>
    <n v="147834"/>
    <n v="363602"/>
    <n v="12120.066666666668"/>
    <n v="346111"/>
    <n v="11537.033333333333"/>
    <n v="9386"/>
    <n v="10613"/>
    <n v="363602"/>
    <n v="346111"/>
    <m/>
    <m/>
    <n v="480552"/>
    <n v="459501"/>
    <n v="296919"/>
    <n v="284434"/>
    <n v="485720"/>
    <n v="476727"/>
    <n v="1263191"/>
    <n v="1403.5455555555557"/>
    <n v="1220662"/>
    <n v="1356.2911111111111"/>
    <n v="6840"/>
    <n v="4013"/>
    <n v="1263191"/>
    <n v="1220662"/>
  </r>
  <r>
    <x v="3"/>
    <s v="St. Johns River State College "/>
    <m/>
    <n v="137281"/>
    <x v="11"/>
    <s v="sem"/>
    <s v="sem"/>
    <m/>
    <m/>
    <n v="56125"/>
    <n v="55459"/>
    <n v="20894"/>
    <n v="20424"/>
    <n v="59344"/>
    <n v="58232"/>
    <n v="136363"/>
    <n v="4545.4333333333334"/>
    <n v="134115"/>
    <n v="4470.5"/>
    <n v="20198"/>
    <n v="22539"/>
    <n v="136363"/>
    <n v="134115"/>
    <m/>
    <m/>
    <n v="71582"/>
    <n v="80088"/>
    <n v="43779"/>
    <n v="38340"/>
    <n v="105666"/>
    <n v="75728"/>
    <n v="221027"/>
    <n v="245.58555555555554"/>
    <n v="194156"/>
    <n v="215.72888888888889"/>
    <n v="0"/>
    <n v="0"/>
    <n v="221027"/>
    <n v="194156"/>
  </r>
  <r>
    <x v="3"/>
    <s v="St. Petersburg College "/>
    <m/>
    <n v="137078"/>
    <x v="11"/>
    <s v="sem"/>
    <s v="sem"/>
    <m/>
    <m/>
    <n v="256407"/>
    <n v="259243"/>
    <n v="87945"/>
    <n v="87666"/>
    <n v="272956"/>
    <n v="263336"/>
    <n v="617308"/>
    <n v="20576.933333333334"/>
    <n v="610245"/>
    <n v="20341.5"/>
    <n v="38713"/>
    <n v="37922"/>
    <n v="617308"/>
    <n v="610245"/>
    <m/>
    <m/>
    <n v="68235"/>
    <n v="63812"/>
    <n v="30004"/>
    <n v="27956"/>
    <n v="79782"/>
    <n v="50394"/>
    <n v="178021"/>
    <n v="197.80111111111111"/>
    <n v="142162"/>
    <n v="157.95777777777778"/>
    <n v="0"/>
    <n v="0"/>
    <n v="178021"/>
    <n v="142162"/>
  </r>
  <r>
    <x v="3"/>
    <s v="State College of Florida, Manatee-Sarasota"/>
    <m/>
    <n v="135391"/>
    <x v="11"/>
    <s v="sem"/>
    <s v="sem"/>
    <m/>
    <m/>
    <n v="94765"/>
    <n v="94868"/>
    <n v="30275"/>
    <n v="29945"/>
    <n v="101317"/>
    <n v="99308"/>
    <n v="226357"/>
    <n v="7545.2333333333336"/>
    <n v="224121"/>
    <n v="7470.7"/>
    <n v="19071"/>
    <n v="22271"/>
    <n v="226357"/>
    <n v="224121"/>
    <m/>
    <m/>
    <n v="0"/>
    <n v="0"/>
    <n v="0"/>
    <n v="0"/>
    <n v="0"/>
    <n v="0"/>
    <n v="0"/>
    <n v="0"/>
    <n v="0"/>
    <n v="0"/>
    <n v="0"/>
    <n v="0"/>
    <n v="0"/>
    <n v="0"/>
  </r>
  <r>
    <x v="3"/>
    <s v="College of Central Florida"/>
    <s v="Reclassified: Met the criteria for Two-Year with Bachelor's in 2013-14, 2014-15, and 2015-16."/>
    <n v="132851"/>
    <x v="11"/>
    <s v="sem"/>
    <s v="sem"/>
    <m/>
    <m/>
    <n v="69938"/>
    <n v="71601"/>
    <n v="23187"/>
    <n v="23846"/>
    <n v="72954"/>
    <n v="67274"/>
    <n v="166079"/>
    <n v="5535.9666666666662"/>
    <n v="162721"/>
    <n v="5424.0333333333338"/>
    <n v="14897"/>
    <n v="16442"/>
    <n v="166079"/>
    <n v="162721"/>
    <m/>
    <m/>
    <n v="73277"/>
    <n v="68992"/>
    <n v="44293"/>
    <n v="35499"/>
    <n v="59116"/>
    <n v="80553"/>
    <n v="176686"/>
    <n v="196.31777777777779"/>
    <n v="185044"/>
    <n v="205.60444444444445"/>
    <n v="2820"/>
    <n v="5310"/>
    <n v="176686"/>
    <n v="185044"/>
  </r>
  <r>
    <x v="3"/>
    <s v="Eastern Florida State College"/>
    <s v="Met the criteria for Two-Year with Bachelor's in 2015-16. "/>
    <n v="132693"/>
    <x v="7"/>
    <s v="sem"/>
    <s v="sem"/>
    <m/>
    <m/>
    <n v="133258"/>
    <n v="126412"/>
    <n v="46701"/>
    <n v="42722"/>
    <n v="136976"/>
    <n v="135242"/>
    <n v="316935"/>
    <n v="10564.5"/>
    <n v="304376"/>
    <n v="10145.866666666667"/>
    <n v="53200"/>
    <n v="49607"/>
    <n v="316935"/>
    <n v="304376"/>
    <m/>
    <m/>
    <n v="255828"/>
    <n v="280902"/>
    <n v="63134"/>
    <n v="34806"/>
    <n v="347115"/>
    <n v="157443"/>
    <n v="666077"/>
    <n v="740.08555555555552"/>
    <n v="473151"/>
    <n v="525.72333333333336"/>
    <n v="58233"/>
    <n v="37522"/>
    <n v="666077"/>
    <n v="473151"/>
  </r>
  <r>
    <x v="3"/>
    <s v="Hillsborough Community College "/>
    <m/>
    <n v="134495"/>
    <x v="7"/>
    <s v="sem"/>
    <s v="sem"/>
    <m/>
    <m/>
    <n v="232883"/>
    <n v="230530"/>
    <n v="82337"/>
    <n v="82496"/>
    <n v="243820"/>
    <n v="238404"/>
    <n v="559040"/>
    <n v="18634.666666666668"/>
    <n v="551430"/>
    <n v="18381"/>
    <n v="24491"/>
    <n v="29835"/>
    <n v="559040"/>
    <n v="551430"/>
    <m/>
    <m/>
    <n v="652925"/>
    <n v="739004"/>
    <n v="159530"/>
    <n v="143088"/>
    <n v="727808"/>
    <n v="807136"/>
    <n v="1540263"/>
    <n v="1711.4033333333334"/>
    <n v="1689228"/>
    <n v="1876.92"/>
    <n v="0"/>
    <n v="0"/>
    <n v="1540263"/>
    <n v="1689228"/>
  </r>
  <r>
    <x v="3"/>
    <s v="Pasco-Hernando State College "/>
    <m/>
    <n v="136400"/>
    <x v="7"/>
    <s v="sem"/>
    <s v="sem"/>
    <m/>
    <m/>
    <n v="86294"/>
    <n v="93520"/>
    <n v="26116"/>
    <n v="28196"/>
    <n v="100757"/>
    <n v="100624"/>
    <n v="213167"/>
    <n v="7105.5666666666666"/>
    <n v="222340"/>
    <n v="7411.333333333333"/>
    <n v="21267"/>
    <n v="23423"/>
    <n v="213167"/>
    <n v="222340"/>
    <m/>
    <m/>
    <n v="139631"/>
    <n v="167173"/>
    <n v="72383"/>
    <n v="80330"/>
    <n v="127716"/>
    <n v="132546"/>
    <n v="339730"/>
    <n v="377.47777777777776"/>
    <n v="380049"/>
    <n v="422.27666666666664"/>
    <n v="90"/>
    <n v="445"/>
    <n v="339730"/>
    <n v="380049"/>
  </r>
  <r>
    <x v="3"/>
    <s v="Tallahassee Community College "/>
    <m/>
    <n v="137759"/>
    <x v="7"/>
    <s v="sem"/>
    <s v="sem"/>
    <m/>
    <m/>
    <n v="112724"/>
    <n v="108414"/>
    <n v="49783"/>
    <n v="45031"/>
    <n v="123546"/>
    <n v="117184"/>
    <n v="286053"/>
    <n v="9535.1"/>
    <n v="270629"/>
    <n v="9020.9666666666672"/>
    <n v="7028"/>
    <n v="6545"/>
    <n v="286053"/>
    <n v="270629"/>
    <m/>
    <m/>
    <n v="180639"/>
    <n v="134840"/>
    <n v="32052"/>
    <n v="43398"/>
    <n v="162652"/>
    <n v="141124"/>
    <n v="375343"/>
    <n v="417.04777777777775"/>
    <n v="319362"/>
    <n v="354.84666666666669"/>
    <n v="0"/>
    <n v="0"/>
    <n v="375343"/>
    <n v="319362"/>
  </r>
  <r>
    <x v="3"/>
    <s v="Valencia College "/>
    <s v="Reclassified: Met the criteria for Two-Year with Bachelor's in 2013-14, 2014-15, and 2015-16."/>
    <n v="138187"/>
    <x v="11"/>
    <s v="sem"/>
    <s v="sem"/>
    <m/>
    <m/>
    <n v="348545"/>
    <n v="351731"/>
    <n v="157519"/>
    <n v="156432"/>
    <n v="383334"/>
    <n v="386381"/>
    <n v="889398"/>
    <n v="29646.6"/>
    <n v="894544"/>
    <n v="29818.133333333335"/>
    <n v="34125"/>
    <n v="38054"/>
    <n v="889398"/>
    <n v="894544"/>
    <m/>
    <m/>
    <n v="137435"/>
    <n v="125458"/>
    <n v="55834"/>
    <n v="66883"/>
    <n v="51221"/>
    <n v="69339"/>
    <n v="244490"/>
    <n v="271.65555555555557"/>
    <n v="261680"/>
    <n v="290.75555555555553"/>
    <n v="0"/>
    <n v="0"/>
    <n v="244490"/>
    <n v="261680"/>
  </r>
  <r>
    <x v="3"/>
    <s v="Florida Gateway College"/>
    <s v="Met the criteria for Two-Year with Bachelor's in 2014-15 and 2015-16."/>
    <n v="135160"/>
    <x v="6"/>
    <s v="sem"/>
    <s v="sem"/>
    <m/>
    <m/>
    <n v="22510"/>
    <n v="20165"/>
    <n v="8554"/>
    <n v="8312"/>
    <n v="22328"/>
    <n v="21586"/>
    <n v="53392"/>
    <n v="1779.7333333333333"/>
    <n v="50063"/>
    <n v="1668.7666666666667"/>
    <n v="11606"/>
    <n v="13042"/>
    <n v="53392"/>
    <n v="50063"/>
    <m/>
    <m/>
    <n v="69944"/>
    <n v="81314"/>
    <n v="53104"/>
    <n v="53049"/>
    <n v="88126"/>
    <n v="94578"/>
    <n v="211174"/>
    <n v="234.63777777777779"/>
    <n v="228941"/>
    <n v="254.37888888888889"/>
    <n v="8795"/>
    <n v="12417"/>
    <n v="211174"/>
    <n v="228941"/>
  </r>
  <r>
    <x v="3"/>
    <s v="Lake-Sumter State College "/>
    <s v="Met the criteria for Two-Year with Bachelor's in 2015-16. "/>
    <n v="135188"/>
    <x v="6"/>
    <s v="sem"/>
    <s v="sem"/>
    <m/>
    <m/>
    <n v="34405"/>
    <n v="34488"/>
    <n v="11630"/>
    <n v="12581"/>
    <n v="37474"/>
    <n v="38919"/>
    <n v="83509"/>
    <n v="2783.6333333333332"/>
    <n v="85988"/>
    <n v="2866.2666666666669"/>
    <n v="8037"/>
    <n v="9386"/>
    <n v="83509"/>
    <n v="85988"/>
    <m/>
    <m/>
    <n v="972"/>
    <n v="904"/>
    <n v="0"/>
    <n v="0"/>
    <n v="750"/>
    <n v="634"/>
    <n v="1722"/>
    <n v="1.9133333333333333"/>
    <n v="1538"/>
    <n v="1.7088888888888889"/>
    <n v="0"/>
    <n v="0"/>
    <n v="1722"/>
    <n v="1538"/>
  </r>
  <r>
    <x v="3"/>
    <s v="South Florida State College "/>
    <s v="Met the criteria for Two-Year with Bachelor's in 2015-16. "/>
    <n v="137315"/>
    <x v="6"/>
    <s v="sem"/>
    <s v="sem"/>
    <m/>
    <m/>
    <n v="18877"/>
    <n v="19280"/>
    <n v="6158"/>
    <n v="5827"/>
    <n v="21664"/>
    <n v="20766"/>
    <n v="46699"/>
    <n v="1556.6333333333334"/>
    <n v="45873"/>
    <n v="1529.1"/>
    <n v="5632"/>
    <n v="5961"/>
    <n v="46699"/>
    <n v="45873"/>
    <m/>
    <m/>
    <n v="233510"/>
    <n v="231671"/>
    <n v="109386"/>
    <n v="104101"/>
    <n v="277688"/>
    <n v="272714"/>
    <n v="620584"/>
    <n v="689.53777777777782"/>
    <n v="608486"/>
    <n v="676.09555555555551"/>
    <n v="59201"/>
    <n v="59870"/>
    <n v="620584"/>
    <n v="608486"/>
  </r>
  <r>
    <x v="3"/>
    <s v="Florida Keys Community College "/>
    <m/>
    <n v="133960"/>
    <x v="8"/>
    <s v="sem"/>
    <s v="sem"/>
    <m/>
    <m/>
    <n v="8930"/>
    <n v="8179"/>
    <n v="2890"/>
    <n v="2984"/>
    <n v="9193"/>
    <n v="9083"/>
    <n v="21013"/>
    <n v="700.43333333333328"/>
    <n v="20246"/>
    <n v="674.86666666666667"/>
    <n v="1268"/>
    <n v="1296"/>
    <n v="21013"/>
    <n v="20246"/>
    <m/>
    <m/>
    <n v="5880"/>
    <n v="12642"/>
    <n v="5279"/>
    <n v="6406"/>
    <n v="10355"/>
    <n v="15156"/>
    <n v="21514"/>
    <n v="23.904444444444444"/>
    <n v="34204"/>
    <n v="38.004444444444445"/>
    <n v="0"/>
    <n v="0"/>
    <n v="21514"/>
    <n v="34204"/>
  </r>
  <r>
    <x v="3"/>
    <s v="North Florida Community College "/>
    <m/>
    <n v="136145"/>
    <x v="8"/>
    <s v="sem"/>
    <s v="sem"/>
    <m/>
    <m/>
    <n v="8398"/>
    <n v="8579"/>
    <n v="2795"/>
    <n v="3067"/>
    <n v="10084"/>
    <n v="9358"/>
    <n v="21277"/>
    <n v="709.23333333333335"/>
    <n v="21004"/>
    <n v="700.13333333333333"/>
    <n v="4292"/>
    <n v="4984"/>
    <n v="21277"/>
    <n v="21004"/>
    <m/>
    <m/>
    <n v="39520"/>
    <n v="41802"/>
    <n v="14385"/>
    <n v="14160"/>
    <n v="28734"/>
    <n v="50642"/>
    <n v="82639"/>
    <n v="91.821111111111108"/>
    <n v="106604"/>
    <n v="118.44888888888889"/>
    <n v="0"/>
    <n v="0"/>
    <n v="82639"/>
    <n v="106604"/>
  </r>
  <r>
    <x v="4"/>
    <s v="Georgia State University "/>
    <m/>
    <n v="139940"/>
    <x v="0"/>
    <s v="sem"/>
    <s v="sem"/>
    <m/>
    <m/>
    <n v="287654.5"/>
    <n v="289080.5"/>
    <n v="66425"/>
    <n v="67683"/>
    <n v="311306.5"/>
    <n v="310230.5"/>
    <n v="665386"/>
    <n v="22179.533333333333"/>
    <n v="666994"/>
    <n v="22233.133333333335"/>
    <n v="2676"/>
    <n v="3088"/>
    <n v="665386"/>
    <n v="666994"/>
    <m/>
    <m/>
    <m/>
    <m/>
    <m/>
    <m/>
    <m/>
    <m/>
    <n v="0"/>
    <n v="0"/>
    <n v="0"/>
    <n v="0"/>
    <m/>
    <m/>
    <n v="0"/>
    <n v="0"/>
  </r>
  <r>
    <x v="4"/>
    <s v="University of Georgia"/>
    <m/>
    <n v="139959"/>
    <x v="0"/>
    <s v="sem"/>
    <s v="sem"/>
    <m/>
    <m/>
    <n v="344464.5"/>
    <n v="354588.5"/>
    <n v="50672"/>
    <n v="54676"/>
    <n v="365947"/>
    <n v="365990"/>
    <n v="761083.5"/>
    <n v="25369.45"/>
    <n v="775254.5"/>
    <n v="25841.816666666666"/>
    <n v="523"/>
    <n v="512"/>
    <n v="761083.5"/>
    <n v="775254.5"/>
    <m/>
    <m/>
    <m/>
    <m/>
    <m/>
    <m/>
    <m/>
    <m/>
    <n v="0"/>
    <n v="0"/>
    <n v="0"/>
    <n v="0"/>
    <m/>
    <m/>
    <n v="0"/>
    <n v="0"/>
  </r>
  <r>
    <x v="4"/>
    <s v="Georgia Institute of Technology"/>
    <m/>
    <n v="139755"/>
    <x v="1"/>
    <s v="sem"/>
    <s v="sem"/>
    <m/>
    <m/>
    <n v="184907"/>
    <n v="185478.33"/>
    <n v="43398"/>
    <n v="43114"/>
    <n v="200546"/>
    <n v="205026.66"/>
    <n v="428851"/>
    <n v="14295.033333333333"/>
    <n v="433618.99"/>
    <n v="14453.966333333334"/>
    <n v="3198"/>
    <n v="3637"/>
    <n v="428851"/>
    <n v="433618.99"/>
    <m/>
    <m/>
    <m/>
    <m/>
    <m/>
    <m/>
    <m/>
    <m/>
    <n v="0"/>
    <n v="0"/>
    <n v="0"/>
    <n v="0"/>
    <m/>
    <m/>
    <n v="0"/>
    <n v="0"/>
  </r>
  <r>
    <x v="4"/>
    <s v="Georgia Southern University"/>
    <m/>
    <n v="139931"/>
    <x v="2"/>
    <s v="sem"/>
    <s v="sem"/>
    <m/>
    <m/>
    <n v="219069"/>
    <n v="218486"/>
    <n v="57381"/>
    <n v="57466"/>
    <n v="237835"/>
    <n v="238084"/>
    <n v="514285"/>
    <n v="17142.833333333332"/>
    <n v="514036"/>
    <n v="17134.533333333333"/>
    <n v="2238"/>
    <n v="2946"/>
    <n v="514285"/>
    <n v="514036"/>
    <m/>
    <m/>
    <m/>
    <m/>
    <m/>
    <m/>
    <m/>
    <m/>
    <n v="0"/>
    <n v="0"/>
    <n v="0"/>
    <n v="0"/>
    <m/>
    <m/>
    <n v="0"/>
    <n v="0"/>
  </r>
  <r>
    <x v="4"/>
    <s v="Kennesaw State University"/>
    <m/>
    <n v="140164"/>
    <x v="2"/>
    <s v="sem"/>
    <s v="sem"/>
    <m/>
    <m/>
    <n v="322936"/>
    <n v="338269"/>
    <n v="75000"/>
    <n v="78439"/>
    <n v="315470"/>
    <n v="371171"/>
    <n v="713406"/>
    <n v="23780.2"/>
    <n v="787879"/>
    <n v="26262.633333333335"/>
    <n v="6504"/>
    <n v="7615"/>
    <n v="713406"/>
    <n v="787879"/>
    <m/>
    <m/>
    <m/>
    <m/>
    <m/>
    <m/>
    <m/>
    <m/>
    <n v="0"/>
    <n v="0"/>
    <n v="0"/>
    <n v="0"/>
    <m/>
    <m/>
    <n v="0"/>
    <n v="0"/>
  </r>
  <r>
    <x v="4"/>
    <s v="University of West Georgia"/>
    <m/>
    <n v="141334"/>
    <x v="2"/>
    <s v="sem"/>
    <s v="sem"/>
    <m/>
    <m/>
    <n v="120604"/>
    <n v="122644"/>
    <n v="23321"/>
    <n v="24552"/>
    <n v="133141"/>
    <n v="139253"/>
    <n v="277066"/>
    <n v="9235.5333333333328"/>
    <n v="286449"/>
    <n v="9548.2999999999993"/>
    <n v="3126"/>
    <n v="4895"/>
    <n v="277066"/>
    <n v="286449"/>
    <m/>
    <m/>
    <m/>
    <m/>
    <m/>
    <m/>
    <m/>
    <m/>
    <n v="0"/>
    <n v="0"/>
    <n v="0"/>
    <n v="0"/>
    <m/>
    <m/>
    <n v="0"/>
    <n v="0"/>
  </r>
  <r>
    <x v="4"/>
    <s v="Valdosta State University "/>
    <m/>
    <n v="141264"/>
    <x v="2"/>
    <s v="sem"/>
    <s v="sem"/>
    <m/>
    <m/>
    <n v="118336"/>
    <n v="111907"/>
    <n v="21026"/>
    <n v="21211"/>
    <n v="120106"/>
    <n v="112712"/>
    <n v="259468"/>
    <n v="8648.9333333333325"/>
    <n v="245830"/>
    <n v="8194.3333333333339"/>
    <n v="384"/>
    <n v="529"/>
    <n v="259468"/>
    <n v="245830"/>
    <m/>
    <m/>
    <m/>
    <m/>
    <m/>
    <m/>
    <m/>
    <m/>
    <n v="0"/>
    <n v="0"/>
    <n v="0"/>
    <n v="0"/>
    <m/>
    <m/>
    <n v="0"/>
    <n v="0"/>
  </r>
  <r>
    <x v="4"/>
    <s v="Albany State University "/>
    <m/>
    <n v="138716"/>
    <x v="3"/>
    <s v="sem"/>
    <s v="sem"/>
    <m/>
    <m/>
    <n v="42487"/>
    <n v="39934"/>
    <n v="7125"/>
    <n v="6486"/>
    <n v="43030"/>
    <n v="39613"/>
    <n v="92642"/>
    <n v="3088.0666666666666"/>
    <n v="86033"/>
    <n v="2867.7666666666669"/>
    <n v="532"/>
    <n v="527"/>
    <n v="92642"/>
    <n v="86033"/>
    <m/>
    <m/>
    <m/>
    <m/>
    <m/>
    <m/>
    <m/>
    <m/>
    <n v="0"/>
    <n v="0"/>
    <n v="0"/>
    <n v="0"/>
    <m/>
    <m/>
    <n v="0"/>
    <n v="0"/>
  </r>
  <r>
    <x v="4"/>
    <s v="Armstrong State University"/>
    <m/>
    <n v="138789"/>
    <x v="3"/>
    <s v="sem"/>
    <s v="sem"/>
    <m/>
    <m/>
    <n v="72571"/>
    <n v="71814"/>
    <n v="17843"/>
    <n v="16602"/>
    <n v="77544"/>
    <n v="77062"/>
    <n v="167958"/>
    <n v="5598.6"/>
    <n v="165478"/>
    <n v="5515.9333333333334"/>
    <n v="872"/>
    <n v="843"/>
    <n v="167958"/>
    <n v="165478"/>
    <m/>
    <m/>
    <m/>
    <m/>
    <m/>
    <m/>
    <m/>
    <m/>
    <n v="0"/>
    <n v="0"/>
    <n v="0"/>
    <n v="0"/>
    <m/>
    <m/>
    <n v="0"/>
    <n v="0"/>
  </r>
  <r>
    <x v="4"/>
    <s v="Clayton State University"/>
    <m/>
    <n v="139311"/>
    <x v="3"/>
    <s v="sem"/>
    <s v="sem"/>
    <m/>
    <m/>
    <n v="70450"/>
    <n v="67632"/>
    <n v="17863"/>
    <n v="16106"/>
    <n v="70461"/>
    <n v="70234"/>
    <n v="158774"/>
    <n v="5292.4666666666662"/>
    <n v="153972"/>
    <n v="5132.3999999999996"/>
    <n v="7214"/>
    <n v="8272"/>
    <n v="158774"/>
    <n v="153972"/>
    <m/>
    <m/>
    <m/>
    <m/>
    <m/>
    <m/>
    <m/>
    <m/>
    <n v="0"/>
    <n v="0"/>
    <n v="0"/>
    <n v="0"/>
    <m/>
    <m/>
    <n v="0"/>
    <n v="0"/>
  </r>
  <r>
    <x v="4"/>
    <s v="Columbus State University"/>
    <s v="Met the criteria for Four-Year 3 in 2015-16."/>
    <n v="139366"/>
    <x v="3"/>
    <s v="sem"/>
    <s v="sem"/>
    <m/>
    <m/>
    <n v="79533"/>
    <n v="78134"/>
    <n v="18330"/>
    <n v="17339"/>
    <n v="82382"/>
    <n v="83882"/>
    <n v="180245"/>
    <n v="6008.166666666667"/>
    <n v="179355"/>
    <n v="5978.5"/>
    <n v="2146"/>
    <n v="2413"/>
    <n v="180245"/>
    <n v="179355"/>
    <m/>
    <m/>
    <m/>
    <m/>
    <m/>
    <m/>
    <m/>
    <m/>
    <n v="0"/>
    <n v="0"/>
    <n v="0"/>
    <n v="0"/>
    <m/>
    <m/>
    <n v="0"/>
    <n v="0"/>
  </r>
  <r>
    <x v="4"/>
    <s v="Georgia College and State University"/>
    <m/>
    <n v="139861"/>
    <x v="3"/>
    <s v="sem"/>
    <s v="sem"/>
    <m/>
    <m/>
    <n v="75752"/>
    <n v="78683.5"/>
    <n v="16081.5"/>
    <n v="16730"/>
    <n v="82811.5"/>
    <n v="84128.5"/>
    <n v="174645"/>
    <n v="5821.5"/>
    <n v="179542"/>
    <n v="5984.7333333333336"/>
    <n v="688"/>
    <n v="835"/>
    <n v="174645"/>
    <n v="179542"/>
    <m/>
    <m/>
    <m/>
    <m/>
    <m/>
    <m/>
    <m/>
    <m/>
    <n v="0"/>
    <n v="0"/>
    <n v="0"/>
    <n v="0"/>
    <m/>
    <m/>
    <n v="0"/>
    <n v="0"/>
  </r>
  <r>
    <x v="4"/>
    <s v="Georgia Regents University"/>
    <m/>
    <n v="482149"/>
    <x v="3"/>
    <s v="sem"/>
    <s v="sem"/>
    <m/>
    <m/>
    <n v="63907"/>
    <n v="60688"/>
    <n v="12966"/>
    <n v="10675"/>
    <n v="67163"/>
    <n v="65189"/>
    <n v="144036"/>
    <n v="4801.2"/>
    <n v="136552"/>
    <n v="4551.7333333333336"/>
    <n v="1268"/>
    <n v="1594"/>
    <n v="144036"/>
    <n v="136552"/>
    <m/>
    <m/>
    <m/>
    <m/>
    <m/>
    <m/>
    <m/>
    <m/>
    <n v="0"/>
    <n v="0"/>
    <n v="0"/>
    <n v="0"/>
    <m/>
    <m/>
    <n v="0"/>
    <n v="0"/>
  </r>
  <r>
    <x v="4"/>
    <s v="University of North Georgia"/>
    <m/>
    <n v="482680"/>
    <x v="3"/>
    <s v="sem"/>
    <s v="sem"/>
    <m/>
    <m/>
    <n v="164003"/>
    <n v="170466"/>
    <n v="31242"/>
    <n v="34179"/>
    <n v="181517"/>
    <n v="197268"/>
    <n v="376762"/>
    <n v="12558.733333333334"/>
    <n v="401913"/>
    <n v="13397.1"/>
    <n v="5548"/>
    <n v="8632"/>
    <n v="376762"/>
    <n v="401913"/>
    <m/>
    <m/>
    <m/>
    <m/>
    <m/>
    <m/>
    <m/>
    <m/>
    <n v="0"/>
    <n v="0"/>
    <n v="0"/>
    <n v="0"/>
    <m/>
    <m/>
    <n v="0"/>
    <n v="0"/>
  </r>
  <r>
    <x v="4"/>
    <s v="Fort Valley State University"/>
    <s v="Reclassified: Met the criteria for Four-Year 4 in 2013-14, 2014-15, and 2015-16."/>
    <n v="139719"/>
    <x v="3"/>
    <s v="sem"/>
    <s v="sem"/>
    <m/>
    <m/>
    <n v="33884"/>
    <n v="28532"/>
    <n v="4746"/>
    <n v="5295"/>
    <n v="30009"/>
    <n v="30970"/>
    <n v="68639"/>
    <n v="2287.9666666666667"/>
    <n v="64797"/>
    <n v="2159.9"/>
    <n v="414"/>
    <n v="461"/>
    <n v="68639"/>
    <n v="64797"/>
    <m/>
    <m/>
    <m/>
    <m/>
    <m/>
    <m/>
    <m/>
    <m/>
    <n v="0"/>
    <n v="0"/>
    <n v="0"/>
    <n v="0"/>
    <m/>
    <m/>
    <n v="0"/>
    <n v="0"/>
  </r>
  <r>
    <x v="4"/>
    <s v="Georgia Southwestern State University"/>
    <s v="Met the criteria for Four-Year 4 in 2015-16."/>
    <n v="139764"/>
    <x v="4"/>
    <s v="sem"/>
    <s v="sem"/>
    <m/>
    <m/>
    <n v="28061"/>
    <n v="26530"/>
    <n v="8460"/>
    <n v="7816"/>
    <n v="29552"/>
    <n v="28529"/>
    <n v="66073"/>
    <n v="2202.4333333333334"/>
    <n v="62875"/>
    <n v="2095.8333333333335"/>
    <n v="401"/>
    <n v="706"/>
    <n v="66073"/>
    <n v="62875"/>
    <m/>
    <m/>
    <m/>
    <m/>
    <m/>
    <m/>
    <m/>
    <m/>
    <n v="0"/>
    <n v="0"/>
    <n v="0"/>
    <n v="0"/>
    <m/>
    <m/>
    <n v="0"/>
    <n v="0"/>
  </r>
  <r>
    <x v="4"/>
    <s v="Savannah State University"/>
    <m/>
    <n v="140960"/>
    <x v="4"/>
    <s v="sem"/>
    <s v="sem"/>
    <m/>
    <m/>
    <n v="60277"/>
    <n v="58201"/>
    <n v="6961"/>
    <n v="6851"/>
    <n v="65038"/>
    <n v="63250"/>
    <n v="132276"/>
    <n v="4409.2"/>
    <n v="128302"/>
    <n v="4276.7333333333336"/>
    <n v="1382"/>
    <n v="1299"/>
    <n v="132276"/>
    <n v="128302"/>
    <m/>
    <m/>
    <m/>
    <m/>
    <m/>
    <m/>
    <m/>
    <m/>
    <n v="0"/>
    <n v="0"/>
    <n v="0"/>
    <n v="0"/>
    <m/>
    <m/>
    <n v="0"/>
    <n v="0"/>
  </r>
  <r>
    <x v="4"/>
    <s v="Dalton State College "/>
    <m/>
    <n v="139463"/>
    <x v="5"/>
    <s v="sem"/>
    <s v="sem"/>
    <m/>
    <m/>
    <n v="48936"/>
    <n v="49654"/>
    <n v="9599"/>
    <n v="9428"/>
    <n v="53232"/>
    <n v="57481"/>
    <n v="111767"/>
    <n v="3725.5666666666666"/>
    <n v="116563"/>
    <n v="3885.4333333333334"/>
    <n v="2164"/>
    <n v="3119"/>
    <n v="111767"/>
    <n v="116563"/>
    <m/>
    <m/>
    <m/>
    <m/>
    <m/>
    <m/>
    <m/>
    <m/>
    <n v="0"/>
    <n v="0"/>
    <n v="0"/>
    <n v="0"/>
    <m/>
    <m/>
    <n v="0"/>
    <n v="0"/>
  </r>
  <r>
    <x v="4"/>
    <s v="Georgia Gwinnett College"/>
    <m/>
    <n v="447689"/>
    <x v="5"/>
    <s v="sem"/>
    <s v="sem"/>
    <m/>
    <m/>
    <n v="115003"/>
    <n v="125461"/>
    <n v="21622"/>
    <n v="22310"/>
    <n v="126718"/>
    <n v="133169"/>
    <n v="263343"/>
    <n v="8778.1"/>
    <n v="280940"/>
    <n v="9364.6666666666661"/>
    <n v="6034"/>
    <n v="6465"/>
    <n v="263343"/>
    <n v="280940"/>
    <m/>
    <m/>
    <m/>
    <m/>
    <m/>
    <m/>
    <m/>
    <m/>
    <n v="0"/>
    <n v="0"/>
    <n v="0"/>
    <n v="0"/>
    <m/>
    <m/>
    <n v="0"/>
    <n v="0"/>
  </r>
  <r>
    <x v="4"/>
    <s v="Middle Georgia State College"/>
    <m/>
    <n v="482158"/>
    <x v="5"/>
    <s v="sem"/>
    <s v="sem"/>
    <m/>
    <m/>
    <n v="84947"/>
    <n v="78770"/>
    <n v="20284"/>
    <n v="19627"/>
    <n v="86803"/>
    <n v="84658"/>
    <n v="192034"/>
    <n v="6401.1333333333332"/>
    <n v="183055"/>
    <n v="6101.833333333333"/>
    <n v="5315"/>
    <n v="5156"/>
    <n v="192034"/>
    <n v="183055"/>
    <m/>
    <m/>
    <m/>
    <m/>
    <m/>
    <m/>
    <m/>
    <m/>
    <n v="0"/>
    <n v="0"/>
    <n v="0"/>
    <n v="0"/>
    <m/>
    <m/>
    <n v="0"/>
    <n v="0"/>
  </r>
  <r>
    <x v="4"/>
    <s v="Abraham Baldwin Agricultural College "/>
    <m/>
    <n v="138558"/>
    <x v="11"/>
    <s v="sem"/>
    <s v="sem"/>
    <m/>
    <m/>
    <n v="35986"/>
    <n v="36783"/>
    <n v="5939"/>
    <n v="5853"/>
    <n v="41804"/>
    <n v="41577"/>
    <n v="83729"/>
    <n v="2790.9666666666667"/>
    <n v="84213"/>
    <n v="2807.1"/>
    <n v="2372"/>
    <n v="2360"/>
    <n v="83729"/>
    <n v="84213"/>
    <m/>
    <m/>
    <m/>
    <m/>
    <m/>
    <m/>
    <m/>
    <m/>
    <n v="0"/>
    <n v="0"/>
    <n v="0"/>
    <n v="0"/>
    <m/>
    <m/>
    <n v="0"/>
    <n v="0"/>
  </r>
  <r>
    <x v="4"/>
    <s v="College of Coastal Georgia "/>
    <s v="Met the criteria for Four-Year 6 in 2014-15 and 2015-16. "/>
    <n v="139250"/>
    <x v="11"/>
    <s v="sem"/>
    <s v="sem"/>
    <m/>
    <m/>
    <n v="30774"/>
    <n v="31585"/>
    <n v="5792"/>
    <n v="6089"/>
    <n v="33960"/>
    <n v="35461"/>
    <n v="70526"/>
    <n v="2350.8666666666668"/>
    <n v="73135"/>
    <n v="2437.8333333333335"/>
    <n v="1783"/>
    <n v="2572"/>
    <n v="70526"/>
    <n v="73135"/>
    <m/>
    <m/>
    <m/>
    <m/>
    <m/>
    <m/>
    <m/>
    <m/>
    <n v="0"/>
    <n v="0"/>
    <n v="0"/>
    <n v="0"/>
    <m/>
    <m/>
    <n v="0"/>
    <n v="0"/>
  </r>
  <r>
    <x v="4"/>
    <s v="Gordon State College "/>
    <s v="Met the criteria for Four-Year 6 in 2015-16. "/>
    <n v="139968"/>
    <x v="11"/>
    <s v="sem"/>
    <s v="sem"/>
    <m/>
    <m/>
    <n v="43739"/>
    <n v="41434"/>
    <n v="5746"/>
    <n v="5449"/>
    <n v="47237"/>
    <n v="47686"/>
    <n v="96722"/>
    <n v="3224.0666666666666"/>
    <n v="94569"/>
    <n v="3152.3"/>
    <n v="2679"/>
    <n v="2696"/>
    <n v="96722"/>
    <n v="94569"/>
    <m/>
    <m/>
    <m/>
    <m/>
    <m/>
    <m/>
    <m/>
    <m/>
    <n v="0"/>
    <n v="0"/>
    <n v="0"/>
    <n v="0"/>
    <m/>
    <m/>
    <n v="0"/>
    <n v="0"/>
  </r>
  <r>
    <x v="4"/>
    <s v="Georgia Perimeter College "/>
    <m/>
    <n v="244437"/>
    <x v="7"/>
    <s v="sem"/>
    <s v="sem"/>
    <m/>
    <m/>
    <n v="195618"/>
    <n v="196273"/>
    <n v="71650"/>
    <n v="70381"/>
    <n v="194073"/>
    <n v="188565"/>
    <n v="461341"/>
    <n v="15378.033333333333"/>
    <n v="455219"/>
    <n v="15173.966666666667"/>
    <n v="15199"/>
    <n v="16133"/>
    <n v="461341"/>
    <n v="455219"/>
    <m/>
    <m/>
    <m/>
    <m/>
    <m/>
    <m/>
    <m/>
    <m/>
    <n v="0"/>
    <n v="0"/>
    <n v="0"/>
    <n v="0"/>
    <m/>
    <m/>
    <n v="0"/>
    <n v="0"/>
  </r>
  <r>
    <x v="4"/>
    <s v="Atlanta Metropolitan State College"/>
    <s v="Met the criteria for Two-Year with Bachelor's in 2014-15 and 2015-16. "/>
    <n v="138901"/>
    <x v="6"/>
    <s v="sem"/>
    <s v="sem"/>
    <m/>
    <m/>
    <n v="30815"/>
    <n v="30181"/>
    <n v="10852"/>
    <n v="9688"/>
    <n v="31521"/>
    <n v="30282"/>
    <n v="73188"/>
    <n v="2439.6"/>
    <n v="70151"/>
    <n v="2338.3666666666668"/>
    <n v="1402"/>
    <n v="2539"/>
    <n v="73188"/>
    <n v="70151"/>
    <m/>
    <m/>
    <m/>
    <m/>
    <m/>
    <m/>
    <m/>
    <m/>
    <n v="0"/>
    <n v="0"/>
    <n v="0"/>
    <n v="0"/>
    <m/>
    <m/>
    <n v="0"/>
    <n v="0"/>
  </r>
  <r>
    <x v="4"/>
    <s v="Bainbridge State College "/>
    <s v="Met the criteria for Two-Year 3 in 2014-15 and 2015-16."/>
    <n v="139010"/>
    <x v="6"/>
    <s v="sem"/>
    <s v="sem"/>
    <m/>
    <m/>
    <n v="24128"/>
    <n v="19564"/>
    <n v="10452"/>
    <n v="7965"/>
    <n v="23414"/>
    <n v="22530"/>
    <n v="57994"/>
    <n v="1933.1333333333334"/>
    <n v="50059"/>
    <n v="1668.6333333333334"/>
    <n v="2294"/>
    <n v="4703"/>
    <n v="57994"/>
    <n v="50059"/>
    <m/>
    <m/>
    <m/>
    <m/>
    <m/>
    <m/>
    <m/>
    <m/>
    <n v="0"/>
    <n v="0"/>
    <n v="0"/>
    <n v="0"/>
    <m/>
    <m/>
    <n v="0"/>
    <n v="0"/>
  </r>
  <r>
    <x v="4"/>
    <s v="Darton State College "/>
    <s v="Met the criteria for Two-Year with Bachelor's in 2014-15 and 2015-16. "/>
    <n v="138691"/>
    <x v="6"/>
    <s v="sem"/>
    <s v="sem"/>
    <m/>
    <m/>
    <n v="54619.5"/>
    <n v="52603"/>
    <n v="20889"/>
    <n v="20341.5"/>
    <n v="58008"/>
    <n v="56129"/>
    <n v="133516.5"/>
    <n v="4450.55"/>
    <n v="129073.5"/>
    <n v="4302.45"/>
    <n v="2342"/>
    <n v="3628"/>
    <n v="133516.5"/>
    <n v="129073.5"/>
    <m/>
    <m/>
    <m/>
    <m/>
    <m/>
    <m/>
    <m/>
    <m/>
    <n v="0"/>
    <n v="0"/>
    <n v="0"/>
    <n v="0"/>
    <m/>
    <m/>
    <n v="0"/>
    <n v="0"/>
  </r>
  <r>
    <x v="4"/>
    <s v="East Georgia State College"/>
    <s v="Met the criteria for Two-Year with Bachelor's in 2014-15 and 2015-16. "/>
    <n v="139621"/>
    <x v="6"/>
    <s v="sem"/>
    <s v="sem"/>
    <m/>
    <m/>
    <n v="30013"/>
    <n v="29894"/>
    <n v="4767"/>
    <n v="5020"/>
    <n v="33941"/>
    <n v="35159"/>
    <n v="68721"/>
    <n v="2290.6999999999998"/>
    <n v="70073"/>
    <n v="2335.7666666666669"/>
    <n v="703"/>
    <n v="981"/>
    <n v="68721"/>
    <n v="70073"/>
    <m/>
    <m/>
    <m/>
    <m/>
    <m/>
    <m/>
    <m/>
    <m/>
    <n v="0"/>
    <n v="0"/>
    <n v="0"/>
    <n v="0"/>
    <m/>
    <m/>
    <n v="0"/>
    <n v="0"/>
  </r>
  <r>
    <x v="4"/>
    <s v="Georgia Highlands College"/>
    <s v="Met the criteria for Two-Year with Bachelor's in 2015-16. "/>
    <n v="139700"/>
    <x v="6"/>
    <s v="sem"/>
    <s v="sem"/>
    <m/>
    <m/>
    <n v="52326"/>
    <n v="51441"/>
    <n v="11576"/>
    <n v="11658"/>
    <n v="54401"/>
    <n v="57851"/>
    <n v="118303"/>
    <n v="3943.4333333333334"/>
    <n v="120950"/>
    <n v="4031.6666666666665"/>
    <n v="1950"/>
    <n v="2855"/>
    <n v="118303"/>
    <n v="120950"/>
    <m/>
    <m/>
    <m/>
    <m/>
    <m/>
    <m/>
    <m/>
    <m/>
    <n v="0"/>
    <n v="0"/>
    <n v="0"/>
    <n v="0"/>
    <m/>
    <m/>
    <n v="0"/>
    <n v="0"/>
  </r>
  <r>
    <x v="4"/>
    <s v="South Georgia State College"/>
    <s v="Met the criteria for Two-Year with Bachelor's in 2014-15 and 2015-16. "/>
    <n v="482699"/>
    <x v="6"/>
    <s v="sem"/>
    <s v="sem"/>
    <m/>
    <m/>
    <n v="26918"/>
    <n v="27784"/>
    <n v="5252"/>
    <n v="4539"/>
    <n v="29799"/>
    <n v="31624"/>
    <n v="61969"/>
    <n v="2065.6333333333332"/>
    <n v="63947"/>
    <n v="2131.5666666666666"/>
    <n v="3421"/>
    <n v="4317"/>
    <n v="61969"/>
    <n v="63947"/>
    <m/>
    <m/>
    <m/>
    <m/>
    <m/>
    <m/>
    <m/>
    <m/>
    <n v="0"/>
    <n v="0"/>
    <n v="0"/>
    <n v="0"/>
    <m/>
    <m/>
    <n v="0"/>
    <n v="0"/>
  </r>
  <r>
    <x v="4"/>
    <s v="Albany Technical College"/>
    <m/>
    <n v="138682"/>
    <x v="9"/>
    <s v="sem"/>
    <s v="sem"/>
    <m/>
    <m/>
    <n v="39537"/>
    <n v="35931"/>
    <n v="30600"/>
    <n v="27774"/>
    <n v="37403"/>
    <n v="33583"/>
    <n v="107540"/>
    <n v="3584.6666666666665"/>
    <n v="97288"/>
    <n v="3242.9333333333334"/>
    <n v="2546"/>
    <n v="3873.2"/>
    <n v="107540"/>
    <n v="97288"/>
    <m/>
    <m/>
    <m/>
    <m/>
    <m/>
    <m/>
    <m/>
    <m/>
    <n v="0"/>
    <n v="0"/>
    <n v="0"/>
    <n v="0"/>
    <m/>
    <m/>
    <n v="0"/>
    <n v="0"/>
  </r>
  <r>
    <x v="4"/>
    <s v="Athens Technical College"/>
    <m/>
    <n v="246813"/>
    <x v="9"/>
    <s v="sem"/>
    <s v="sem"/>
    <m/>
    <m/>
    <n v="34713"/>
    <n v="32050"/>
    <n v="15458"/>
    <n v="13898"/>
    <n v="36184"/>
    <n v="34079"/>
    <n v="86355"/>
    <n v="2878.5"/>
    <n v="80027"/>
    <n v="2667.5666666666666"/>
    <n v="2984"/>
    <n v="3859"/>
    <n v="86355"/>
    <n v="80027"/>
    <m/>
    <m/>
    <m/>
    <m/>
    <m/>
    <m/>
    <m/>
    <m/>
    <n v="0"/>
    <n v="0"/>
    <n v="0"/>
    <n v="0"/>
    <m/>
    <m/>
    <n v="0"/>
    <n v="0"/>
  </r>
  <r>
    <x v="4"/>
    <s v="Atlanta Technical College"/>
    <m/>
    <n v="138840"/>
    <x v="9"/>
    <s v="sem"/>
    <s v="sem"/>
    <m/>
    <m/>
    <n v="48619"/>
    <n v="40337"/>
    <n v="29730"/>
    <n v="28371"/>
    <n v="40271"/>
    <n v="36243"/>
    <n v="118620"/>
    <n v="3954"/>
    <n v="104951"/>
    <n v="3498.3666666666668"/>
    <n v="2935"/>
    <n v="3378"/>
    <n v="118620"/>
    <n v="104951"/>
    <m/>
    <m/>
    <m/>
    <m/>
    <m/>
    <m/>
    <m/>
    <m/>
    <n v="0"/>
    <n v="0"/>
    <n v="0"/>
    <n v="0"/>
    <m/>
    <m/>
    <n v="0"/>
    <n v="0"/>
  </r>
  <r>
    <x v="4"/>
    <s v="Augusta Technical College"/>
    <m/>
    <n v="138956"/>
    <x v="9"/>
    <s v="sem"/>
    <s v="sem"/>
    <m/>
    <m/>
    <n v="38700"/>
    <n v="37040"/>
    <n v="21054"/>
    <n v="21382"/>
    <n v="40134"/>
    <n v="41988"/>
    <n v="99888"/>
    <n v="3329.6"/>
    <n v="100410"/>
    <n v="3347"/>
    <n v="1045"/>
    <n v="2557.3000000000002"/>
    <n v="99888"/>
    <n v="100410"/>
    <m/>
    <m/>
    <m/>
    <m/>
    <m/>
    <m/>
    <m/>
    <m/>
    <n v="0"/>
    <n v="0"/>
    <n v="0"/>
    <n v="0"/>
    <m/>
    <m/>
    <n v="0"/>
    <n v="0"/>
  </r>
  <r>
    <x v="4"/>
    <s v="Central Georgia Technical College"/>
    <m/>
    <n v="483045"/>
    <x v="9"/>
    <s v="sem"/>
    <s v="sem"/>
    <m/>
    <m/>
    <n v="72439"/>
    <n v="69317"/>
    <n v="45661"/>
    <n v="42799"/>
    <n v="74374"/>
    <n v="71886"/>
    <n v="192474"/>
    <n v="6415.8"/>
    <n v="184002"/>
    <n v="6133.4"/>
    <n v="8772"/>
    <n v="11965"/>
    <n v="192474"/>
    <n v="184002"/>
    <m/>
    <m/>
    <m/>
    <m/>
    <m/>
    <m/>
    <m/>
    <m/>
    <n v="0"/>
    <n v="0"/>
    <n v="0"/>
    <n v="0"/>
    <m/>
    <m/>
    <n v="0"/>
    <n v="0"/>
  </r>
  <r>
    <x v="4"/>
    <s v="Chattahoochee Technical College"/>
    <m/>
    <n v="140331"/>
    <x v="9"/>
    <s v="sem"/>
    <s v="sem"/>
    <m/>
    <m/>
    <n v="88535"/>
    <n v="82675"/>
    <n v="37169"/>
    <n v="33540"/>
    <n v="85569"/>
    <n v="83725"/>
    <n v="211273"/>
    <n v="7042.4333333333334"/>
    <n v="199940"/>
    <n v="6664.666666666667"/>
    <n v="5584.6"/>
    <n v="8596"/>
    <n v="211273"/>
    <n v="199940"/>
    <m/>
    <m/>
    <m/>
    <m/>
    <m/>
    <m/>
    <m/>
    <m/>
    <n v="0"/>
    <n v="0"/>
    <n v="0"/>
    <n v="0"/>
    <m/>
    <m/>
    <n v="0"/>
    <n v="0"/>
  </r>
  <r>
    <x v="4"/>
    <s v="Coastal Pines Technical College"/>
    <m/>
    <n v="485458"/>
    <x v="9"/>
    <s v="sem"/>
    <s v="sem"/>
    <m/>
    <m/>
    <n v="20574"/>
    <n v="19824"/>
    <n v="10644"/>
    <n v="10093"/>
    <n v="20537"/>
    <n v="19993"/>
    <n v="51755"/>
    <n v="1725.1666666666667"/>
    <n v="49910"/>
    <n v="1663.6666666666667"/>
    <n v="4213"/>
    <n v="8489"/>
    <n v="51755"/>
    <n v="49910"/>
    <m/>
    <m/>
    <m/>
    <m/>
    <m/>
    <m/>
    <m/>
    <m/>
    <n v="0"/>
    <n v="0"/>
    <n v="0"/>
    <n v="0"/>
    <m/>
    <m/>
    <n v="0"/>
    <n v="0"/>
  </r>
  <r>
    <x v="4"/>
    <s v="Columbus Technical College"/>
    <m/>
    <n v="139357"/>
    <x v="9"/>
    <s v="sem"/>
    <s v="sem"/>
    <m/>
    <m/>
    <n v="32262"/>
    <n v="28967"/>
    <n v="17639"/>
    <n v="15894"/>
    <n v="32107"/>
    <n v="30659"/>
    <n v="82008"/>
    <n v="2733.6"/>
    <n v="75520"/>
    <n v="2517.3333333333335"/>
    <n v="4225"/>
    <n v="7381"/>
    <n v="82008"/>
    <n v="75520"/>
    <m/>
    <m/>
    <m/>
    <m/>
    <m/>
    <m/>
    <m/>
    <m/>
    <n v="0"/>
    <n v="0"/>
    <n v="0"/>
    <n v="0"/>
    <m/>
    <m/>
    <n v="0"/>
    <n v="0"/>
  </r>
  <r>
    <x v="4"/>
    <s v="Georgia Northwestern Technical College"/>
    <m/>
    <n v="139384"/>
    <x v="9"/>
    <s v="sem"/>
    <s v="sem"/>
    <m/>
    <m/>
    <n v="51007"/>
    <n v="48221"/>
    <n v="23436"/>
    <n v="21118"/>
    <n v="53138"/>
    <n v="51948"/>
    <n v="127581"/>
    <n v="4252.7"/>
    <n v="121287"/>
    <n v="4042.9"/>
    <n v="11408"/>
    <n v="14681"/>
    <n v="127581"/>
    <n v="121287"/>
    <m/>
    <m/>
    <m/>
    <m/>
    <m/>
    <m/>
    <m/>
    <m/>
    <n v="0"/>
    <n v="0"/>
    <n v="0"/>
    <n v="0"/>
    <m/>
    <m/>
    <n v="0"/>
    <n v="0"/>
  </r>
  <r>
    <x v="4"/>
    <s v="Georgia Piedmont Technical College"/>
    <m/>
    <n v="244446"/>
    <x v="9"/>
    <s v="sem"/>
    <s v="sem"/>
    <m/>
    <m/>
    <n v="36435"/>
    <n v="34781"/>
    <n v="22751"/>
    <n v="20930"/>
    <n v="34340"/>
    <n v="32736"/>
    <n v="93526"/>
    <n v="3117.5333333333333"/>
    <n v="88447"/>
    <n v="2948.2333333333331"/>
    <n v="4494"/>
    <n v="6567.4"/>
    <n v="93526"/>
    <n v="88447"/>
    <m/>
    <m/>
    <m/>
    <m/>
    <m/>
    <m/>
    <m/>
    <m/>
    <n v="0"/>
    <n v="0"/>
    <n v="0"/>
    <n v="0"/>
    <m/>
    <m/>
    <n v="0"/>
    <n v="0"/>
  </r>
  <r>
    <x v="4"/>
    <s v="Gwinnett Technical College"/>
    <m/>
    <n v="140012"/>
    <x v="9"/>
    <s v="sem"/>
    <s v="sem"/>
    <m/>
    <m/>
    <n v="63254"/>
    <n v="60814"/>
    <n v="25025"/>
    <n v="22814"/>
    <n v="62484"/>
    <n v="58037"/>
    <n v="150763"/>
    <n v="5025.4333333333334"/>
    <n v="141665"/>
    <n v="4722.166666666667"/>
    <n v="3015"/>
    <n v="5367"/>
    <n v="150763"/>
    <n v="141665"/>
    <m/>
    <m/>
    <m/>
    <m/>
    <m/>
    <m/>
    <m/>
    <m/>
    <n v="0"/>
    <n v="0"/>
    <n v="0"/>
    <n v="0"/>
    <m/>
    <m/>
    <n v="0"/>
    <n v="0"/>
  </r>
  <r>
    <x v="4"/>
    <s v="Lanier Technical College"/>
    <m/>
    <n v="140243"/>
    <x v="9"/>
    <s v="sem"/>
    <s v="sem"/>
    <m/>
    <m/>
    <n v="30879"/>
    <n v="28989"/>
    <n v="15906"/>
    <n v="14323"/>
    <n v="31066"/>
    <n v="31149"/>
    <n v="77851"/>
    <n v="2595.0333333333333"/>
    <n v="74461"/>
    <n v="2482.0333333333333"/>
    <n v="3500"/>
    <n v="3075"/>
    <n v="77851"/>
    <n v="74461"/>
    <m/>
    <m/>
    <m/>
    <m/>
    <m/>
    <m/>
    <m/>
    <m/>
    <n v="0"/>
    <n v="0"/>
    <n v="0"/>
    <n v="0"/>
    <m/>
    <m/>
    <n v="0"/>
    <n v="0"/>
  </r>
  <r>
    <x v="4"/>
    <s v="North Georgia Technical College"/>
    <m/>
    <n v="140678"/>
    <x v="9"/>
    <s v="sem"/>
    <s v="sem"/>
    <m/>
    <m/>
    <n v="23560"/>
    <n v="23426"/>
    <n v="8431"/>
    <n v="9467"/>
    <n v="25768"/>
    <n v="24876"/>
    <n v="57759"/>
    <n v="1925.3"/>
    <n v="57769"/>
    <n v="1925.6333333333334"/>
    <n v="1688"/>
    <n v="2237"/>
    <n v="57759"/>
    <n v="57769"/>
    <m/>
    <m/>
    <m/>
    <m/>
    <m/>
    <m/>
    <m/>
    <m/>
    <n v="0"/>
    <n v="0"/>
    <n v="0"/>
    <n v="0"/>
    <m/>
    <m/>
    <n v="0"/>
    <n v="0"/>
  </r>
  <r>
    <x v="4"/>
    <s v="Oconee Fall Line Technical College"/>
    <m/>
    <n v="420431"/>
    <x v="9"/>
    <s v="sem"/>
    <s v="sem"/>
    <m/>
    <m/>
    <n v="14855"/>
    <n v="13175"/>
    <n v="9552"/>
    <n v="8867"/>
    <n v="14304"/>
    <n v="13679"/>
    <n v="38711"/>
    <n v="1290.3666666666666"/>
    <n v="35721"/>
    <n v="1190.7"/>
    <n v="3128"/>
    <n v="2767"/>
    <n v="38711"/>
    <n v="35721"/>
    <m/>
    <m/>
    <m/>
    <m/>
    <m/>
    <m/>
    <m/>
    <m/>
    <n v="0"/>
    <n v="0"/>
    <n v="0"/>
    <n v="0"/>
    <m/>
    <m/>
    <n v="0"/>
    <n v="0"/>
  </r>
  <r>
    <x v="4"/>
    <s v="Ogeechee Technical College"/>
    <m/>
    <n v="366465"/>
    <x v="9"/>
    <s v="sem"/>
    <s v="sem"/>
    <m/>
    <m/>
    <n v="22636"/>
    <n v="22047"/>
    <n v="14039"/>
    <n v="13140"/>
    <n v="22992"/>
    <n v="20063"/>
    <n v="59667"/>
    <n v="1988.9"/>
    <n v="55250"/>
    <n v="1841.6666666666667"/>
    <n v="1192"/>
    <n v="2635"/>
    <n v="59667"/>
    <n v="55250"/>
    <m/>
    <m/>
    <m/>
    <m/>
    <m/>
    <m/>
    <m/>
    <m/>
    <n v="0"/>
    <n v="0"/>
    <n v="0"/>
    <n v="0"/>
    <m/>
    <m/>
    <n v="0"/>
    <n v="0"/>
  </r>
  <r>
    <x v="4"/>
    <s v="Savannah Technical College"/>
    <m/>
    <n v="140942"/>
    <x v="9"/>
    <s v="sem"/>
    <s v="sem"/>
    <m/>
    <m/>
    <n v="46097"/>
    <n v="40200"/>
    <n v="19049"/>
    <n v="16359"/>
    <n v="42347"/>
    <n v="38714"/>
    <n v="107493"/>
    <n v="3583.1"/>
    <n v="95273"/>
    <n v="3175.7666666666669"/>
    <n v="3238"/>
    <n v="4797"/>
    <n v="107493"/>
    <n v="95273"/>
    <m/>
    <m/>
    <m/>
    <m/>
    <m/>
    <m/>
    <m/>
    <m/>
    <n v="0"/>
    <n v="0"/>
    <n v="0"/>
    <n v="0"/>
    <m/>
    <m/>
    <n v="0"/>
    <n v="0"/>
  </r>
  <r>
    <x v="4"/>
    <s v="South Georgia Technical College"/>
    <m/>
    <n v="141006"/>
    <x v="9"/>
    <s v="sem"/>
    <s v="sem"/>
    <m/>
    <m/>
    <n v="17878.5"/>
    <n v="17622"/>
    <n v="8434"/>
    <n v="8042"/>
    <n v="17378"/>
    <n v="17666"/>
    <n v="43690.5"/>
    <n v="1456.35"/>
    <n v="43330"/>
    <n v="1444.3333333333333"/>
    <n v="2393.5"/>
    <n v="3901"/>
    <n v="43690.5"/>
    <n v="43330"/>
    <m/>
    <m/>
    <m/>
    <m/>
    <m/>
    <m/>
    <m/>
    <m/>
    <n v="0"/>
    <n v="0"/>
    <n v="0"/>
    <n v="0"/>
    <m/>
    <m/>
    <n v="0"/>
    <n v="0"/>
  </r>
  <r>
    <x v="4"/>
    <s v="Southeastern Technical College"/>
    <m/>
    <n v="368911"/>
    <x v="9"/>
    <s v="sem"/>
    <s v="sem"/>
    <m/>
    <m/>
    <n v="12349"/>
    <n v="12922"/>
    <n v="7033"/>
    <n v="6929"/>
    <n v="14551"/>
    <n v="14592"/>
    <n v="33933"/>
    <n v="1131.0999999999999"/>
    <n v="34443"/>
    <n v="1148.0999999999999"/>
    <n v="2516"/>
    <n v="3328"/>
    <n v="33933"/>
    <n v="34443"/>
    <m/>
    <m/>
    <m/>
    <m/>
    <m/>
    <m/>
    <m/>
    <m/>
    <n v="0"/>
    <n v="0"/>
    <n v="0"/>
    <n v="0"/>
    <m/>
    <m/>
    <n v="0"/>
    <n v="0"/>
  </r>
  <r>
    <x v="4"/>
    <s v="Southern Crescent Technical College"/>
    <m/>
    <n v="139986"/>
    <x v="9"/>
    <s v="sem"/>
    <s v="sem"/>
    <m/>
    <m/>
    <n v="45333"/>
    <n v="42049"/>
    <n v="16133"/>
    <n v="14718"/>
    <n v="46529"/>
    <n v="44429"/>
    <n v="107995"/>
    <n v="3599.8333333333335"/>
    <n v="101196"/>
    <n v="3373.2"/>
    <n v="3919"/>
    <n v="6002"/>
    <n v="107995"/>
    <n v="101196"/>
    <m/>
    <m/>
    <m/>
    <m/>
    <m/>
    <m/>
    <m/>
    <m/>
    <n v="0"/>
    <n v="0"/>
    <n v="0"/>
    <n v="0"/>
    <m/>
    <m/>
    <n v="0"/>
    <n v="0"/>
  </r>
  <r>
    <x v="4"/>
    <s v="Southern Regional Technical College"/>
    <m/>
    <n v="487162"/>
    <x v="9"/>
    <s v="sem"/>
    <s v="sem"/>
    <m/>
    <m/>
    <n v="30133"/>
    <n v="29921"/>
    <n v="16056"/>
    <n v="15716"/>
    <n v="31275"/>
    <n v="29986"/>
    <n v="77464"/>
    <n v="2582.1333333333332"/>
    <n v="75623"/>
    <n v="2520.7666666666669"/>
    <n v="10071"/>
    <n v="6727"/>
    <n v="77464"/>
    <n v="75623"/>
    <m/>
    <m/>
    <m/>
    <m/>
    <m/>
    <m/>
    <m/>
    <m/>
    <n v="0"/>
    <n v="0"/>
    <n v="0"/>
    <n v="0"/>
    <m/>
    <m/>
    <n v="0"/>
    <n v="0"/>
  </r>
  <r>
    <x v="4"/>
    <s v="West Georgia Technical College"/>
    <m/>
    <n v="139278"/>
    <x v="9"/>
    <s v="sem"/>
    <s v="sem"/>
    <m/>
    <m/>
    <n v="59244"/>
    <n v="54030"/>
    <n v="24359"/>
    <n v="22159"/>
    <n v="58134"/>
    <n v="56768"/>
    <n v="141737"/>
    <n v="4724.5666666666666"/>
    <n v="132957"/>
    <n v="4431.8999999999996"/>
    <n v="9335"/>
    <n v="11882"/>
    <n v="141737"/>
    <n v="132957"/>
    <m/>
    <m/>
    <m/>
    <m/>
    <m/>
    <m/>
    <m/>
    <m/>
    <n v="0"/>
    <n v="0"/>
    <n v="0"/>
    <n v="0"/>
    <m/>
    <m/>
    <n v="0"/>
    <n v="0"/>
  </r>
  <r>
    <x v="4"/>
    <s v="Wiregrass Georgia Technical College"/>
    <m/>
    <n v="141255"/>
    <x v="9"/>
    <s v="sem"/>
    <s v="sem"/>
    <m/>
    <m/>
    <n v="33843"/>
    <n v="30812"/>
    <n v="16926"/>
    <n v="14892"/>
    <n v="31743"/>
    <n v="30013"/>
    <n v="82512"/>
    <n v="2750.4"/>
    <n v="75717"/>
    <n v="2523.9"/>
    <n v="8857"/>
    <n v="11437"/>
    <n v="82512"/>
    <n v="75717"/>
    <m/>
    <m/>
    <m/>
    <m/>
    <m/>
    <m/>
    <m/>
    <m/>
    <n v="0"/>
    <n v="0"/>
    <n v="0"/>
    <n v="0"/>
    <m/>
    <m/>
    <n v="0"/>
    <n v="0"/>
  </r>
  <r>
    <x v="5"/>
    <s v="University of Kentucky"/>
    <m/>
    <n v="157085"/>
    <x v="0"/>
    <s v="sem"/>
    <s v="sem"/>
    <m/>
    <m/>
    <n v="273309"/>
    <n v="283884"/>
    <n v="25232"/>
    <n v="24359"/>
    <n v="310776"/>
    <n v="319524"/>
    <n v="609317"/>
    <n v="20310.566666666666"/>
    <n v="627767"/>
    <n v="20925.566666666666"/>
    <n v="38"/>
    <n v="33"/>
    <n v="609317"/>
    <n v="627767"/>
    <m/>
    <m/>
    <m/>
    <m/>
    <m/>
    <m/>
    <m/>
    <m/>
    <n v="0"/>
    <n v="0"/>
    <n v="0"/>
    <n v="0"/>
    <m/>
    <m/>
    <n v="0"/>
    <n v="0"/>
  </r>
  <r>
    <x v="5"/>
    <s v="University of Louisville"/>
    <m/>
    <n v="157289"/>
    <x v="0"/>
    <s v="sem"/>
    <s v="sem"/>
    <m/>
    <m/>
    <n v="174603"/>
    <n v="173781"/>
    <n v="35635"/>
    <n v="37541"/>
    <n v="195293"/>
    <n v="193484"/>
    <n v="405531"/>
    <n v="13517.7"/>
    <n v="404806"/>
    <n v="13493.533333333333"/>
    <n v="1613"/>
    <n v="1939"/>
    <n v="405531"/>
    <n v="404806"/>
    <m/>
    <m/>
    <m/>
    <m/>
    <m/>
    <m/>
    <m/>
    <m/>
    <n v="0"/>
    <n v="0"/>
    <n v="0"/>
    <n v="0"/>
    <m/>
    <m/>
    <n v="0"/>
    <n v="0"/>
  </r>
  <r>
    <x v="5"/>
    <s v="Eastern Kentucky University "/>
    <m/>
    <n v="156620"/>
    <x v="2"/>
    <s v="sem"/>
    <s v="sem"/>
    <m/>
    <m/>
    <n v="159741"/>
    <n v="162997"/>
    <n v="18990"/>
    <n v="18605"/>
    <n v="177679"/>
    <n v="181140"/>
    <n v="356410"/>
    <n v="11880.333333333334"/>
    <n v="362742"/>
    <n v="12091.4"/>
    <n v="4776"/>
    <n v="5958"/>
    <n v="356410"/>
    <n v="362742"/>
    <m/>
    <m/>
    <m/>
    <m/>
    <m/>
    <m/>
    <m/>
    <m/>
    <n v="0"/>
    <n v="0"/>
    <n v="0"/>
    <n v="0"/>
    <m/>
    <m/>
    <n v="0"/>
    <n v="0"/>
  </r>
  <r>
    <x v="5"/>
    <s v="Morehead State University "/>
    <m/>
    <n v="157386"/>
    <x v="2"/>
    <s v="sem"/>
    <s v="sem"/>
    <m/>
    <m/>
    <n v="94329"/>
    <n v="93581"/>
    <n v="7120"/>
    <n v="7540"/>
    <n v="106770"/>
    <n v="105850"/>
    <n v="208219"/>
    <n v="6940.6333333333332"/>
    <n v="206971"/>
    <n v="6899.0333333333338"/>
    <n v="16600"/>
    <n v="17436"/>
    <n v="208219"/>
    <n v="206971"/>
    <m/>
    <m/>
    <m/>
    <m/>
    <m/>
    <m/>
    <m/>
    <m/>
    <n v="0"/>
    <n v="0"/>
    <n v="0"/>
    <n v="0"/>
    <m/>
    <m/>
    <n v="0"/>
    <n v="0"/>
  </r>
  <r>
    <x v="5"/>
    <s v="Murray State University "/>
    <m/>
    <n v="157401"/>
    <x v="2"/>
    <s v="sem"/>
    <s v="sem"/>
    <m/>
    <m/>
    <n v="106696"/>
    <n v="109878"/>
    <n v="8016"/>
    <n v="8530"/>
    <n v="119608"/>
    <n v="117423"/>
    <n v="234320"/>
    <n v="7810.666666666667"/>
    <n v="235831"/>
    <n v="7861.0333333333338"/>
    <n v="5085"/>
    <n v="6579"/>
    <n v="234320"/>
    <n v="235831"/>
    <m/>
    <m/>
    <m/>
    <m/>
    <m/>
    <m/>
    <m/>
    <m/>
    <n v="0"/>
    <n v="0"/>
    <n v="0"/>
    <n v="0"/>
    <m/>
    <m/>
    <n v="0"/>
    <n v="0"/>
  </r>
  <r>
    <x v="5"/>
    <s v="Northern Kentucky University "/>
    <m/>
    <n v="157447"/>
    <x v="2"/>
    <s v="sem"/>
    <s v="sem"/>
    <m/>
    <m/>
    <n v="145971"/>
    <n v="144915"/>
    <n v="17095"/>
    <n v="15585"/>
    <n v="158873"/>
    <n v="156966"/>
    <n v="321939"/>
    <n v="10731.3"/>
    <n v="317466"/>
    <n v="10582.2"/>
    <n v="6004"/>
    <n v="7461"/>
    <n v="321939"/>
    <n v="317466"/>
    <m/>
    <m/>
    <m/>
    <m/>
    <m/>
    <m/>
    <m/>
    <m/>
    <n v="0"/>
    <n v="0"/>
    <n v="0"/>
    <n v="0"/>
    <m/>
    <m/>
    <n v="0"/>
    <n v="0"/>
  </r>
  <r>
    <x v="5"/>
    <s v="Western Kentucky University "/>
    <m/>
    <n v="157951"/>
    <x v="2"/>
    <s v="sem"/>
    <s v="sem"/>
    <m/>
    <m/>
    <n v="200601"/>
    <n v="198661"/>
    <n v="22467"/>
    <n v="21715"/>
    <n v="213456"/>
    <n v="212833"/>
    <n v="436524"/>
    <n v="14550.8"/>
    <n v="433209"/>
    <n v="14440.3"/>
    <n v="14533"/>
    <n v="16299"/>
    <n v="436524"/>
    <n v="433209"/>
    <m/>
    <m/>
    <m/>
    <m/>
    <m/>
    <m/>
    <m/>
    <m/>
    <n v="0"/>
    <n v="0"/>
    <n v="0"/>
    <n v="0"/>
    <m/>
    <m/>
    <n v="0"/>
    <n v="0"/>
  </r>
  <r>
    <x v="5"/>
    <s v="Kentucky State University "/>
    <m/>
    <n v="157058"/>
    <x v="3"/>
    <s v="sem"/>
    <s v="sem"/>
    <m/>
    <m/>
    <n v="22361"/>
    <n v="21950"/>
    <n v="1839"/>
    <n v="805"/>
    <n v="22943"/>
    <n v="18401"/>
    <n v="47143"/>
    <n v="1571.4333333333334"/>
    <n v="41156"/>
    <n v="1371.8666666666666"/>
    <n v="1470"/>
    <n v="1697"/>
    <n v="47143"/>
    <n v="41156"/>
    <m/>
    <m/>
    <m/>
    <m/>
    <m/>
    <m/>
    <m/>
    <m/>
    <n v="0"/>
    <n v="0"/>
    <n v="0"/>
    <n v="0"/>
    <m/>
    <m/>
    <n v="0"/>
    <n v="0"/>
  </r>
  <r>
    <x v="5"/>
    <s v="Bluegrass Community and Technical College"/>
    <m/>
    <n v="157173"/>
    <x v="7"/>
    <s v="sem"/>
    <s v="sem"/>
    <m/>
    <m/>
    <n v="99969"/>
    <n v="89936"/>
    <n v="19109"/>
    <n v="17502"/>
    <n v="102655"/>
    <n v="96789"/>
    <n v="221733"/>
    <n v="7391.1"/>
    <n v="204227"/>
    <n v="6807.5666666666666"/>
    <n v="7257"/>
    <n v="7589"/>
    <n v="221733"/>
    <n v="204227"/>
    <m/>
    <m/>
    <m/>
    <m/>
    <m/>
    <m/>
    <m/>
    <m/>
    <n v="0"/>
    <n v="0"/>
    <n v="0"/>
    <n v="0"/>
    <m/>
    <m/>
    <n v="0"/>
    <n v="0"/>
  </r>
  <r>
    <x v="5"/>
    <s v="Jefferson Community and Technical College "/>
    <m/>
    <n v="156921"/>
    <x v="7"/>
    <s v="sem"/>
    <s v="sem"/>
    <m/>
    <m/>
    <n v="94840"/>
    <n v="97225"/>
    <n v="14499"/>
    <n v="14450"/>
    <n v="110903"/>
    <n v="102031"/>
    <n v="220242"/>
    <n v="7341.4"/>
    <n v="213706"/>
    <n v="7123.5333333333338"/>
    <n v="10934"/>
    <n v="11730"/>
    <n v="220242"/>
    <n v="213706"/>
    <m/>
    <m/>
    <m/>
    <m/>
    <m/>
    <m/>
    <m/>
    <m/>
    <n v="0"/>
    <n v="0"/>
    <n v="0"/>
    <n v="0"/>
    <m/>
    <m/>
    <n v="0"/>
    <n v="0"/>
  </r>
  <r>
    <x v="5"/>
    <s v="Ashland Community and Technical College"/>
    <m/>
    <n v="156231"/>
    <x v="6"/>
    <s v="sem"/>
    <s v="sem"/>
    <m/>
    <m/>
    <n v="33666"/>
    <n v="27667"/>
    <n v="5823"/>
    <n v="4452"/>
    <n v="33936"/>
    <n v="30228"/>
    <n v="73425"/>
    <n v="2447.5"/>
    <n v="62347"/>
    <n v="2078.2333333333331"/>
    <n v="3897"/>
    <n v="3619"/>
    <n v="73425"/>
    <n v="62347"/>
    <m/>
    <m/>
    <m/>
    <m/>
    <m/>
    <m/>
    <m/>
    <m/>
    <n v="0"/>
    <n v="0"/>
    <n v="0"/>
    <n v="0"/>
    <m/>
    <m/>
    <n v="0"/>
    <n v="0"/>
  </r>
  <r>
    <x v="5"/>
    <s v="Big Sandy Community and Technical College "/>
    <m/>
    <n v="157553"/>
    <x v="6"/>
    <s v="sem"/>
    <s v="sem"/>
    <m/>
    <m/>
    <n v="34031"/>
    <n v="33971"/>
    <n v="4088"/>
    <n v="3529"/>
    <n v="37235"/>
    <n v="36500"/>
    <n v="75354"/>
    <n v="2511.8000000000002"/>
    <n v="74000"/>
    <n v="2466.6666666666665"/>
    <n v="2759"/>
    <n v="4007"/>
    <n v="75354"/>
    <n v="74000"/>
    <m/>
    <m/>
    <m/>
    <m/>
    <m/>
    <m/>
    <m/>
    <m/>
    <n v="0"/>
    <n v="0"/>
    <n v="0"/>
    <n v="0"/>
    <m/>
    <m/>
    <n v="0"/>
    <n v="0"/>
  </r>
  <r>
    <x v="5"/>
    <s v="Elizabethtown Community and Technical College "/>
    <m/>
    <n v="156648"/>
    <x v="6"/>
    <s v="sem"/>
    <s v="sem"/>
    <m/>
    <m/>
    <n v="49471"/>
    <n v="46819"/>
    <n v="7296"/>
    <n v="7749"/>
    <n v="55276"/>
    <n v="50945"/>
    <n v="112043"/>
    <n v="3734.7666666666669"/>
    <n v="105513"/>
    <n v="3517.1"/>
    <n v="4245"/>
    <n v="4074"/>
    <n v="112043"/>
    <n v="105513"/>
    <m/>
    <m/>
    <m/>
    <m/>
    <m/>
    <m/>
    <m/>
    <m/>
    <n v="0"/>
    <n v="0"/>
    <n v="0"/>
    <n v="0"/>
    <m/>
    <m/>
    <n v="0"/>
    <n v="0"/>
  </r>
  <r>
    <x v="5"/>
    <s v="Hazard Community and Technical College"/>
    <s v="Met the criteria for Two-Year 3 in 2014-15 and 2015-16."/>
    <n v="156790"/>
    <x v="6"/>
    <s v="sem"/>
    <s v="sem"/>
    <m/>
    <m/>
    <n v="26524"/>
    <n v="25359"/>
    <n v="3846"/>
    <n v="4221"/>
    <n v="29625"/>
    <n v="26819"/>
    <n v="59995"/>
    <n v="1999.8333333333333"/>
    <n v="56399"/>
    <n v="1879.9666666666667"/>
    <n v="3437"/>
    <n v="3474"/>
    <n v="59995"/>
    <n v="56399"/>
    <m/>
    <m/>
    <m/>
    <m/>
    <m/>
    <m/>
    <m/>
    <m/>
    <n v="0"/>
    <n v="0"/>
    <n v="0"/>
    <n v="0"/>
    <m/>
    <m/>
    <n v="0"/>
    <n v="0"/>
  </r>
  <r>
    <x v="5"/>
    <s v="Hopkinsville Community College "/>
    <s v="Met the criteria for Two-Year 3 in 2015-16."/>
    <n v="156860"/>
    <x v="6"/>
    <s v="sem"/>
    <s v="sem"/>
    <m/>
    <m/>
    <n v="28380"/>
    <n v="26880"/>
    <n v="5772"/>
    <n v="5869"/>
    <n v="29631"/>
    <n v="26295"/>
    <n v="63783"/>
    <n v="2126.1"/>
    <n v="59044"/>
    <n v="1968.1333333333334"/>
    <n v="2330"/>
    <n v="2098"/>
    <n v="63783"/>
    <n v="59044"/>
    <m/>
    <m/>
    <m/>
    <m/>
    <m/>
    <m/>
    <m/>
    <m/>
    <n v="0"/>
    <n v="0"/>
    <n v="0"/>
    <n v="0"/>
    <m/>
    <m/>
    <n v="0"/>
    <n v="0"/>
  </r>
  <r>
    <x v="5"/>
    <s v="Madisonville Community College"/>
    <s v="Met the criteria for Two-Year 3 in 2015-16."/>
    <n v="157304"/>
    <x v="6"/>
    <s v="sem"/>
    <s v="sem"/>
    <m/>
    <m/>
    <n v="28372"/>
    <n v="24209"/>
    <n v="4227"/>
    <n v="3661"/>
    <n v="30661"/>
    <n v="28272"/>
    <n v="63260"/>
    <n v="2108.6666666666665"/>
    <n v="56142"/>
    <n v="1871.4"/>
    <n v="6067"/>
    <n v="6021"/>
    <n v="63260"/>
    <n v="56142"/>
    <m/>
    <m/>
    <m/>
    <m/>
    <m/>
    <m/>
    <m/>
    <m/>
    <n v="0"/>
    <n v="0"/>
    <n v="0"/>
    <n v="0"/>
    <m/>
    <m/>
    <n v="0"/>
    <n v="0"/>
  </r>
  <r>
    <x v="5"/>
    <s v="Maysville Community and Technical College "/>
    <m/>
    <n v="157331"/>
    <x v="6"/>
    <s v="sem"/>
    <s v="sem"/>
    <m/>
    <m/>
    <n v="36946"/>
    <n v="32155"/>
    <n v="6034"/>
    <n v="4748"/>
    <n v="34866"/>
    <n v="31009"/>
    <n v="77846"/>
    <n v="2594.8666666666668"/>
    <n v="67912"/>
    <n v="2263.7333333333331"/>
    <n v="5216"/>
    <n v="5797"/>
    <n v="77846"/>
    <n v="67912"/>
    <m/>
    <m/>
    <m/>
    <m/>
    <m/>
    <m/>
    <m/>
    <m/>
    <n v="0"/>
    <n v="0"/>
    <n v="0"/>
    <n v="0"/>
    <m/>
    <m/>
    <n v="0"/>
    <n v="0"/>
  </r>
  <r>
    <x v="5"/>
    <s v="Owensboro Community and Technical College "/>
    <m/>
    <n v="247940"/>
    <x v="6"/>
    <s v="sem"/>
    <s v="sem"/>
    <m/>
    <m/>
    <n v="34045"/>
    <n v="27884"/>
    <n v="4281"/>
    <n v="3952"/>
    <n v="36511"/>
    <n v="34073"/>
    <n v="74837"/>
    <n v="2494.5666666666666"/>
    <n v="65909"/>
    <n v="2196.9666666666667"/>
    <n v="6720"/>
    <n v="8652"/>
    <n v="74837"/>
    <n v="65909"/>
    <m/>
    <m/>
    <m/>
    <m/>
    <m/>
    <m/>
    <m/>
    <m/>
    <n v="0"/>
    <n v="0"/>
    <n v="0"/>
    <n v="0"/>
    <m/>
    <m/>
    <n v="0"/>
    <n v="0"/>
  </r>
  <r>
    <x v="5"/>
    <s v="Somerset Community and Technical College "/>
    <m/>
    <n v="157711"/>
    <x v="6"/>
    <s v="sem"/>
    <s v="sem"/>
    <m/>
    <m/>
    <n v="60299"/>
    <n v="57579"/>
    <n v="7573"/>
    <n v="8389"/>
    <n v="66376"/>
    <n v="60806"/>
    <n v="134248"/>
    <n v="4474.9333333333334"/>
    <n v="126774"/>
    <n v="4225.8"/>
    <n v="5137"/>
    <n v="5491"/>
    <n v="134248"/>
    <n v="126774"/>
    <m/>
    <m/>
    <m/>
    <m/>
    <m/>
    <m/>
    <m/>
    <m/>
    <n v="0"/>
    <n v="0"/>
    <n v="0"/>
    <n v="0"/>
    <m/>
    <m/>
    <n v="0"/>
    <n v="0"/>
  </r>
  <r>
    <x v="5"/>
    <s v="Southeast Kentucky Community and Technical College"/>
    <s v="Met the criteria for Two-Year 3 in 2015-16."/>
    <n v="157739"/>
    <x v="6"/>
    <s v="sem"/>
    <s v="sem"/>
    <m/>
    <m/>
    <n v="29175"/>
    <n v="25316"/>
    <n v="2252"/>
    <n v="2262"/>
    <n v="30924"/>
    <n v="27904"/>
    <n v="62351"/>
    <n v="2078.3666666666668"/>
    <n v="55482"/>
    <n v="1849.4"/>
    <n v="5302"/>
    <n v="4572"/>
    <n v="62351"/>
    <n v="55482"/>
    <m/>
    <m/>
    <m/>
    <m/>
    <m/>
    <m/>
    <m/>
    <m/>
    <n v="0"/>
    <n v="0"/>
    <n v="0"/>
    <n v="0"/>
    <m/>
    <m/>
    <n v="0"/>
    <n v="0"/>
  </r>
  <r>
    <x v="5"/>
    <s v="West Kentucky Community and Technical College"/>
    <m/>
    <n v="157483"/>
    <x v="6"/>
    <s v="sem"/>
    <s v="sem"/>
    <m/>
    <m/>
    <n v="51809"/>
    <n v="47634"/>
    <n v="9669"/>
    <n v="8863"/>
    <n v="55875"/>
    <n v="50352"/>
    <n v="117353"/>
    <n v="3911.7666666666669"/>
    <n v="106849"/>
    <n v="3561.6333333333332"/>
    <n v="8823"/>
    <n v="7955"/>
    <n v="117353"/>
    <n v="106849"/>
    <m/>
    <m/>
    <m/>
    <m/>
    <m/>
    <m/>
    <m/>
    <m/>
    <n v="0"/>
    <n v="0"/>
    <n v="0"/>
    <n v="0"/>
    <m/>
    <m/>
    <n v="0"/>
    <n v="0"/>
  </r>
  <r>
    <x v="5"/>
    <s v="Henderson Community College "/>
    <m/>
    <n v="156851"/>
    <x v="8"/>
    <s v="sem"/>
    <s v="sem"/>
    <m/>
    <m/>
    <n v="15506"/>
    <n v="13679"/>
    <n v="2360"/>
    <n v="1980"/>
    <n v="15997"/>
    <n v="13692"/>
    <n v="33863"/>
    <n v="1128.7666666666667"/>
    <n v="29351"/>
    <n v="978.36666666666667"/>
    <n v="2103"/>
    <n v="1799"/>
    <n v="33863"/>
    <n v="29351"/>
    <m/>
    <m/>
    <m/>
    <m/>
    <m/>
    <m/>
    <m/>
    <m/>
    <n v="0"/>
    <n v="0"/>
    <n v="0"/>
    <n v="0"/>
    <m/>
    <m/>
    <n v="0"/>
    <n v="0"/>
  </r>
  <r>
    <x v="5"/>
    <s v="Gateway Community and Technical College"/>
    <m/>
    <n v="157438"/>
    <x v="9"/>
    <s v="sem"/>
    <s v="sem"/>
    <m/>
    <m/>
    <n v="31802"/>
    <n v="31222"/>
    <n v="6228"/>
    <n v="6082"/>
    <n v="35341"/>
    <n v="33918"/>
    <n v="73371"/>
    <n v="2445.6999999999998"/>
    <n v="71222"/>
    <n v="2374.0666666666666"/>
    <n v="3359"/>
    <n v="4899"/>
    <n v="73371"/>
    <n v="71222"/>
    <m/>
    <m/>
    <m/>
    <m/>
    <m/>
    <m/>
    <m/>
    <m/>
    <n v="0"/>
    <n v="0"/>
    <n v="0"/>
    <n v="0"/>
    <m/>
    <m/>
    <n v="0"/>
    <n v="0"/>
  </r>
  <r>
    <x v="5"/>
    <s v="Southcentral Kentucky Community and Technical College"/>
    <m/>
    <n v="156338"/>
    <x v="9"/>
    <s v="sem"/>
    <s v="sem"/>
    <m/>
    <m/>
    <n v="35339"/>
    <n v="33527"/>
    <n v="5818"/>
    <n v="5293"/>
    <n v="38434"/>
    <n v="36919"/>
    <n v="79591"/>
    <n v="2653.0333333333333"/>
    <n v="75739"/>
    <n v="2524.6333333333332"/>
    <n v="4468"/>
    <n v="6111"/>
    <n v="79591"/>
    <n v="75739"/>
    <m/>
    <m/>
    <m/>
    <m/>
    <m/>
    <m/>
    <m/>
    <m/>
    <n v="0"/>
    <n v="0"/>
    <n v="0"/>
    <n v="0"/>
    <m/>
    <m/>
    <n v="0"/>
    <n v="0"/>
  </r>
  <r>
    <x v="6"/>
    <s v="Louisiana State University and A&amp;M College"/>
    <m/>
    <n v="159391"/>
    <x v="0"/>
    <s v="sem"/>
    <s v="sem"/>
    <m/>
    <m/>
    <n v="323884"/>
    <n v="330491"/>
    <n v="38216"/>
    <n v="38259"/>
    <n v="364326"/>
    <n v="369742"/>
    <n v="726426"/>
    <n v="24214.2"/>
    <n v="738492"/>
    <n v="24616.400000000001"/>
    <n v="4569"/>
    <n v="5864"/>
    <n v="726426"/>
    <n v="738492"/>
    <m/>
    <m/>
    <m/>
    <m/>
    <m/>
    <m/>
    <m/>
    <m/>
    <n v="0"/>
    <n v="0"/>
    <n v="0"/>
    <n v="0"/>
    <m/>
    <m/>
    <n v="0"/>
    <n v="0"/>
  </r>
  <r>
    <x v="6"/>
    <s v="Louisiana Tech University "/>
    <m/>
    <n v="159647"/>
    <x v="1"/>
    <s v="quar"/>
    <s v="quar"/>
    <n v="65995"/>
    <n v="69475"/>
    <n v="67896"/>
    <n v="70586"/>
    <n v="16680"/>
    <n v="15877"/>
    <n v="81552"/>
    <n v="88556"/>
    <n v="232123"/>
    <n v="7737.4333333333334"/>
    <n v="244494"/>
    <n v="8149.8"/>
    <n v="15119"/>
    <n v="17880"/>
    <n v="232123"/>
    <n v="244494"/>
    <m/>
    <m/>
    <m/>
    <m/>
    <m/>
    <m/>
    <m/>
    <m/>
    <n v="0"/>
    <n v="0"/>
    <n v="0"/>
    <n v="0"/>
    <m/>
    <m/>
    <n v="0"/>
    <n v="0"/>
  </r>
  <r>
    <x v="6"/>
    <s v="University of Louisiana at Lafayette"/>
    <m/>
    <n v="160658"/>
    <x v="1"/>
    <s v="sem"/>
    <s v="sem"/>
    <m/>
    <m/>
    <n v="181933"/>
    <n v="187469"/>
    <n v="23417"/>
    <n v="23366"/>
    <n v="200217"/>
    <n v="208673"/>
    <n v="405567"/>
    <n v="13518.9"/>
    <n v="419508"/>
    <n v="13983.6"/>
    <n v="3996"/>
    <n v="4385"/>
    <n v="405567"/>
    <n v="419508"/>
    <m/>
    <m/>
    <m/>
    <m/>
    <m/>
    <m/>
    <m/>
    <m/>
    <n v="0"/>
    <n v="0"/>
    <n v="0"/>
    <n v="0"/>
    <m/>
    <m/>
    <n v="0"/>
    <n v="0"/>
  </r>
  <r>
    <x v="6"/>
    <s v="University of New Orleans"/>
    <m/>
    <n v="159939"/>
    <x v="1"/>
    <s v="sem"/>
    <s v="sem"/>
    <m/>
    <m/>
    <n v="78461"/>
    <n v="78935"/>
    <n v="15402"/>
    <n v="13146"/>
    <n v="84962"/>
    <n v="82013"/>
    <n v="178825"/>
    <n v="5960.833333333333"/>
    <n v="174094"/>
    <n v="5803.1333333333332"/>
    <n v="1307"/>
    <n v="1530"/>
    <n v="178825"/>
    <n v="174094"/>
    <m/>
    <m/>
    <m/>
    <m/>
    <m/>
    <m/>
    <m/>
    <m/>
    <n v="0"/>
    <n v="0"/>
    <n v="0"/>
    <n v="0"/>
    <m/>
    <m/>
    <n v="0"/>
    <n v="0"/>
  </r>
  <r>
    <x v="6"/>
    <s v="Southeastern Louisiana University "/>
    <m/>
    <n v="160612"/>
    <x v="2"/>
    <s v="sem"/>
    <s v="sem"/>
    <m/>
    <m/>
    <n v="153563"/>
    <n v="150275"/>
    <n v="18317"/>
    <n v="16313"/>
    <n v="160359"/>
    <n v="157528"/>
    <n v="332239"/>
    <n v="11074.633333333333"/>
    <n v="324116"/>
    <n v="10803.866666666667"/>
    <n v="17806"/>
    <n v="20626"/>
    <n v="332239"/>
    <n v="324116"/>
    <m/>
    <m/>
    <m/>
    <m/>
    <m/>
    <m/>
    <m/>
    <m/>
    <n v="0"/>
    <n v="0"/>
    <n v="0"/>
    <n v="0"/>
    <m/>
    <m/>
    <n v="0"/>
    <n v="0"/>
  </r>
  <r>
    <x v="6"/>
    <s v="Southern University and A&amp;M College at Baton Rouge "/>
    <m/>
    <n v="160621"/>
    <x v="2"/>
    <s v="sem"/>
    <s v="sem"/>
    <m/>
    <m/>
    <n v="70096"/>
    <n v="62751"/>
    <n v="8593"/>
    <n v="8983"/>
    <n v="71695"/>
    <n v="73099"/>
    <n v="150384"/>
    <n v="5012.8"/>
    <n v="144833"/>
    <n v="4827.7666666666664"/>
    <n v="605"/>
    <n v="1001"/>
    <n v="150384"/>
    <n v="144833"/>
    <m/>
    <m/>
    <m/>
    <m/>
    <m/>
    <m/>
    <m/>
    <m/>
    <n v="0"/>
    <n v="0"/>
    <n v="0"/>
    <n v="0"/>
    <m/>
    <m/>
    <n v="0"/>
    <n v="0"/>
  </r>
  <r>
    <x v="6"/>
    <s v="University of Louisiana at Monroe"/>
    <m/>
    <n v="159993"/>
    <x v="2"/>
    <s v="sem"/>
    <s v="sem"/>
    <n v="2405"/>
    <n v="2342"/>
    <n v="74599"/>
    <n v="74615"/>
    <n v="10086"/>
    <n v="13876"/>
    <n v="85866"/>
    <n v="89293"/>
    <n v="172956"/>
    <n v="5765.2"/>
    <n v="180126"/>
    <n v="6004.2"/>
    <n v="12095"/>
    <n v="13845"/>
    <n v="172956"/>
    <n v="180126"/>
    <m/>
    <m/>
    <m/>
    <m/>
    <m/>
    <m/>
    <m/>
    <m/>
    <n v="0"/>
    <n v="0"/>
    <n v="0"/>
    <n v="0"/>
    <m/>
    <m/>
    <n v="0"/>
    <n v="0"/>
  </r>
  <r>
    <x v="6"/>
    <s v="Grambling State University"/>
    <m/>
    <n v="159009"/>
    <x v="3"/>
    <s v="sem"/>
    <s v="sem"/>
    <m/>
    <m/>
    <n v="50170"/>
    <n v="44274"/>
    <n v="8473"/>
    <n v="8326"/>
    <n v="48330"/>
    <n v="49027"/>
    <n v="106973"/>
    <n v="3565.7666666666669"/>
    <n v="101627"/>
    <n v="3387.5666666666666"/>
    <n v="243"/>
    <n v="166"/>
    <n v="106973"/>
    <n v="101627"/>
    <m/>
    <m/>
    <m/>
    <m/>
    <m/>
    <m/>
    <m/>
    <m/>
    <n v="0"/>
    <n v="0"/>
    <n v="0"/>
    <n v="0"/>
    <m/>
    <m/>
    <n v="0"/>
    <n v="0"/>
  </r>
  <r>
    <x v="6"/>
    <s v="Louisiana State University in Shreveport"/>
    <m/>
    <n v="159416"/>
    <x v="3"/>
    <s v="sem"/>
    <s v="sem"/>
    <m/>
    <m/>
    <n v="32421"/>
    <n v="30950"/>
    <n v="5828"/>
    <n v="4663"/>
    <n v="34333"/>
    <n v="30936"/>
    <n v="72582"/>
    <n v="2419.4"/>
    <n v="66549"/>
    <n v="2218.3000000000002"/>
    <n v="6748"/>
    <n v="3825"/>
    <n v="72582"/>
    <n v="66549"/>
    <m/>
    <m/>
    <m/>
    <m/>
    <m/>
    <m/>
    <m/>
    <m/>
    <n v="0"/>
    <n v="0"/>
    <n v="0"/>
    <n v="0"/>
    <m/>
    <m/>
    <n v="0"/>
    <n v="0"/>
  </r>
  <r>
    <x v="6"/>
    <s v="McNeese State University"/>
    <s v="Met the criteria for Four-Year 3 in 2015-16."/>
    <n v="159717"/>
    <x v="3"/>
    <s v="sem"/>
    <s v="sem"/>
    <m/>
    <m/>
    <n v="91454"/>
    <n v="88847"/>
    <n v="10028"/>
    <n v="9340"/>
    <n v="95221"/>
    <n v="96581"/>
    <n v="196703"/>
    <n v="6556.7666666666664"/>
    <n v="194768"/>
    <n v="6492.2666666666664"/>
    <n v="6391"/>
    <n v="7233"/>
    <n v="196703"/>
    <n v="194768"/>
    <m/>
    <m/>
    <m/>
    <m/>
    <m/>
    <m/>
    <m/>
    <m/>
    <n v="0"/>
    <n v="0"/>
    <n v="0"/>
    <n v="0"/>
    <m/>
    <m/>
    <n v="0"/>
    <n v="0"/>
  </r>
  <r>
    <x v="6"/>
    <s v="Nicholls State University "/>
    <m/>
    <n v="159966"/>
    <x v="3"/>
    <s v="sem"/>
    <s v="sem"/>
    <m/>
    <m/>
    <n v="70672"/>
    <n v="67864"/>
    <n v="9802"/>
    <n v="9440"/>
    <n v="77212"/>
    <n v="73298"/>
    <n v="157686"/>
    <n v="5256.2"/>
    <n v="150602"/>
    <n v="5020.0666666666666"/>
    <n v="1307"/>
    <n v="1480"/>
    <n v="157686"/>
    <n v="150602"/>
    <m/>
    <m/>
    <m/>
    <m/>
    <m/>
    <m/>
    <m/>
    <m/>
    <n v="0"/>
    <n v="0"/>
    <n v="0"/>
    <n v="0"/>
    <m/>
    <m/>
    <n v="0"/>
    <n v="0"/>
  </r>
  <r>
    <x v="6"/>
    <s v="Northwestern State University"/>
    <m/>
    <n v="160038"/>
    <x v="3"/>
    <s v="sem"/>
    <s v="sem"/>
    <m/>
    <m/>
    <n v="89205"/>
    <n v="85837"/>
    <n v="16140"/>
    <n v="14374"/>
    <n v="95953"/>
    <n v="98408"/>
    <n v="201298"/>
    <n v="6709.9333333333334"/>
    <n v="198619"/>
    <n v="6620.6333333333332"/>
    <n v="8142"/>
    <n v="10020"/>
    <n v="201298"/>
    <n v="198619"/>
    <m/>
    <m/>
    <m/>
    <m/>
    <m/>
    <m/>
    <m/>
    <m/>
    <n v="0"/>
    <n v="0"/>
    <n v="0"/>
    <n v="0"/>
    <m/>
    <m/>
    <n v="0"/>
    <n v="0"/>
  </r>
  <r>
    <x v="6"/>
    <s v="Southern University at New Orleans"/>
    <m/>
    <n v="160630"/>
    <x v="4"/>
    <s v="sem"/>
    <s v="sem"/>
    <m/>
    <m/>
    <n v="32574"/>
    <n v="27808"/>
    <n v="2655"/>
    <m/>
    <n v="29843"/>
    <n v="29562"/>
    <n v="65072"/>
    <n v="2169.0666666666666"/>
    <n v="57370"/>
    <n v="1912.3333333333333"/>
    <n v="1371"/>
    <n v="1404"/>
    <n v="65072"/>
    <n v="57370"/>
    <m/>
    <m/>
    <m/>
    <m/>
    <m/>
    <m/>
    <m/>
    <m/>
    <n v="0"/>
    <n v="0"/>
    <n v="0"/>
    <n v="0"/>
    <m/>
    <m/>
    <n v="0"/>
    <n v="0"/>
  </r>
  <r>
    <x v="6"/>
    <s v="Louisiana State University at Alexandria"/>
    <m/>
    <n v="159382"/>
    <x v="5"/>
    <s v="sem"/>
    <s v="sem"/>
    <m/>
    <m/>
    <n v="21849"/>
    <n v="26034"/>
    <n v="4413"/>
    <n v="4195"/>
    <n v="29103"/>
    <n v="30569"/>
    <n v="55365"/>
    <n v="1845.5"/>
    <n v="60798"/>
    <n v="2026.6"/>
    <n v="3437"/>
    <n v="5555"/>
    <n v="55365"/>
    <n v="60798"/>
    <m/>
    <m/>
    <m/>
    <m/>
    <m/>
    <m/>
    <m/>
    <m/>
    <n v="0"/>
    <n v="0"/>
    <n v="0"/>
    <n v="0"/>
    <m/>
    <m/>
    <n v="0"/>
    <n v="0"/>
  </r>
  <r>
    <x v="6"/>
    <s v="Baton Rouge Community College"/>
    <m/>
    <n v="437103"/>
    <x v="7"/>
    <s v="sem"/>
    <s v="sem"/>
    <m/>
    <m/>
    <n v="92171"/>
    <n v="94476.5"/>
    <n v="16402.5"/>
    <n v="16249"/>
    <n v="104547"/>
    <n v="92329.5"/>
    <n v="213120.5"/>
    <n v="7104.0166666666664"/>
    <n v="203055"/>
    <n v="6768.5"/>
    <n v="6868"/>
    <n v="4650"/>
    <n v="213120.5"/>
    <n v="203055"/>
    <m/>
    <m/>
    <m/>
    <m/>
    <m/>
    <m/>
    <m/>
    <m/>
    <n v="0"/>
    <n v="0"/>
    <n v="0"/>
    <n v="0"/>
    <m/>
    <m/>
    <n v="0"/>
    <n v="0"/>
  </r>
  <r>
    <x v="6"/>
    <s v="Bossier Parish Community College"/>
    <m/>
    <n v="158431"/>
    <x v="7"/>
    <s v="sem"/>
    <s v="sem"/>
    <m/>
    <m/>
    <n v="80366"/>
    <n v="79734"/>
    <n v="13204"/>
    <n v="10443"/>
    <n v="91051"/>
    <n v="61503"/>
    <n v="184621"/>
    <n v="6154.0333333333338"/>
    <n v="151680"/>
    <n v="5056"/>
    <n v="5302"/>
    <n v="5454"/>
    <n v="184621"/>
    <n v="151680"/>
    <m/>
    <m/>
    <m/>
    <m/>
    <m/>
    <m/>
    <m/>
    <m/>
    <n v="0"/>
    <n v="0"/>
    <n v="0"/>
    <n v="0"/>
    <m/>
    <m/>
    <n v="0"/>
    <n v="0"/>
  </r>
  <r>
    <x v="6"/>
    <s v="Delgado Community College "/>
    <m/>
    <n v="158662"/>
    <x v="7"/>
    <s v="sem"/>
    <s v="sem"/>
    <m/>
    <m/>
    <n v="157043"/>
    <n v="156464"/>
    <n v="27485"/>
    <n v="27599"/>
    <n v="160950"/>
    <n v="149920"/>
    <n v="345478"/>
    <n v="11515.933333333332"/>
    <n v="333983"/>
    <n v="11132.766666666666"/>
    <n v="2725"/>
    <n v="3243"/>
    <n v="345478"/>
    <n v="333983"/>
    <m/>
    <m/>
    <m/>
    <m/>
    <m/>
    <m/>
    <m/>
    <m/>
    <n v="0"/>
    <n v="0"/>
    <n v="0"/>
    <n v="0"/>
    <m/>
    <m/>
    <n v="0"/>
    <n v="0"/>
  </r>
  <r>
    <x v="6"/>
    <s v="Louisiana Delta Community College"/>
    <m/>
    <n v="440624"/>
    <x v="6"/>
    <s v="sem"/>
    <s v="sem"/>
    <m/>
    <m/>
    <n v="33287"/>
    <n v="33535.5"/>
    <n v="6710.5"/>
    <n v="7023.5"/>
    <n v="36309"/>
    <n v="31012"/>
    <n v="76306.5"/>
    <n v="2543.5500000000002"/>
    <n v="71571"/>
    <n v="2385.6999999999998"/>
    <n v="6052"/>
    <n v="6374"/>
    <n v="76306.5"/>
    <n v="71571"/>
    <m/>
    <m/>
    <m/>
    <m/>
    <m/>
    <m/>
    <m/>
    <m/>
    <n v="0"/>
    <n v="0"/>
    <n v="0"/>
    <n v="0"/>
    <m/>
    <m/>
    <n v="0"/>
    <n v="0"/>
  </r>
  <r>
    <x v="6"/>
    <s v="Louisiana State University at Eunice"/>
    <s v="Reclassified: Met the criteria for Two-Year 3 in 2013-14, 2014-15, and 2015-16. "/>
    <n v="159407"/>
    <x v="8"/>
    <s v="sem"/>
    <s v="sem"/>
    <m/>
    <m/>
    <n v="23826"/>
    <n v="23261"/>
    <n v="4149"/>
    <n v="3885"/>
    <n v="26592"/>
    <n v="24735"/>
    <n v="54567"/>
    <n v="1818.9"/>
    <n v="51881"/>
    <n v="1729.3666666666666"/>
    <n v="2507"/>
    <n v="2304"/>
    <n v="54567"/>
    <n v="51881"/>
    <m/>
    <m/>
    <m/>
    <m/>
    <m/>
    <m/>
    <m/>
    <m/>
    <n v="0"/>
    <n v="0"/>
    <n v="0"/>
    <n v="0"/>
    <m/>
    <m/>
    <n v="0"/>
    <n v="0"/>
  </r>
  <r>
    <x v="6"/>
    <s v="South Louisiana Community College"/>
    <m/>
    <n v="434061"/>
    <x v="6"/>
    <s v="sem"/>
    <s v="sem"/>
    <n v="0"/>
    <m/>
    <n v="58838.5"/>
    <n v="57951.5"/>
    <n v="9801"/>
    <n v="12489"/>
    <n v="63725"/>
    <n v="69175.5"/>
    <n v="132364.5"/>
    <n v="4412.1499999999996"/>
    <n v="139616"/>
    <n v="4653.8666666666668"/>
    <n v="12678"/>
    <n v="11684"/>
    <n v="132364.5"/>
    <n v="139616"/>
    <m/>
    <m/>
    <m/>
    <m/>
    <m/>
    <m/>
    <m/>
    <m/>
    <n v="0"/>
    <n v="0"/>
    <n v="0"/>
    <n v="0"/>
    <m/>
    <m/>
    <n v="0"/>
    <n v="0"/>
  </r>
  <r>
    <x v="6"/>
    <s v="Southern University in Shreveport"/>
    <m/>
    <n v="160649"/>
    <x v="6"/>
    <s v="sem"/>
    <s v="sem"/>
    <m/>
    <m/>
    <n v="30028"/>
    <n v="27962"/>
    <n v="5624"/>
    <n v="5732"/>
    <n v="32293"/>
    <n v="32011"/>
    <n v="67945"/>
    <n v="2264.8333333333335"/>
    <n v="65705"/>
    <n v="2190.1666666666665"/>
    <n v="1872"/>
    <n v="4033"/>
    <n v="67945"/>
    <n v="65705"/>
    <m/>
    <m/>
    <m/>
    <m/>
    <m/>
    <m/>
    <m/>
    <m/>
    <n v="0"/>
    <n v="0"/>
    <n v="0"/>
    <n v="0"/>
    <m/>
    <m/>
    <n v="0"/>
    <n v="0"/>
  </r>
  <r>
    <x v="6"/>
    <s v="Nunez Community College"/>
    <m/>
    <n v="158884"/>
    <x v="8"/>
    <s v="sem"/>
    <s v="sem"/>
    <m/>
    <m/>
    <n v="18886"/>
    <n v="20769"/>
    <n v="3755"/>
    <n v="3191"/>
    <n v="20719"/>
    <n v="21466"/>
    <n v="43360"/>
    <n v="1445.3333333333333"/>
    <n v="45426"/>
    <n v="1514.2"/>
    <n v="7288"/>
    <n v="9155"/>
    <n v="43360"/>
    <n v="45426"/>
    <m/>
    <m/>
    <m/>
    <m/>
    <m/>
    <m/>
    <m/>
    <m/>
    <n v="0"/>
    <n v="0"/>
    <n v="0"/>
    <n v="0"/>
    <m/>
    <m/>
    <n v="0"/>
    <n v="0"/>
  </r>
  <r>
    <x v="6"/>
    <s v="River Parishes Community College"/>
    <m/>
    <n v="436304"/>
    <x v="8"/>
    <s v="sem"/>
    <s v="sem"/>
    <n v="72"/>
    <m/>
    <n v="18328"/>
    <n v="16081"/>
    <n v="3161"/>
    <n v="3216"/>
    <n v="18504"/>
    <n v="17552"/>
    <n v="40065"/>
    <n v="1335.5"/>
    <n v="36849"/>
    <n v="1228.3"/>
    <n v="5507"/>
    <n v="3802"/>
    <n v="40065"/>
    <n v="36849"/>
    <m/>
    <m/>
    <m/>
    <m/>
    <m/>
    <m/>
    <m/>
    <m/>
    <n v="0"/>
    <n v="0"/>
    <n v="0"/>
    <n v="0"/>
    <m/>
    <m/>
    <n v="0"/>
    <n v="0"/>
  </r>
  <r>
    <x v="6"/>
    <s v="Central LA Technical College"/>
    <m/>
    <n v="158088"/>
    <x v="9"/>
    <s v="sem"/>
    <s v="sem"/>
    <m/>
    <m/>
    <n v="18610"/>
    <n v="16427"/>
    <n v="4887"/>
    <n v="3607"/>
    <n v="20083"/>
    <n v="20806"/>
    <n v="43580"/>
    <n v="1452.6666666666667"/>
    <n v="40840"/>
    <n v="1361.3333333333333"/>
    <n v="4383"/>
    <n v="5411"/>
    <n v="43580"/>
    <n v="40840"/>
    <m/>
    <m/>
    <m/>
    <m/>
    <m/>
    <m/>
    <m/>
    <m/>
    <n v="0"/>
    <n v="0"/>
    <n v="0"/>
    <n v="0"/>
    <m/>
    <m/>
    <n v="0"/>
    <n v="0"/>
  </r>
  <r>
    <x v="6"/>
    <s v="L.E. Fletcher Technical Community College"/>
    <m/>
    <n v="160481"/>
    <x v="9"/>
    <s v="sem"/>
    <s v="sem"/>
    <m/>
    <m/>
    <n v="19497"/>
    <n v="17417"/>
    <n v="2535"/>
    <n v="2724"/>
    <n v="20926.5"/>
    <n v="19419.5"/>
    <n v="42958.5"/>
    <n v="1431.95"/>
    <n v="39560.5"/>
    <n v="1318.6833333333334"/>
    <n v="2210"/>
    <n v="1327"/>
    <n v="42958.5"/>
    <n v="39560.5"/>
    <m/>
    <m/>
    <n v="23225"/>
    <n v="17059"/>
    <n v="8612"/>
    <n v="4068"/>
    <n v="19199"/>
    <n v="16103"/>
    <n v="51036"/>
    <n v="56.706666666666663"/>
    <n v="37230"/>
    <n v="41.366666666666667"/>
    <m/>
    <m/>
    <n v="0"/>
    <n v="0"/>
  </r>
  <r>
    <x v="6"/>
    <s v="Northshore Technical College"/>
    <m/>
    <n v="160667"/>
    <x v="9"/>
    <s v="sem"/>
    <s v="sem"/>
    <m/>
    <m/>
    <n v="21065"/>
    <n v="22203"/>
    <n v="3760"/>
    <n v="3067"/>
    <n v="25910"/>
    <n v="23683"/>
    <n v="50735"/>
    <n v="1691.1666666666667"/>
    <n v="48953"/>
    <n v="1631.7666666666667"/>
    <n v="7855"/>
    <n v="8963"/>
    <n v="50735"/>
    <n v="48953"/>
    <m/>
    <m/>
    <m/>
    <m/>
    <m/>
    <m/>
    <m/>
    <m/>
    <n v="0"/>
    <n v="0"/>
    <n v="0"/>
    <n v="0"/>
    <m/>
    <m/>
    <n v="0"/>
    <n v="0"/>
  </r>
  <r>
    <x v="6"/>
    <s v="Northwest LA Technical College"/>
    <m/>
    <n v="160010"/>
    <x v="9"/>
    <s v="sem"/>
    <s v="sem"/>
    <m/>
    <m/>
    <n v="23608"/>
    <n v="25400"/>
    <n v="6616"/>
    <n v="6126"/>
    <n v="25136"/>
    <n v="21495"/>
    <n v="55360"/>
    <n v="1845.3333333333333"/>
    <n v="53021"/>
    <n v="1767.3666666666666"/>
    <n v="12662"/>
    <n v="13474"/>
    <n v="55360"/>
    <n v="53021"/>
    <m/>
    <m/>
    <m/>
    <m/>
    <m/>
    <m/>
    <m/>
    <m/>
    <n v="0"/>
    <n v="0"/>
    <n v="0"/>
    <n v="0"/>
    <m/>
    <m/>
    <n v="0"/>
    <n v="0"/>
  </r>
  <r>
    <x v="6"/>
    <s v="South Central LA Technical College"/>
    <m/>
    <n v="160913"/>
    <x v="9"/>
    <s v="sem"/>
    <s v="sem"/>
    <m/>
    <m/>
    <n v="18278"/>
    <n v="16969"/>
    <n v="3388"/>
    <n v="3356"/>
    <n v="22582"/>
    <n v="18834"/>
    <n v="44248"/>
    <n v="1474.9333333333334"/>
    <n v="39159"/>
    <n v="1305.3"/>
    <n v="13664"/>
    <n v="9046.9000000000015"/>
    <n v="44248"/>
    <n v="39159"/>
    <m/>
    <m/>
    <n v="27913"/>
    <n v="16798"/>
    <n v="9295.5"/>
    <n v="3064"/>
    <n v="17189"/>
    <n v="2381"/>
    <n v="54397.5"/>
    <n v="60.44166666666667"/>
    <n v="22243"/>
    <n v="24.714444444444446"/>
    <m/>
    <m/>
    <n v="0"/>
    <n v="0"/>
  </r>
  <r>
    <x v="6"/>
    <s v="Sowela Technical Community College"/>
    <m/>
    <n v="160579"/>
    <x v="9"/>
    <s v="sem"/>
    <s v="sem"/>
    <m/>
    <m/>
    <n v="31171"/>
    <n v="32157"/>
    <n v="5288"/>
    <n v="4257"/>
    <n v="34145"/>
    <n v="34792.5"/>
    <n v="70604"/>
    <n v="2353.4666666666667"/>
    <n v="71206.5"/>
    <n v="2373.5500000000002"/>
    <n v="5729"/>
    <n v="6408"/>
    <n v="70604"/>
    <n v="71206.5"/>
    <m/>
    <m/>
    <n v="60"/>
    <m/>
    <m/>
    <m/>
    <n v="126"/>
    <m/>
    <n v="186"/>
    <n v="0.20666666666666667"/>
    <n v="0"/>
    <n v="0"/>
    <m/>
    <m/>
    <n v="0"/>
    <n v="0"/>
  </r>
  <r>
    <x v="7"/>
    <s v="University of Maryland College Park"/>
    <m/>
    <n v="163286"/>
    <x v="0"/>
    <s v="sem"/>
    <s v="sem"/>
    <n v="11097"/>
    <n v="11706"/>
    <n v="371198"/>
    <n v="377263"/>
    <n v="35253"/>
    <n v="35388"/>
    <n v="383813"/>
    <n v="390187"/>
    <n v="801361"/>
    <n v="26712.033333333333"/>
    <n v="814544"/>
    <n v="27151.466666666667"/>
    <m/>
    <m/>
    <n v="0"/>
    <n v="0"/>
    <m/>
    <m/>
    <m/>
    <m/>
    <m/>
    <m/>
    <m/>
    <m/>
    <n v="0"/>
    <n v="0"/>
    <n v="0"/>
    <n v="0"/>
    <m/>
    <m/>
    <n v="0"/>
    <n v="0"/>
  </r>
  <r>
    <x v="7"/>
    <s v="Morgan State University"/>
    <m/>
    <n v="163453"/>
    <x v="1"/>
    <s v="sem"/>
    <s v="sem"/>
    <n v="1503"/>
    <n v="2075"/>
    <n v="83221"/>
    <n v="83801"/>
    <n v="5286"/>
    <n v="7649"/>
    <n v="86507"/>
    <n v="89874"/>
    <n v="176517"/>
    <n v="5883.9"/>
    <n v="183399"/>
    <n v="6113.3"/>
    <m/>
    <m/>
    <n v="0"/>
    <n v="0"/>
    <m/>
    <m/>
    <m/>
    <m/>
    <m/>
    <m/>
    <m/>
    <m/>
    <n v="0"/>
    <n v="0"/>
    <n v="0"/>
    <n v="0"/>
    <m/>
    <m/>
    <n v="0"/>
    <n v="0"/>
  </r>
  <r>
    <x v="7"/>
    <s v="University of Maryland, Baltimore County"/>
    <m/>
    <n v="163268"/>
    <x v="1"/>
    <s v="sem"/>
    <s v="sem"/>
    <n v="5654.5"/>
    <n v="6027.5"/>
    <n v="141527"/>
    <n v="143985"/>
    <n v="19557"/>
    <n v="18062"/>
    <n v="153050.5"/>
    <n v="151874"/>
    <n v="319789"/>
    <n v="10659.633333333333"/>
    <n v="319948.5"/>
    <n v="10664.95"/>
    <m/>
    <m/>
    <n v="0"/>
    <n v="0"/>
    <m/>
    <m/>
    <m/>
    <m/>
    <m/>
    <m/>
    <m/>
    <m/>
    <n v="0"/>
    <n v="0"/>
    <n v="0"/>
    <n v="0"/>
    <m/>
    <m/>
    <n v="0"/>
    <n v="0"/>
  </r>
  <r>
    <x v="7"/>
    <s v="Towson University "/>
    <m/>
    <n v="164076"/>
    <x v="2"/>
    <s v="sem"/>
    <s v="sem"/>
    <n v="7367"/>
    <n v="7494"/>
    <n v="246419"/>
    <n v="245823.5"/>
    <n v="26670"/>
    <n v="27673"/>
    <n v="257822"/>
    <n v="260805"/>
    <n v="538278"/>
    <n v="17942.599999999999"/>
    <n v="541795.5"/>
    <n v="18059.849999999999"/>
    <m/>
    <m/>
    <n v="0"/>
    <n v="0"/>
    <m/>
    <m/>
    <m/>
    <m/>
    <m/>
    <m/>
    <m/>
    <m/>
    <n v="0"/>
    <n v="0"/>
    <n v="0"/>
    <n v="0"/>
    <m/>
    <m/>
    <n v="0"/>
    <n v="0"/>
  </r>
  <r>
    <x v="7"/>
    <s v="Bowie State University "/>
    <s v="Met the criteria for Four-Year 3 in 2015-16."/>
    <n v="162007"/>
    <x v="3"/>
    <s v="sem"/>
    <s v="sem"/>
    <n v="1423"/>
    <n v="1404"/>
    <n v="53309"/>
    <n v="55084"/>
    <n v="6302"/>
    <n v="5201"/>
    <n v="58865"/>
    <n v="57786"/>
    <n v="119899"/>
    <n v="3996.6333333333332"/>
    <n v="119475"/>
    <n v="3982.5"/>
    <m/>
    <m/>
    <n v="0"/>
    <n v="0"/>
    <m/>
    <m/>
    <m/>
    <m/>
    <m/>
    <m/>
    <m/>
    <m/>
    <n v="0"/>
    <n v="0"/>
    <n v="0"/>
    <n v="0"/>
    <m/>
    <m/>
    <n v="0"/>
    <n v="0"/>
  </r>
  <r>
    <x v="7"/>
    <s v="Frostburg State University "/>
    <s v="Met the criteria for Four-Year 3 in 2015-16."/>
    <n v="162584"/>
    <x v="3"/>
    <s v="sem"/>
    <s v="sem"/>
    <n v="2167"/>
    <n v="2262"/>
    <n v="60298"/>
    <n v="60977"/>
    <n v="5886"/>
    <n v="6296"/>
    <n v="66083"/>
    <n v="66510"/>
    <n v="134434"/>
    <n v="4481.1333333333332"/>
    <n v="136045"/>
    <n v="4534.833333333333"/>
    <m/>
    <m/>
    <n v="0"/>
    <n v="0"/>
    <m/>
    <m/>
    <m/>
    <m/>
    <m/>
    <m/>
    <m/>
    <m/>
    <n v="0"/>
    <n v="0"/>
    <n v="0"/>
    <n v="0"/>
    <m/>
    <m/>
    <n v="0"/>
    <n v="0"/>
  </r>
  <r>
    <x v="7"/>
    <s v="Salisbury University "/>
    <s v="Met the criteria for Four-Year 3 in 2015-16."/>
    <n v="163851"/>
    <x v="3"/>
    <s v="sem"/>
    <s v="sem"/>
    <n v="6366"/>
    <n v="6146"/>
    <n v="111321"/>
    <n v="107618"/>
    <n v="7022"/>
    <n v="6727"/>
    <n v="114984"/>
    <n v="111842"/>
    <n v="239693"/>
    <n v="7989.7666666666664"/>
    <n v="232333"/>
    <n v="7744.4333333333334"/>
    <m/>
    <m/>
    <n v="0"/>
    <n v="0"/>
    <m/>
    <m/>
    <m/>
    <m/>
    <m/>
    <m/>
    <m/>
    <m/>
    <n v="0"/>
    <n v="0"/>
    <n v="0"/>
    <n v="0"/>
    <m/>
    <m/>
    <n v="0"/>
    <n v="0"/>
  </r>
  <r>
    <x v="7"/>
    <s v="University of Baltimore"/>
    <s v="Met the criteria for Four-Year 3 in 2014-15 and 2015-16."/>
    <n v="161873"/>
    <x v="3"/>
    <s v="sem"/>
    <s v="sem"/>
    <n v="159"/>
    <n v="195"/>
    <n v="34411"/>
    <n v="34155"/>
    <n v="4758"/>
    <n v="4533"/>
    <n v="37295"/>
    <n v="36138"/>
    <n v="76623"/>
    <n v="2554.1"/>
    <n v="75021"/>
    <n v="2500.6999999999998"/>
    <m/>
    <m/>
    <n v="0"/>
    <n v="0"/>
    <m/>
    <m/>
    <m/>
    <m/>
    <m/>
    <m/>
    <m/>
    <m/>
    <n v="0"/>
    <n v="0"/>
    <n v="0"/>
    <n v="0"/>
    <m/>
    <m/>
    <n v="0"/>
    <n v="0"/>
  </r>
  <r>
    <x v="7"/>
    <s v="University of Maryland Eastern Shore "/>
    <m/>
    <n v="163338"/>
    <x v="3"/>
    <s v="sem"/>
    <s v="sem"/>
    <n v="1522"/>
    <n v="1469"/>
    <n v="46611"/>
    <n v="46095.5"/>
    <n v="4290"/>
    <n v="3472"/>
    <n v="51509"/>
    <n v="53515"/>
    <n v="103932"/>
    <n v="3464.4"/>
    <n v="104551.5"/>
    <n v="3485.05"/>
    <m/>
    <m/>
    <n v="0"/>
    <n v="0"/>
    <m/>
    <m/>
    <m/>
    <m/>
    <m/>
    <m/>
    <m/>
    <m/>
    <n v="0"/>
    <n v="0"/>
    <n v="0"/>
    <n v="0"/>
    <m/>
    <m/>
    <n v="0"/>
    <n v="0"/>
  </r>
  <r>
    <x v="7"/>
    <s v="Coppin State University"/>
    <m/>
    <n v="162283"/>
    <x v="4"/>
    <s v="sem"/>
    <s v="sem"/>
    <n v="273"/>
    <n v="378"/>
    <n v="35644"/>
    <n v="33126"/>
    <n v="422"/>
    <n v="2533"/>
    <n v="35910"/>
    <n v="34063"/>
    <n v="72249"/>
    <n v="2408.3000000000002"/>
    <n v="70100"/>
    <n v="2336.6666666666665"/>
    <m/>
    <m/>
    <n v="0"/>
    <n v="0"/>
    <m/>
    <m/>
    <m/>
    <m/>
    <m/>
    <m/>
    <m/>
    <m/>
    <n v="0"/>
    <n v="0"/>
    <n v="0"/>
    <n v="0"/>
    <m/>
    <m/>
    <n v="0"/>
    <n v="0"/>
  </r>
  <r>
    <x v="7"/>
    <s v="Saint Mary's College of Maryland"/>
    <m/>
    <n v="163912"/>
    <x v="5"/>
    <s v="sem"/>
    <s v="sem"/>
    <n v="0"/>
    <n v="0"/>
    <n v="26318.5"/>
    <n v="25617"/>
    <n v="1354"/>
    <n v="1243"/>
    <n v="26468"/>
    <n v="26724.5"/>
    <n v="54140.5"/>
    <n v="1804.6833333333334"/>
    <n v="53584.5"/>
    <n v="1786.15"/>
    <m/>
    <m/>
    <n v="0"/>
    <n v="0"/>
    <m/>
    <m/>
    <m/>
    <m/>
    <m/>
    <m/>
    <m/>
    <m/>
    <n v="0"/>
    <n v="0"/>
    <n v="0"/>
    <n v="0"/>
    <m/>
    <m/>
    <n v="0"/>
    <n v="0"/>
  </r>
  <r>
    <x v="7"/>
    <s v="Anne Arundel Community College "/>
    <m/>
    <n v="161767"/>
    <x v="7"/>
    <s v="sem"/>
    <s v="sem"/>
    <n v="3973"/>
    <n v="4126"/>
    <n v="122241.5"/>
    <n v="114128"/>
    <n v="27705"/>
    <n v="26327"/>
    <n v="117741"/>
    <n v="123028"/>
    <n v="271660.5"/>
    <n v="9055.35"/>
    <n v="267609"/>
    <n v="8920.2999999999993"/>
    <m/>
    <m/>
    <n v="0"/>
    <n v="0"/>
    <m/>
    <m/>
    <m/>
    <m/>
    <m/>
    <m/>
    <m/>
    <m/>
    <n v="0"/>
    <n v="0"/>
    <n v="0"/>
    <n v="0"/>
    <m/>
    <m/>
    <n v="0"/>
    <n v="0"/>
  </r>
  <r>
    <x v="7"/>
    <s v="College of Southern Maryland"/>
    <m/>
    <n v="162122"/>
    <x v="7"/>
    <s v="sem"/>
    <s v="sem"/>
    <n v="1086"/>
    <n v="756"/>
    <n v="68944"/>
    <n v="66488"/>
    <n v="15153"/>
    <n v="16164"/>
    <n v="73354"/>
    <n v="72018"/>
    <n v="158537"/>
    <n v="5284.5666666666666"/>
    <n v="155426"/>
    <n v="5180.8666666666668"/>
    <m/>
    <m/>
    <n v="0"/>
    <n v="0"/>
    <m/>
    <m/>
    <m/>
    <m/>
    <m/>
    <m/>
    <m/>
    <m/>
    <n v="0"/>
    <n v="0"/>
    <n v="0"/>
    <n v="0"/>
    <m/>
    <m/>
    <n v="0"/>
    <n v="0"/>
  </r>
  <r>
    <x v="7"/>
    <s v="Community College of Baltimore County (all campuses)"/>
    <m/>
    <n v="434672"/>
    <x v="7"/>
    <s v="sem"/>
    <s v="sem"/>
    <n v="11047"/>
    <n v="10186"/>
    <n v="179161"/>
    <n v="172054"/>
    <n v="38654"/>
    <n v="35074"/>
    <n v="196715"/>
    <n v="186083"/>
    <n v="425577"/>
    <n v="14185.9"/>
    <n v="403397"/>
    <n v="13446.566666666668"/>
    <m/>
    <m/>
    <n v="0"/>
    <n v="0"/>
    <m/>
    <m/>
    <m/>
    <m/>
    <m/>
    <m/>
    <m/>
    <m/>
    <n v="0"/>
    <n v="0"/>
    <n v="0"/>
    <n v="0"/>
    <m/>
    <m/>
    <n v="0"/>
    <n v="0"/>
  </r>
  <r>
    <x v="7"/>
    <s v="Howard Community College "/>
    <m/>
    <n v="162779"/>
    <x v="7"/>
    <s v="sem"/>
    <s v="sem"/>
    <n v="6158"/>
    <n v="5774"/>
    <n v="81059"/>
    <n v="80487"/>
    <n v="25542"/>
    <n v="19593"/>
    <n v="90552"/>
    <n v="87944"/>
    <n v="203311"/>
    <n v="6777.0333333333338"/>
    <n v="193798"/>
    <n v="6459.9333333333334"/>
    <m/>
    <m/>
    <n v="0"/>
    <n v="0"/>
    <m/>
    <m/>
    <m/>
    <m/>
    <m/>
    <m/>
    <m/>
    <m/>
    <n v="0"/>
    <n v="0"/>
    <n v="0"/>
    <n v="0"/>
    <m/>
    <m/>
    <n v="0"/>
    <n v="0"/>
  </r>
  <r>
    <x v="7"/>
    <s v="Montgomery College (all campuses)"/>
    <m/>
    <n v="163426"/>
    <x v="7"/>
    <s v="sem"/>
    <s v="sem"/>
    <n v="4625"/>
    <n v="4395"/>
    <n v="279200"/>
    <n v="273244"/>
    <n v="147274"/>
    <n v="147032"/>
    <n v="269389"/>
    <n v="272828"/>
    <n v="700488"/>
    <n v="23349.599999999999"/>
    <n v="697499"/>
    <n v="23249.966666666667"/>
    <m/>
    <m/>
    <n v="0"/>
    <n v="0"/>
    <m/>
    <m/>
    <m/>
    <m/>
    <m/>
    <m/>
    <m/>
    <m/>
    <n v="0"/>
    <n v="0"/>
    <n v="0"/>
    <n v="0"/>
    <m/>
    <m/>
    <n v="0"/>
    <n v="0"/>
  </r>
  <r>
    <x v="7"/>
    <s v="Prince George's Community College "/>
    <m/>
    <n v="163657"/>
    <x v="7"/>
    <s v="sem"/>
    <s v="sem"/>
    <n v="0"/>
    <n v="0"/>
    <n v="160637"/>
    <n v="139262"/>
    <n v="53673"/>
    <n v="46865"/>
    <n v="157192"/>
    <n v="109520"/>
    <n v="371502"/>
    <n v="12383.4"/>
    <n v="295647"/>
    <n v="9854.9"/>
    <m/>
    <m/>
    <n v="0"/>
    <n v="0"/>
    <m/>
    <m/>
    <m/>
    <m/>
    <m/>
    <m/>
    <m/>
    <m/>
    <n v="0"/>
    <n v="0"/>
    <n v="0"/>
    <n v="0"/>
    <m/>
    <m/>
    <n v="0"/>
    <n v="0"/>
  </r>
  <r>
    <x v="7"/>
    <s v="Allegany College of Maryland"/>
    <m/>
    <n v="161688"/>
    <x v="6"/>
    <s v="sem"/>
    <s v="sem"/>
    <n v="0"/>
    <n v="0"/>
    <n v="30636"/>
    <n v="29419"/>
    <n v="4304"/>
    <n v="4152"/>
    <n v="32671"/>
    <n v="30775"/>
    <n v="67611"/>
    <n v="2253.6999999999998"/>
    <n v="64346"/>
    <n v="2144.8666666666668"/>
    <m/>
    <m/>
    <n v="0"/>
    <n v="0"/>
    <m/>
    <m/>
    <m/>
    <m/>
    <m/>
    <m/>
    <m/>
    <m/>
    <n v="0"/>
    <n v="0"/>
    <n v="0"/>
    <n v="0"/>
    <m/>
    <m/>
    <n v="0"/>
    <n v="0"/>
  </r>
  <r>
    <x v="7"/>
    <s v="Baltimore City Community College"/>
    <s v="Met the criteria for Two-Year 3 in 2015-16."/>
    <n v="161864"/>
    <x v="6"/>
    <s v="sem"/>
    <s v="sem"/>
    <n v="1527"/>
    <n v="1355"/>
    <n v="44469"/>
    <n v="1989"/>
    <n v="7761"/>
    <n v="6946"/>
    <n v="45112"/>
    <n v="37261"/>
    <n v="98869"/>
    <n v="3295.6333333333332"/>
    <n v="47551"/>
    <n v="1585.0333333333333"/>
    <m/>
    <m/>
    <n v="0"/>
    <n v="0"/>
    <m/>
    <m/>
    <m/>
    <m/>
    <m/>
    <m/>
    <m/>
    <m/>
    <n v="0"/>
    <n v="0"/>
    <n v="0"/>
    <n v="0"/>
    <m/>
    <m/>
    <n v="0"/>
    <n v="0"/>
  </r>
  <r>
    <x v="7"/>
    <s v="Carroll Community College"/>
    <m/>
    <n v="405872"/>
    <x v="6"/>
    <s v="sem"/>
    <s v="sem"/>
    <n v="2240"/>
    <n v="2102"/>
    <n v="30687"/>
    <n v="28476"/>
    <n v="5814"/>
    <n v="5781"/>
    <n v="34122"/>
    <n v="32628"/>
    <n v="72863"/>
    <n v="2428.7666666666669"/>
    <n v="68987"/>
    <n v="2299.5666666666666"/>
    <m/>
    <m/>
    <n v="0"/>
    <n v="0"/>
    <m/>
    <m/>
    <m/>
    <m/>
    <m/>
    <m/>
    <m/>
    <m/>
    <n v="0"/>
    <n v="0"/>
    <n v="0"/>
    <n v="0"/>
    <m/>
    <m/>
    <n v="0"/>
    <n v="0"/>
  </r>
  <r>
    <x v="7"/>
    <s v="Frederick Community College "/>
    <m/>
    <n v="162557"/>
    <x v="6"/>
    <s v="sem"/>
    <s v="sem"/>
    <n v="1883"/>
    <n v="1960"/>
    <n v="49747"/>
    <n v="48502"/>
    <n v="9997"/>
    <n v="9911"/>
    <n v="53529"/>
    <n v="52299"/>
    <n v="115156"/>
    <n v="3838.5333333333333"/>
    <n v="112672"/>
    <n v="3755.7333333333331"/>
    <m/>
    <m/>
    <n v="0"/>
    <n v="0"/>
    <m/>
    <m/>
    <m/>
    <m/>
    <m/>
    <m/>
    <m/>
    <m/>
    <n v="0"/>
    <n v="0"/>
    <n v="0"/>
    <n v="0"/>
    <m/>
    <m/>
    <n v="0"/>
    <n v="0"/>
  </r>
  <r>
    <x v="7"/>
    <s v="Hagerstown Community College "/>
    <m/>
    <n v="162690"/>
    <x v="6"/>
    <s v="sem"/>
    <s v="sem"/>
    <n v="0"/>
    <n v="0"/>
    <n v="38352"/>
    <n v="36565"/>
    <n v="11734"/>
    <n v="10858"/>
    <n v="40022"/>
    <n v="38221"/>
    <n v="90108"/>
    <n v="3003.6"/>
    <n v="85644"/>
    <n v="2854.8"/>
    <m/>
    <m/>
    <n v="0"/>
    <n v="0"/>
    <m/>
    <m/>
    <m/>
    <m/>
    <m/>
    <m/>
    <m/>
    <m/>
    <n v="0"/>
    <n v="0"/>
    <n v="0"/>
    <n v="0"/>
    <m/>
    <m/>
    <n v="0"/>
    <n v="0"/>
  </r>
  <r>
    <x v="7"/>
    <s v="Harford Community College "/>
    <m/>
    <n v="162706"/>
    <x v="6"/>
    <s v="sem"/>
    <s v="sem"/>
    <n v="2324"/>
    <n v="2572"/>
    <n v="53000"/>
    <n v="51761"/>
    <n v="11346"/>
    <n v="11043"/>
    <n v="59069.5"/>
    <n v="56953"/>
    <n v="125739.5"/>
    <n v="4191.3166666666666"/>
    <n v="122329"/>
    <n v="4077.6333333333332"/>
    <m/>
    <m/>
    <n v="0"/>
    <n v="0"/>
    <m/>
    <m/>
    <m/>
    <m/>
    <m/>
    <m/>
    <m/>
    <m/>
    <n v="0"/>
    <n v="0"/>
    <n v="0"/>
    <n v="0"/>
    <m/>
    <m/>
    <n v="0"/>
    <n v="0"/>
  </r>
  <r>
    <x v="7"/>
    <s v="Wor-Wic Community College "/>
    <s v="Met the criteria for Two-Year 3 in 2014-15 and 2015-16."/>
    <n v="164313"/>
    <x v="6"/>
    <s v="sem"/>
    <s v="sem"/>
    <n v="0"/>
    <n v="0"/>
    <n v="24255"/>
    <n v="25222"/>
    <n v="5484"/>
    <n v="5400.5"/>
    <n v="27163"/>
    <n v="26871.5"/>
    <n v="56902"/>
    <n v="1896.7333333333333"/>
    <n v="57494"/>
    <n v="1916.4666666666667"/>
    <m/>
    <m/>
    <n v="0"/>
    <n v="0"/>
    <m/>
    <m/>
    <m/>
    <m/>
    <m/>
    <m/>
    <m/>
    <m/>
    <n v="0"/>
    <n v="0"/>
    <n v="0"/>
    <n v="0"/>
    <m/>
    <m/>
    <n v="0"/>
    <n v="0"/>
  </r>
  <r>
    <x v="7"/>
    <s v="Cecil Community College "/>
    <m/>
    <n v="162104"/>
    <x v="8"/>
    <s v="sem"/>
    <s v="sem"/>
    <n v="0"/>
    <n v="0"/>
    <n v="21784"/>
    <n v="20787"/>
    <n v="3494"/>
    <n v="3363"/>
    <n v="23384"/>
    <n v="23498"/>
    <n v="48662"/>
    <n v="1622.0666666666666"/>
    <n v="47648"/>
    <n v="1588.2666666666667"/>
    <m/>
    <m/>
    <n v="0"/>
    <n v="0"/>
    <m/>
    <m/>
    <m/>
    <m/>
    <m/>
    <m/>
    <m/>
    <m/>
    <n v="0"/>
    <n v="0"/>
    <n v="0"/>
    <n v="0"/>
    <m/>
    <m/>
    <n v="0"/>
    <n v="0"/>
  </r>
  <r>
    <x v="7"/>
    <s v="Chesapeake College "/>
    <m/>
    <n v="162168"/>
    <x v="8"/>
    <s v="sem"/>
    <s v="sem"/>
    <n v="18"/>
    <n v="26"/>
    <n v="19979"/>
    <n v="18105"/>
    <n v="2237"/>
    <n v="2159"/>
    <n v="20809"/>
    <n v="19479"/>
    <n v="43043"/>
    <n v="1434.7666666666667"/>
    <n v="39769"/>
    <n v="1325.6333333333334"/>
    <m/>
    <m/>
    <n v="0"/>
    <n v="0"/>
    <m/>
    <m/>
    <m/>
    <m/>
    <m/>
    <m/>
    <m/>
    <m/>
    <n v="0"/>
    <n v="0"/>
    <n v="0"/>
    <n v="0"/>
    <m/>
    <m/>
    <n v="0"/>
    <n v="0"/>
  </r>
  <r>
    <x v="7"/>
    <s v="Garrett College "/>
    <m/>
    <n v="162609"/>
    <x v="8"/>
    <s v="sem"/>
    <s v="sem"/>
    <n v="170"/>
    <n v="269"/>
    <n v="8322"/>
    <n v="7814.5"/>
    <n v="468"/>
    <n v="522"/>
    <n v="9411"/>
    <n v="8948.25"/>
    <n v="18371"/>
    <n v="612.36666666666667"/>
    <n v="17553.75"/>
    <n v="585.125"/>
    <m/>
    <m/>
    <n v="0"/>
    <n v="0"/>
    <m/>
    <m/>
    <m/>
    <m/>
    <m/>
    <m/>
    <m/>
    <m/>
    <n v="0"/>
    <n v="0"/>
    <n v="0"/>
    <n v="0"/>
    <m/>
    <m/>
    <n v="0"/>
    <n v="0"/>
  </r>
  <r>
    <x v="8"/>
    <s v="Mississippi State University"/>
    <m/>
    <n v="176080"/>
    <x v="0"/>
    <s v="sem"/>
    <s v="sem"/>
    <m/>
    <m/>
    <n v="199127"/>
    <n v="202872"/>
    <n v="31565"/>
    <n v="33293"/>
    <n v="221892"/>
    <n v="232457"/>
    <n v="452584"/>
    <n v="15086.133333333333"/>
    <n v="468622"/>
    <n v="15620.733333333334"/>
    <m/>
    <m/>
    <n v="0"/>
    <n v="0"/>
    <m/>
    <m/>
    <m/>
    <m/>
    <m/>
    <m/>
    <m/>
    <m/>
    <n v="0"/>
    <n v="0"/>
    <n v="0"/>
    <n v="0"/>
    <m/>
    <m/>
    <n v="0"/>
    <n v="0"/>
  </r>
  <r>
    <x v="8"/>
    <s v="University of Southern Mississippi"/>
    <m/>
    <n v="176372"/>
    <x v="0"/>
    <s v="sem"/>
    <s v="sem"/>
    <m/>
    <m/>
    <n v="156286"/>
    <n v="142610"/>
    <n v="29280"/>
    <n v="28387"/>
    <n v="158923"/>
    <n v="154765"/>
    <n v="344489"/>
    <n v="11482.966666666667"/>
    <n v="325762"/>
    <n v="10858.733333333334"/>
    <m/>
    <m/>
    <n v="0"/>
    <n v="0"/>
    <m/>
    <m/>
    <m/>
    <m/>
    <m/>
    <m/>
    <m/>
    <m/>
    <n v="0"/>
    <n v="0"/>
    <n v="0"/>
    <n v="0"/>
    <m/>
    <m/>
    <n v="0"/>
    <n v="0"/>
  </r>
  <r>
    <x v="8"/>
    <s v="Jackson State University "/>
    <m/>
    <n v="175856"/>
    <x v="1"/>
    <s v="sem"/>
    <s v="sem"/>
    <m/>
    <m/>
    <n v="70195"/>
    <n v="73061"/>
    <n v="11680"/>
    <n v="10441"/>
    <n v="79936"/>
    <n v="82199"/>
    <n v="161811"/>
    <n v="5393.7"/>
    <n v="165701"/>
    <n v="5523.3666666666668"/>
    <m/>
    <m/>
    <n v="0"/>
    <n v="0"/>
    <m/>
    <m/>
    <m/>
    <m/>
    <m/>
    <m/>
    <m/>
    <m/>
    <n v="0"/>
    <n v="0"/>
    <n v="0"/>
    <n v="0"/>
    <m/>
    <m/>
    <n v="0"/>
    <n v="0"/>
  </r>
  <r>
    <x v="8"/>
    <s v="University of Mississippi"/>
    <s v="Met the criteria for Four-Year 1 in 2015-16."/>
    <n v="176017"/>
    <x v="1"/>
    <s v="sem"/>
    <s v="sem"/>
    <m/>
    <m/>
    <n v="226130"/>
    <n v="235083"/>
    <n v="46179"/>
    <n v="48274"/>
    <n v="241261"/>
    <n v="251542"/>
    <n v="513570"/>
    <n v="17119"/>
    <n v="534899"/>
    <n v="17829.966666666667"/>
    <m/>
    <m/>
    <n v="0"/>
    <n v="0"/>
    <m/>
    <m/>
    <m/>
    <m/>
    <m/>
    <m/>
    <m/>
    <m/>
    <n v="0"/>
    <n v="0"/>
    <n v="0"/>
    <n v="0"/>
    <m/>
    <m/>
    <n v="0"/>
    <n v="0"/>
  </r>
  <r>
    <x v="8"/>
    <s v="Alcorn State University"/>
    <m/>
    <n v="175342"/>
    <x v="3"/>
    <s v="sem"/>
    <s v="sem"/>
    <m/>
    <m/>
    <n v="36709"/>
    <n v="36382"/>
    <n v="6022"/>
    <n v="6082"/>
    <n v="39012"/>
    <n v="38473"/>
    <n v="81743"/>
    <n v="2724.7666666666669"/>
    <n v="80937"/>
    <n v="2697.9"/>
    <m/>
    <m/>
    <n v="0"/>
    <n v="0"/>
    <m/>
    <m/>
    <m/>
    <m/>
    <m/>
    <m/>
    <m/>
    <m/>
    <n v="0"/>
    <n v="0"/>
    <n v="0"/>
    <n v="0"/>
    <m/>
    <m/>
    <n v="0"/>
    <n v="0"/>
  </r>
  <r>
    <x v="8"/>
    <s v="Delta State University"/>
    <s v="Met the criteria for Four-Year 3 in 2015-16."/>
    <n v="175616"/>
    <x v="3"/>
    <s v="sem"/>
    <s v="sem"/>
    <m/>
    <m/>
    <n v="30782"/>
    <n v="32222"/>
    <n v="4508"/>
    <n v="4278"/>
    <n v="34922"/>
    <n v="35015"/>
    <n v="70212"/>
    <n v="2340.4"/>
    <n v="71515"/>
    <n v="2383.8333333333335"/>
    <m/>
    <m/>
    <n v="0"/>
    <n v="0"/>
    <m/>
    <m/>
    <m/>
    <m/>
    <m/>
    <m/>
    <m/>
    <m/>
    <n v="0"/>
    <n v="0"/>
    <n v="0"/>
    <n v="0"/>
    <m/>
    <m/>
    <n v="0"/>
    <n v="0"/>
  </r>
  <r>
    <x v="8"/>
    <s v="Mississippi Valley State University"/>
    <m/>
    <n v="176044"/>
    <x v="3"/>
    <s v="sem"/>
    <s v="sem"/>
    <m/>
    <m/>
    <n v="23627"/>
    <n v="23514"/>
    <n v="4314"/>
    <n v="3541"/>
    <n v="25295"/>
    <n v="24795"/>
    <n v="53236"/>
    <n v="1774.5333333333333"/>
    <n v="51850"/>
    <n v="1728.3333333333333"/>
    <m/>
    <m/>
    <n v="0"/>
    <n v="0"/>
    <m/>
    <m/>
    <m/>
    <m/>
    <m/>
    <m/>
    <m/>
    <m/>
    <n v="0"/>
    <n v="0"/>
    <n v="0"/>
    <n v="0"/>
    <m/>
    <m/>
    <n v="0"/>
    <n v="0"/>
  </r>
  <r>
    <x v="8"/>
    <s v="Mississippi University for Women"/>
    <m/>
    <n v="176035"/>
    <x v="4"/>
    <s v="sem"/>
    <s v="sem"/>
    <m/>
    <m/>
    <n v="28271"/>
    <n v="29219"/>
    <n v="9979"/>
    <n v="10214"/>
    <n v="31022"/>
    <n v="30232"/>
    <n v="69272"/>
    <n v="2309.0666666666666"/>
    <n v="69665"/>
    <n v="2322.1666666666665"/>
    <m/>
    <m/>
    <n v="0"/>
    <n v="0"/>
    <m/>
    <m/>
    <m/>
    <m/>
    <m/>
    <m/>
    <m/>
    <m/>
    <n v="0"/>
    <n v="0"/>
    <n v="0"/>
    <n v="0"/>
    <m/>
    <m/>
    <n v="0"/>
    <n v="0"/>
  </r>
  <r>
    <x v="8"/>
    <s v="Hinds Community College "/>
    <m/>
    <n v="175786"/>
    <x v="7"/>
    <s v="sem"/>
    <m/>
    <m/>
    <m/>
    <n v="128433"/>
    <n v="129529"/>
    <n v="25818"/>
    <n v="25321"/>
    <n v="148733"/>
    <n v="146452"/>
    <n v="302984"/>
    <n v="10099.466666666667"/>
    <n v="301302"/>
    <n v="10043.4"/>
    <n v="12154"/>
    <n v="13050"/>
    <n v="302984"/>
    <n v="301302"/>
    <m/>
    <m/>
    <m/>
    <m/>
    <m/>
    <m/>
    <m/>
    <m/>
    <n v="0"/>
    <n v="0"/>
    <n v="0"/>
    <n v="0"/>
    <m/>
    <m/>
    <n v="0"/>
    <n v="0"/>
  </r>
  <r>
    <x v="8"/>
    <s v="Itawamba Community College "/>
    <m/>
    <n v="175829"/>
    <x v="7"/>
    <s v="sem"/>
    <m/>
    <m/>
    <m/>
    <n v="73547"/>
    <n v="68242"/>
    <n v="8490"/>
    <n v="8025"/>
    <n v="79594"/>
    <n v="76222"/>
    <n v="161631"/>
    <n v="5387.7"/>
    <n v="152489"/>
    <n v="5082.9666666666662"/>
    <n v="3689"/>
    <n v="5533"/>
    <n v="161631"/>
    <n v="152489"/>
    <m/>
    <m/>
    <m/>
    <m/>
    <m/>
    <m/>
    <m/>
    <m/>
    <n v="0"/>
    <n v="0"/>
    <n v="0"/>
    <n v="0"/>
    <m/>
    <m/>
    <n v="0"/>
    <n v="0"/>
  </r>
  <r>
    <x v="8"/>
    <s v="Mississippi Gulf Coast Community College "/>
    <m/>
    <n v="176071"/>
    <x v="7"/>
    <s v="sem"/>
    <m/>
    <m/>
    <m/>
    <n v="106692"/>
    <n v="106370"/>
    <n v="20519"/>
    <n v="20474"/>
    <n v="113418"/>
    <n v="117641"/>
    <n v="240629"/>
    <n v="8020.9666666666662"/>
    <n v="244485"/>
    <n v="8149.5"/>
    <n v="4332"/>
    <n v="5134"/>
    <n v="240629"/>
    <n v="244485"/>
    <m/>
    <m/>
    <m/>
    <m/>
    <m/>
    <m/>
    <m/>
    <m/>
    <n v="0"/>
    <n v="0"/>
    <n v="0"/>
    <n v="0"/>
    <m/>
    <m/>
    <n v="0"/>
    <n v="0"/>
  </r>
  <r>
    <x v="8"/>
    <s v="Northwest Mississippi Community College "/>
    <m/>
    <n v="176178"/>
    <x v="7"/>
    <s v="sem"/>
    <m/>
    <m/>
    <m/>
    <n v="90838"/>
    <n v="89829"/>
    <n v="16448"/>
    <n v="15228"/>
    <n v="99583"/>
    <n v="96395"/>
    <n v="206869"/>
    <n v="6895.6333333333332"/>
    <n v="201452"/>
    <n v="6715.0666666666666"/>
    <n v="3062"/>
    <n v="4210"/>
    <n v="206869"/>
    <n v="201452"/>
    <m/>
    <m/>
    <m/>
    <m/>
    <m/>
    <m/>
    <m/>
    <m/>
    <n v="0"/>
    <n v="0"/>
    <n v="0"/>
    <n v="0"/>
    <m/>
    <m/>
    <n v="0"/>
    <n v="0"/>
  </r>
  <r>
    <x v="8"/>
    <s v="Copiah-Lincoln Community College "/>
    <m/>
    <n v="175573"/>
    <x v="6"/>
    <s v="sem"/>
    <m/>
    <m/>
    <m/>
    <n v="34555"/>
    <n v="34581"/>
    <n v="6907"/>
    <n v="6928"/>
    <n v="39428"/>
    <n v="40145"/>
    <n v="80890"/>
    <n v="2696.3333333333335"/>
    <n v="81654"/>
    <n v="2721.8"/>
    <n v="2845"/>
    <n v="4022"/>
    <n v="80890"/>
    <n v="81654"/>
    <m/>
    <m/>
    <m/>
    <m/>
    <m/>
    <m/>
    <m/>
    <m/>
    <n v="0"/>
    <n v="0"/>
    <n v="0"/>
    <n v="0"/>
    <m/>
    <m/>
    <n v="0"/>
    <n v="0"/>
  </r>
  <r>
    <x v="8"/>
    <s v="East Central Community College "/>
    <m/>
    <n v="175643"/>
    <x v="6"/>
    <s v="sem"/>
    <m/>
    <m/>
    <m/>
    <n v="30516"/>
    <n v="31883"/>
    <n v="4629"/>
    <n v="4628"/>
    <n v="36425"/>
    <n v="36602"/>
    <n v="71570"/>
    <n v="2385.6666666666665"/>
    <n v="73113"/>
    <n v="2437.1"/>
    <n v="2398"/>
    <n v="3104"/>
    <n v="71570"/>
    <n v="73113"/>
    <m/>
    <m/>
    <m/>
    <m/>
    <m/>
    <m/>
    <m/>
    <m/>
    <n v="0"/>
    <n v="0"/>
    <n v="0"/>
    <n v="0"/>
    <m/>
    <m/>
    <n v="0"/>
    <n v="0"/>
  </r>
  <r>
    <x v="8"/>
    <s v="East Mississippi Community College "/>
    <m/>
    <n v="175652"/>
    <x v="6"/>
    <s v="sem"/>
    <m/>
    <m/>
    <m/>
    <n v="51218"/>
    <n v="50517"/>
    <n v="11525"/>
    <n v="10869"/>
    <n v="55874"/>
    <n v="56645"/>
    <n v="118617"/>
    <n v="3953.9"/>
    <n v="118031"/>
    <n v="3934.3666666666668"/>
    <n v="2447"/>
    <n v="3379"/>
    <n v="118617"/>
    <n v="118031"/>
    <m/>
    <m/>
    <m/>
    <m/>
    <m/>
    <m/>
    <m/>
    <m/>
    <n v="0"/>
    <n v="0"/>
    <n v="0"/>
    <n v="0"/>
    <m/>
    <m/>
    <n v="0"/>
    <n v="0"/>
  </r>
  <r>
    <x v="8"/>
    <s v="Holmes Community College "/>
    <s v="Met the criteria for Two-Year 1 in 2015-16."/>
    <n v="175810"/>
    <x v="6"/>
    <s v="sem"/>
    <m/>
    <m/>
    <m/>
    <n v="66361"/>
    <n v="67348"/>
    <n v="16903"/>
    <n v="17508"/>
    <n v="75684"/>
    <n v="75253"/>
    <n v="158948"/>
    <n v="5298.2666666666664"/>
    <n v="160109"/>
    <n v="5336.9666666666662"/>
    <n v="2869"/>
    <n v="4623"/>
    <n v="158948"/>
    <n v="160109"/>
    <m/>
    <m/>
    <m/>
    <m/>
    <m/>
    <m/>
    <m/>
    <m/>
    <n v="0"/>
    <n v="0"/>
    <n v="0"/>
    <n v="0"/>
    <m/>
    <m/>
    <n v="0"/>
    <n v="0"/>
  </r>
  <r>
    <x v="8"/>
    <s v="Jones County Junior College "/>
    <m/>
    <n v="175883"/>
    <x v="6"/>
    <s v="sem"/>
    <m/>
    <m/>
    <m/>
    <n v="59000"/>
    <n v="55664"/>
    <n v="10384"/>
    <n v="13632"/>
    <n v="64957"/>
    <n v="66627"/>
    <n v="134341"/>
    <n v="4478.0333333333338"/>
    <n v="135923"/>
    <n v="4530.7666666666664"/>
    <n v="3056"/>
    <n v="3729"/>
    <n v="134341"/>
    <n v="135923"/>
    <m/>
    <m/>
    <m/>
    <m/>
    <m/>
    <m/>
    <m/>
    <m/>
    <n v="0"/>
    <n v="0"/>
    <n v="0"/>
    <n v="0"/>
    <m/>
    <m/>
    <n v="0"/>
    <n v="0"/>
  </r>
  <r>
    <x v="8"/>
    <s v="Meridian Community College "/>
    <m/>
    <n v="175935"/>
    <x v="6"/>
    <s v="sem"/>
    <m/>
    <m/>
    <m/>
    <n v="40278.5"/>
    <n v="38670"/>
    <n v="6796"/>
    <n v="6909"/>
    <n v="43288.5"/>
    <n v="44669"/>
    <n v="90363"/>
    <n v="3012.1"/>
    <n v="90248"/>
    <n v="3008.2666666666669"/>
    <n v="1027"/>
    <n v="1589"/>
    <n v="90363"/>
    <n v="90248"/>
    <m/>
    <m/>
    <m/>
    <m/>
    <m/>
    <m/>
    <m/>
    <m/>
    <n v="0"/>
    <n v="0"/>
    <n v="0"/>
    <n v="0"/>
    <m/>
    <m/>
    <n v="0"/>
    <n v="0"/>
  </r>
  <r>
    <x v="8"/>
    <s v="Mississippi Delta Community College "/>
    <m/>
    <n v="176008"/>
    <x v="6"/>
    <s v="sem"/>
    <m/>
    <m/>
    <m/>
    <n v="35501"/>
    <n v="31627"/>
    <n v="5318"/>
    <n v="4319"/>
    <n v="35197"/>
    <n v="31446"/>
    <n v="76016"/>
    <n v="2533.8666666666668"/>
    <n v="67392"/>
    <n v="2246.4"/>
    <n v="1523"/>
    <n v="1327"/>
    <n v="76016"/>
    <n v="67392"/>
    <m/>
    <m/>
    <m/>
    <m/>
    <m/>
    <m/>
    <m/>
    <m/>
    <n v="0"/>
    <n v="0"/>
    <n v="0"/>
    <n v="0"/>
    <m/>
    <m/>
    <n v="0"/>
    <n v="0"/>
  </r>
  <r>
    <x v="8"/>
    <s v="Northeast Mississippi Community College "/>
    <m/>
    <n v="176169"/>
    <x v="6"/>
    <s v="sem"/>
    <m/>
    <m/>
    <m/>
    <n v="40186"/>
    <n v="43904"/>
    <n v="3855"/>
    <n v="3345"/>
    <n v="47306"/>
    <n v="47701"/>
    <n v="91347"/>
    <n v="3044.9"/>
    <n v="94950"/>
    <n v="3165"/>
    <n v="1945"/>
    <n v="3820"/>
    <n v="91347"/>
    <n v="94950"/>
    <m/>
    <m/>
    <m/>
    <m/>
    <m/>
    <m/>
    <m/>
    <m/>
    <n v="0"/>
    <n v="0"/>
    <n v="0"/>
    <n v="0"/>
    <m/>
    <m/>
    <n v="0"/>
    <n v="0"/>
  </r>
  <r>
    <x v="8"/>
    <s v="Pearl River Community College "/>
    <m/>
    <n v="176239"/>
    <x v="6"/>
    <s v="sem"/>
    <m/>
    <m/>
    <m/>
    <n v="50243"/>
    <n v="50640"/>
    <n v="9029"/>
    <n v="8768"/>
    <n v="58030"/>
    <n v="56131"/>
    <n v="117302"/>
    <n v="3910.0666666666666"/>
    <n v="115539"/>
    <n v="3851.3"/>
    <n v="2553"/>
    <n v="3224"/>
    <n v="117302"/>
    <n v="115539"/>
    <m/>
    <m/>
    <m/>
    <m/>
    <m/>
    <m/>
    <m/>
    <m/>
    <n v="0"/>
    <n v="0"/>
    <n v="0"/>
    <n v="0"/>
    <m/>
    <m/>
    <n v="0"/>
    <n v="0"/>
  </r>
  <r>
    <x v="8"/>
    <s v="Coahoma Community College "/>
    <m/>
    <n v="175519"/>
    <x v="8"/>
    <s v="sem"/>
    <m/>
    <m/>
    <m/>
    <n v="23364"/>
    <n v="23939"/>
    <n v="2483"/>
    <n v="3201"/>
    <n v="26453"/>
    <n v="26297"/>
    <n v="52300"/>
    <n v="1743.3333333333333"/>
    <n v="53437"/>
    <n v="1781.2333333333333"/>
    <n v="1161"/>
    <n v="1878"/>
    <n v="52300"/>
    <n v="53437"/>
    <m/>
    <m/>
    <m/>
    <m/>
    <m/>
    <m/>
    <m/>
    <m/>
    <n v="0"/>
    <n v="0"/>
    <n v="0"/>
    <n v="0"/>
    <m/>
    <m/>
    <n v="0"/>
    <n v="0"/>
  </r>
  <r>
    <x v="8"/>
    <s v="Southwest Mississippi Community College"/>
    <m/>
    <n v="176354"/>
    <x v="8"/>
    <s v="sem"/>
    <m/>
    <m/>
    <m/>
    <n v="25279"/>
    <n v="24233"/>
    <n v="2707"/>
    <n v="2524"/>
    <n v="28149"/>
    <n v="27556"/>
    <n v="56135"/>
    <n v="1871.1666666666667"/>
    <n v="54313"/>
    <n v="1810.4333333333334"/>
    <n v="1151"/>
    <n v="1494"/>
    <n v="56135"/>
    <n v="54313"/>
    <m/>
    <m/>
    <m/>
    <m/>
    <m/>
    <m/>
    <m/>
    <m/>
    <n v="0"/>
    <n v="0"/>
    <n v="0"/>
    <n v="0"/>
    <m/>
    <m/>
    <n v="0"/>
    <n v="0"/>
  </r>
  <r>
    <x v="9"/>
    <s v="North Carolina State University "/>
    <m/>
    <n v="199193"/>
    <x v="0"/>
    <s v="sem"/>
    <s v="sem"/>
    <m/>
    <m/>
    <n v="314659"/>
    <n v="312205"/>
    <n v="51991"/>
    <n v="48937"/>
    <n v="331392"/>
    <n v="330596"/>
    <n v="698042"/>
    <n v="23268.066666666666"/>
    <n v="691738"/>
    <n v="23057.933333333334"/>
    <n v="817"/>
    <n v="1291"/>
    <n v="698042"/>
    <n v="691738"/>
    <m/>
    <m/>
    <m/>
    <m/>
    <m/>
    <m/>
    <m/>
    <m/>
    <n v="0"/>
    <n v="0"/>
    <n v="0"/>
    <n v="0"/>
    <m/>
    <m/>
    <n v="0"/>
    <n v="0"/>
  </r>
  <r>
    <x v="9"/>
    <s v="University of North Carolina at Chapel Hill "/>
    <m/>
    <n v="199120"/>
    <x v="0"/>
    <s v="sem"/>
    <s v="sem"/>
    <m/>
    <m/>
    <n v="231683"/>
    <n v="228885"/>
    <n v="30188"/>
    <n v="29153"/>
    <n v="246170"/>
    <n v="245001"/>
    <n v="508041"/>
    <n v="16934.7"/>
    <n v="503039"/>
    <n v="16767.966666666667"/>
    <n v="36"/>
    <n v="50"/>
    <n v="508041"/>
    <n v="503039"/>
    <m/>
    <m/>
    <m/>
    <m/>
    <m/>
    <m/>
    <m/>
    <m/>
    <n v="0"/>
    <n v="0"/>
    <n v="0"/>
    <n v="0"/>
    <m/>
    <m/>
    <n v="0"/>
    <n v="0"/>
  </r>
  <r>
    <x v="9"/>
    <s v="University of North Carolina at Charlotte"/>
    <m/>
    <n v="199139"/>
    <x v="0"/>
    <s v="sem"/>
    <s v="sem"/>
    <m/>
    <m/>
    <n v="269724"/>
    <n v="279158"/>
    <n v="43778"/>
    <n v="47138"/>
    <n v="297509"/>
    <n v="307531"/>
    <n v="611011"/>
    <n v="20367.033333333333"/>
    <n v="633827"/>
    <n v="21127.566666666666"/>
    <n v="0"/>
    <n v="0"/>
    <n v="611011"/>
    <n v="633827"/>
    <m/>
    <m/>
    <m/>
    <m/>
    <m/>
    <m/>
    <m/>
    <m/>
    <n v="0"/>
    <n v="0"/>
    <n v="0"/>
    <n v="0"/>
    <m/>
    <m/>
    <n v="0"/>
    <n v="0"/>
  </r>
  <r>
    <x v="9"/>
    <s v="University of North Carolina at Greensboro"/>
    <m/>
    <n v="199148"/>
    <x v="0"/>
    <s v="sem"/>
    <s v="sem"/>
    <m/>
    <m/>
    <n v="179141"/>
    <n v="186617"/>
    <n v="25846"/>
    <n v="26424"/>
    <n v="197274"/>
    <n v="206694"/>
    <n v="402261"/>
    <n v="13408.7"/>
    <n v="419735"/>
    <n v="13991.166666666666"/>
    <n v="1723"/>
    <n v="3939"/>
    <n v="402261"/>
    <n v="419735"/>
    <m/>
    <m/>
    <m/>
    <m/>
    <m/>
    <m/>
    <m/>
    <m/>
    <n v="0"/>
    <n v="0"/>
    <n v="0"/>
    <n v="0"/>
    <m/>
    <m/>
    <n v="0"/>
    <n v="0"/>
  </r>
  <r>
    <x v="9"/>
    <s v="East Carolina University "/>
    <m/>
    <n v="198464"/>
    <x v="1"/>
    <s v="sem"/>
    <s v="sem"/>
    <m/>
    <m/>
    <n v="260656"/>
    <n v="268497"/>
    <n v="48718"/>
    <n v="49661"/>
    <n v="287533"/>
    <n v="297176"/>
    <n v="596907"/>
    <n v="19896.900000000001"/>
    <n v="615334"/>
    <n v="20511.133333333335"/>
    <n v="2646"/>
    <n v="6035"/>
    <n v="596907"/>
    <n v="615334"/>
    <m/>
    <m/>
    <m/>
    <m/>
    <m/>
    <m/>
    <m/>
    <m/>
    <n v="0"/>
    <n v="0"/>
    <n v="0"/>
    <n v="0"/>
    <m/>
    <m/>
    <n v="0"/>
    <n v="0"/>
  </r>
  <r>
    <x v="9"/>
    <s v="Appalachian State University "/>
    <m/>
    <n v="197869"/>
    <x v="2"/>
    <s v="sem"/>
    <s v="sem"/>
    <m/>
    <m/>
    <n v="218039"/>
    <n v="220984"/>
    <n v="36756"/>
    <n v="37420"/>
    <n v="237489"/>
    <n v="230651"/>
    <n v="492284"/>
    <n v="16409.466666666667"/>
    <n v="489055"/>
    <n v="16301.833333333334"/>
    <n v="0"/>
    <n v="0"/>
    <n v="492284"/>
    <n v="489055"/>
    <m/>
    <m/>
    <m/>
    <m/>
    <m/>
    <m/>
    <m/>
    <m/>
    <n v="0"/>
    <n v="0"/>
    <n v="0"/>
    <n v="0"/>
    <m/>
    <m/>
    <n v="0"/>
    <n v="0"/>
  </r>
  <r>
    <x v="9"/>
    <s v="North Carolina A&amp;T State University"/>
    <m/>
    <n v="199102"/>
    <x v="2"/>
    <s v="sem"/>
    <s v="sem"/>
    <m/>
    <m/>
    <n v="116645"/>
    <n v="116628"/>
    <n v="14313"/>
    <n v="15475"/>
    <n v="125775"/>
    <n v="126172"/>
    <n v="256733"/>
    <n v="8557.7666666666664"/>
    <n v="258275"/>
    <n v="8609.1666666666661"/>
    <n v="384"/>
    <n v="347"/>
    <n v="256733"/>
    <n v="258275"/>
    <m/>
    <m/>
    <m/>
    <m/>
    <m/>
    <m/>
    <m/>
    <m/>
    <n v="0"/>
    <n v="0"/>
    <n v="0"/>
    <n v="0"/>
    <m/>
    <m/>
    <n v="0"/>
    <n v="0"/>
  </r>
  <r>
    <x v="9"/>
    <s v="North Carolina Central University "/>
    <m/>
    <n v="199157"/>
    <x v="2"/>
    <s v="sem"/>
    <s v="sem"/>
    <m/>
    <m/>
    <n v="77296"/>
    <n v="75455"/>
    <n v="19640"/>
    <n v="18797"/>
    <n v="80653"/>
    <n v="83436"/>
    <n v="177589"/>
    <n v="5919.6333333333332"/>
    <n v="177688"/>
    <n v="5922.9333333333334"/>
    <n v="4331"/>
    <n v="4541"/>
    <n v="177589"/>
    <n v="177688"/>
    <m/>
    <m/>
    <m/>
    <m/>
    <m/>
    <m/>
    <m/>
    <m/>
    <n v="0"/>
    <n v="0"/>
    <n v="0"/>
    <n v="0"/>
    <m/>
    <m/>
    <n v="0"/>
    <n v="0"/>
  </r>
  <r>
    <x v="9"/>
    <s v="University of North Carolina at Wilmington"/>
    <m/>
    <n v="199218"/>
    <x v="2"/>
    <s v="sem"/>
    <s v="sem"/>
    <m/>
    <m/>
    <n v="162776"/>
    <n v="167872"/>
    <n v="32837"/>
    <n v="36163"/>
    <n v="179926"/>
    <n v="182198"/>
    <n v="375539"/>
    <n v="12517.966666666667"/>
    <n v="386233"/>
    <n v="12874.433333333332"/>
    <n v="1395"/>
    <n v="1233"/>
    <n v="375539"/>
    <n v="386233"/>
    <m/>
    <m/>
    <m/>
    <m/>
    <m/>
    <m/>
    <m/>
    <m/>
    <n v="0"/>
    <n v="0"/>
    <n v="0"/>
    <n v="0"/>
    <m/>
    <m/>
    <n v="0"/>
    <n v="0"/>
  </r>
  <r>
    <x v="9"/>
    <s v="Western Carolina University "/>
    <m/>
    <n v="200004"/>
    <x v="2"/>
    <s v="sem"/>
    <s v="sem"/>
    <m/>
    <m/>
    <n v="107215"/>
    <n v="109408"/>
    <n v="17010"/>
    <n v="16411"/>
    <n v="118252"/>
    <n v="118776"/>
    <n v="242477"/>
    <n v="8082.5666666666666"/>
    <n v="244595"/>
    <n v="8153.166666666667"/>
    <n v="0"/>
    <n v="0"/>
    <n v="242477"/>
    <n v="244595"/>
    <m/>
    <m/>
    <m/>
    <m/>
    <m/>
    <m/>
    <m/>
    <m/>
    <n v="0"/>
    <n v="0"/>
    <n v="0"/>
    <n v="0"/>
    <m/>
    <m/>
    <n v="0"/>
    <n v="0"/>
  </r>
  <r>
    <x v="9"/>
    <s v="Fayetteville State University "/>
    <m/>
    <n v="198543"/>
    <x v="3"/>
    <s v="sem"/>
    <s v="sem"/>
    <m/>
    <m/>
    <n v="63930"/>
    <n v="63646"/>
    <n v="19165"/>
    <n v="19479"/>
    <n v="65490"/>
    <n v="68258"/>
    <n v="148585"/>
    <n v="4952.833333333333"/>
    <n v="151383"/>
    <n v="5046.1000000000004"/>
    <n v="4699"/>
    <n v="2693"/>
    <n v="148585"/>
    <n v="151383"/>
    <m/>
    <m/>
    <m/>
    <m/>
    <m/>
    <m/>
    <m/>
    <m/>
    <n v="0"/>
    <n v="0"/>
    <n v="0"/>
    <n v="0"/>
    <m/>
    <m/>
    <n v="0"/>
    <n v="0"/>
  </r>
  <r>
    <x v="9"/>
    <s v="University of North Carolina at Pembroke"/>
    <m/>
    <n v="199281"/>
    <x v="4"/>
    <s v="sem"/>
    <s v="sem"/>
    <m/>
    <m/>
    <n v="63039"/>
    <n v="62841"/>
    <n v="16618"/>
    <n v="15883"/>
    <n v="70645"/>
    <n v="73285"/>
    <n v="150302"/>
    <n v="5010.0666666666666"/>
    <n v="152009"/>
    <n v="5066.9666666666662"/>
    <n v="0"/>
    <n v="0"/>
    <n v="150302"/>
    <n v="152009"/>
    <m/>
    <m/>
    <m/>
    <m/>
    <m/>
    <m/>
    <m/>
    <m/>
    <n v="0"/>
    <n v="0"/>
    <n v="0"/>
    <n v="0"/>
    <m/>
    <m/>
    <n v="0"/>
    <n v="0"/>
  </r>
  <r>
    <x v="9"/>
    <s v="Winston-Salem State University "/>
    <m/>
    <n v="199999"/>
    <x v="4"/>
    <s v="sem"/>
    <s v="sem"/>
    <m/>
    <m/>
    <n v="62517"/>
    <n v="56953"/>
    <n v="10577"/>
    <n v="9755"/>
    <n v="63589"/>
    <n v="62494"/>
    <n v="136683"/>
    <n v="4556.1000000000004"/>
    <n v="129202"/>
    <n v="4306.7333333333336"/>
    <n v="0"/>
    <n v="0"/>
    <n v="136683"/>
    <n v="129202"/>
    <m/>
    <m/>
    <m/>
    <m/>
    <m/>
    <m/>
    <m/>
    <m/>
    <n v="0"/>
    <n v="0"/>
    <n v="0"/>
    <n v="0"/>
    <m/>
    <m/>
    <n v="0"/>
    <n v="0"/>
  </r>
  <r>
    <x v="9"/>
    <s v="Elizabeth City State University "/>
    <m/>
    <n v="198507"/>
    <x v="5"/>
    <s v="sem"/>
    <s v="sem"/>
    <m/>
    <m/>
    <n v="29542"/>
    <n v="22900"/>
    <n v="5609"/>
    <n v="4290"/>
    <n v="25622"/>
    <n v="21968"/>
    <n v="60773"/>
    <n v="2025.7666666666667"/>
    <n v="49158"/>
    <n v="1638.6"/>
    <n v="0"/>
    <n v="0"/>
    <n v="60773"/>
    <n v="49158"/>
    <m/>
    <m/>
    <m/>
    <m/>
    <m/>
    <m/>
    <m/>
    <m/>
    <n v="0"/>
    <n v="0"/>
    <n v="0"/>
    <n v="0"/>
    <m/>
    <m/>
    <n v="0"/>
    <n v="0"/>
  </r>
  <r>
    <x v="9"/>
    <s v="University of North Carolina at Asheville"/>
    <m/>
    <n v="199111"/>
    <x v="5"/>
    <s v="sem"/>
    <s v="sem"/>
    <m/>
    <m/>
    <n v="46921"/>
    <n v="46573"/>
    <n v="4281"/>
    <n v="4625"/>
    <n v="49783"/>
    <n v="51674"/>
    <n v="100985"/>
    <n v="3366.1666666666665"/>
    <n v="102872"/>
    <n v="3429.0666666666666"/>
    <n v="0"/>
    <n v="0"/>
    <n v="100985"/>
    <n v="102872"/>
    <m/>
    <m/>
    <m/>
    <m/>
    <m/>
    <m/>
    <m/>
    <m/>
    <n v="0"/>
    <n v="0"/>
    <n v="0"/>
    <n v="0"/>
    <m/>
    <m/>
    <n v="0"/>
    <n v="0"/>
  </r>
  <r>
    <x v="9"/>
    <s v="Asheville-Buncombe Technical Community College"/>
    <m/>
    <n v="197887"/>
    <x v="7"/>
    <s v="sem"/>
    <s v="sem"/>
    <m/>
    <m/>
    <n v="63314"/>
    <n v="56227"/>
    <n v="13781"/>
    <n v="12793"/>
    <n v="68541"/>
    <n v="61116"/>
    <n v="145636"/>
    <n v="4854.5333333333338"/>
    <n v="130136"/>
    <n v="4337.8666666666668"/>
    <n v="12095"/>
    <n v="12655"/>
    <n v="145636"/>
    <n v="130136"/>
    <m/>
    <m/>
    <n v="257617"/>
    <n v="276445"/>
    <n v="196200"/>
    <n v="201298"/>
    <n v="332873"/>
    <n v="299388"/>
    <n v="786690"/>
    <n v="874.1"/>
    <n v="777131"/>
    <n v="863.47888888888883"/>
    <m/>
    <m/>
    <n v="0"/>
    <n v="0"/>
  </r>
  <r>
    <x v="9"/>
    <s v="Cape Fear Community College"/>
    <m/>
    <n v="198154"/>
    <x v="7"/>
    <s v="sem"/>
    <s v="sem"/>
    <m/>
    <m/>
    <n v="87430"/>
    <n v="84218"/>
    <n v="22193"/>
    <n v="21464"/>
    <n v="93609"/>
    <n v="90068"/>
    <n v="203232"/>
    <n v="6774.4"/>
    <n v="195750"/>
    <n v="6525"/>
    <n v="5389"/>
    <n v="6372"/>
    <n v="203232"/>
    <n v="195750"/>
    <m/>
    <m/>
    <n v="291396"/>
    <n v="285772"/>
    <n v="164144"/>
    <n v="133434"/>
    <n v="383185"/>
    <n v="331467"/>
    <n v="838725"/>
    <n v="931.91666666666663"/>
    <n v="750673"/>
    <n v="834.08111111111111"/>
    <m/>
    <m/>
    <n v="0"/>
    <n v="0"/>
  </r>
  <r>
    <x v="9"/>
    <s v="Central Piedmont Community College "/>
    <m/>
    <n v="198260"/>
    <x v="7"/>
    <s v="sem"/>
    <s v="sem"/>
    <m/>
    <m/>
    <n v="181262"/>
    <n v="172045"/>
    <n v="46593"/>
    <n v="40315"/>
    <n v="178808"/>
    <n v="176683"/>
    <n v="406663"/>
    <n v="13555.433333333332"/>
    <n v="389043"/>
    <n v="12968.1"/>
    <n v="944"/>
    <n v="250"/>
    <n v="406663"/>
    <n v="389043"/>
    <m/>
    <m/>
    <n v="581550"/>
    <n v="588452"/>
    <n v="266602"/>
    <n v="277137"/>
    <n v="641687"/>
    <n v="617459"/>
    <n v="1489839"/>
    <n v="1655.3766666666668"/>
    <n v="1483048"/>
    <n v="1647.8311111111111"/>
    <m/>
    <m/>
    <n v="0"/>
    <n v="0"/>
  </r>
  <r>
    <x v="9"/>
    <s v="Fayetteville Technical Community College"/>
    <m/>
    <n v="198534"/>
    <x v="7"/>
    <s v="sem"/>
    <s v="sem"/>
    <m/>
    <m/>
    <n v="112030"/>
    <n v="111342"/>
    <n v="30827"/>
    <n v="29889"/>
    <n v="116466"/>
    <n v="112579"/>
    <n v="259323"/>
    <n v="8644.1"/>
    <n v="253810"/>
    <n v="8460.3333333333339"/>
    <n v="6558"/>
    <n v="7804"/>
    <n v="259323"/>
    <n v="253810"/>
    <m/>
    <m/>
    <n v="652375"/>
    <n v="647590"/>
    <n v="439728"/>
    <n v="484962"/>
    <n v="898158"/>
    <n v="909766"/>
    <n v="1990261"/>
    <n v="2211.4011111111113"/>
    <n v="2042318"/>
    <n v="2269.2422222222222"/>
    <m/>
    <m/>
    <n v="0"/>
    <n v="0"/>
  </r>
  <r>
    <x v="9"/>
    <s v="Forsyth Technical Community College"/>
    <m/>
    <n v="198552"/>
    <x v="7"/>
    <s v="sem"/>
    <s v="sem"/>
    <m/>
    <m/>
    <n v="84003"/>
    <n v="75020"/>
    <n v="24228"/>
    <n v="21562"/>
    <n v="89044"/>
    <n v="82994"/>
    <n v="197275"/>
    <n v="6575.833333333333"/>
    <n v="179576"/>
    <n v="5985.8666666666668"/>
    <n v="9000"/>
    <n v="8130"/>
    <n v="197275"/>
    <n v="179576"/>
    <m/>
    <m/>
    <n v="363570"/>
    <n v="337513"/>
    <n v="260998"/>
    <n v="220476"/>
    <n v="406791"/>
    <n v="351008"/>
    <n v="1031359"/>
    <n v="1145.9544444444443"/>
    <n v="908997"/>
    <n v="1009.9966666666667"/>
    <m/>
    <m/>
    <n v="0"/>
    <n v="0"/>
  </r>
  <r>
    <x v="9"/>
    <s v="Guilford Technical Community College"/>
    <m/>
    <n v="198622"/>
    <x v="7"/>
    <s v="sem"/>
    <s v="sem"/>
    <m/>
    <m/>
    <n v="125378"/>
    <n v="111198"/>
    <n v="29154"/>
    <n v="27633"/>
    <n v="137328"/>
    <n v="121693"/>
    <n v="291860"/>
    <n v="9728.6666666666661"/>
    <n v="260524"/>
    <n v="8684.1333333333332"/>
    <n v="4612"/>
    <n v="4378"/>
    <n v="291860"/>
    <n v="260524"/>
    <m/>
    <m/>
    <n v="516509"/>
    <n v="459389"/>
    <n v="309166"/>
    <n v="259577"/>
    <n v="599099"/>
    <n v="479606"/>
    <n v="1424774"/>
    <n v="1583.0822222222223"/>
    <n v="1198572"/>
    <n v="1331.7466666666667"/>
    <m/>
    <m/>
    <n v="0"/>
    <n v="0"/>
  </r>
  <r>
    <x v="9"/>
    <s v="Pitt Community College"/>
    <m/>
    <n v="199333"/>
    <x v="7"/>
    <s v="sem"/>
    <s v="sem"/>
    <m/>
    <m/>
    <n v="87791"/>
    <n v="84153"/>
    <n v="21804"/>
    <n v="20721"/>
    <n v="93330"/>
    <n v="90830"/>
    <n v="202925"/>
    <n v="6764.166666666667"/>
    <n v="195704"/>
    <n v="6523.4666666666662"/>
    <n v="2948"/>
    <n v="4303"/>
    <n v="202925"/>
    <n v="195704"/>
    <m/>
    <m/>
    <n v="258473"/>
    <n v="260335"/>
    <n v="168869"/>
    <n v="130394"/>
    <n v="319646"/>
    <n v="257685"/>
    <n v="746988"/>
    <n v="829.98666666666668"/>
    <n v="648414"/>
    <n v="720.46"/>
    <m/>
    <m/>
    <n v="0"/>
    <n v="0"/>
  </r>
  <r>
    <x v="9"/>
    <s v="Rowan-Cabarrus Community College"/>
    <m/>
    <n v="199494"/>
    <x v="7"/>
    <s v="sem"/>
    <s v="sem"/>
    <m/>
    <m/>
    <n v="59570"/>
    <n v="55441"/>
    <n v="12596"/>
    <n v="11277"/>
    <n v="64261"/>
    <n v="61438"/>
    <n v="136427"/>
    <n v="4547.5666666666666"/>
    <n v="128156"/>
    <n v="4271.8666666666668"/>
    <n v="9165"/>
    <n v="12023"/>
    <n v="136427"/>
    <n v="128156"/>
    <m/>
    <m/>
    <n v="292509"/>
    <n v="280904"/>
    <n v="186006"/>
    <n v="172879"/>
    <n v="330407"/>
    <n v="288274"/>
    <n v="808922"/>
    <n v="898.80222222222221"/>
    <n v="742057"/>
    <n v="824.50777777777773"/>
    <m/>
    <m/>
    <n v="0"/>
    <n v="0"/>
  </r>
  <r>
    <x v="9"/>
    <s v="Wake Technical Community College"/>
    <m/>
    <n v="199856"/>
    <x v="7"/>
    <s v="sem"/>
    <s v="sem"/>
    <m/>
    <m/>
    <n v="195205"/>
    <n v="193820"/>
    <n v="44538"/>
    <n v="43925"/>
    <n v="196906"/>
    <n v="200906"/>
    <n v="436649"/>
    <n v="14554.966666666667"/>
    <n v="438651"/>
    <n v="14621.7"/>
    <n v="5559"/>
    <n v="6319"/>
    <n v="436649"/>
    <n v="438651"/>
    <m/>
    <m/>
    <n v="703720"/>
    <n v="705650"/>
    <n v="652584"/>
    <n v="625764"/>
    <n v="893912"/>
    <n v="890273"/>
    <n v="2250216"/>
    <n v="2500.2399999999998"/>
    <n v="2221687"/>
    <n v="2468.5411111111111"/>
    <m/>
    <m/>
    <n v="0"/>
    <n v="0"/>
  </r>
  <r>
    <x v="9"/>
    <s v="Alamance Community College"/>
    <m/>
    <n v="199786"/>
    <x v="6"/>
    <s v="sem"/>
    <s v="sem"/>
    <m/>
    <m/>
    <n v="39454"/>
    <n v="38134"/>
    <n v="7835"/>
    <n v="9118"/>
    <n v="41264"/>
    <n v="40344"/>
    <n v="88553"/>
    <n v="2951.7666666666669"/>
    <n v="87596"/>
    <n v="2919.8666666666668"/>
    <n v="4968"/>
    <n v="7134"/>
    <n v="88553"/>
    <n v="87596"/>
    <m/>
    <m/>
    <n v="153641"/>
    <n v="172213"/>
    <n v="137943"/>
    <n v="137119"/>
    <n v="204625"/>
    <n v="184524"/>
    <n v="496209"/>
    <n v="551.34333333333336"/>
    <n v="493856"/>
    <n v="548.72888888888883"/>
    <m/>
    <m/>
    <n v="0"/>
    <n v="0"/>
  </r>
  <r>
    <x v="9"/>
    <s v="Caldwell Community College &amp; Technical Institute"/>
    <m/>
    <n v="198118"/>
    <x v="6"/>
    <s v="sem"/>
    <s v="sem"/>
    <m/>
    <m/>
    <n v="31403"/>
    <n v="29424"/>
    <n v="7326"/>
    <n v="6867"/>
    <n v="33061"/>
    <n v="31354"/>
    <n v="71790"/>
    <n v="2393"/>
    <n v="67645"/>
    <n v="2254.8333333333335"/>
    <n v="8468"/>
    <n v="9700"/>
    <n v="71790"/>
    <n v="67645"/>
    <m/>
    <m/>
    <n v="209428"/>
    <n v="194474"/>
    <n v="138982"/>
    <n v="128868"/>
    <n v="266158"/>
    <n v="253340"/>
    <n v="614568"/>
    <n v="682.85333333333335"/>
    <n v="576682"/>
    <n v="640.75777777777773"/>
    <m/>
    <m/>
    <n v="0"/>
    <n v="0"/>
  </r>
  <r>
    <x v="9"/>
    <s v="Catawba Valley Community College"/>
    <m/>
    <n v="198233"/>
    <x v="6"/>
    <s v="sem"/>
    <s v="sem"/>
    <m/>
    <m/>
    <n v="37545"/>
    <n v="37404"/>
    <n v="9017"/>
    <n v="8322"/>
    <n v="39512"/>
    <n v="41293"/>
    <n v="86074"/>
    <n v="2869.1333333333332"/>
    <n v="87019"/>
    <n v="2900.6333333333332"/>
    <n v="7757"/>
    <n v="7850"/>
    <n v="86074"/>
    <n v="87019"/>
    <m/>
    <m/>
    <n v="223680"/>
    <n v="209476"/>
    <n v="158372"/>
    <n v="116515"/>
    <n v="241618"/>
    <n v="208507"/>
    <n v="623670"/>
    <n v="692.9666666666667"/>
    <n v="534498"/>
    <n v="593.88666666666666"/>
    <m/>
    <m/>
    <n v="0"/>
    <n v="0"/>
  </r>
  <r>
    <x v="9"/>
    <s v="Central Carolina Commuity College"/>
    <m/>
    <n v="198251"/>
    <x v="6"/>
    <s v="sem"/>
    <s v="sem"/>
    <m/>
    <m/>
    <n v="40598"/>
    <n v="37944"/>
    <n v="6543"/>
    <n v="7820"/>
    <n v="44917"/>
    <n v="42924"/>
    <n v="92058"/>
    <n v="3068.6"/>
    <n v="88688"/>
    <n v="2956.2666666666669"/>
    <n v="8093"/>
    <n v="11303"/>
    <n v="92058"/>
    <n v="88688"/>
    <m/>
    <m/>
    <n v="330817"/>
    <n v="278945"/>
    <n v="217935"/>
    <n v="198406"/>
    <n v="458628"/>
    <n v="380460"/>
    <n v="1007380"/>
    <n v="1119.3111111111111"/>
    <n v="857811"/>
    <n v="953.12333333333333"/>
    <m/>
    <m/>
    <n v="0"/>
    <n v="0"/>
  </r>
  <r>
    <x v="9"/>
    <s v="Cleveland Community College"/>
    <m/>
    <n v="198321"/>
    <x v="6"/>
    <s v="sem"/>
    <s v="sem"/>
    <m/>
    <m/>
    <n v="24588"/>
    <n v="21133"/>
    <n v="3693"/>
    <n v="3546"/>
    <n v="27649"/>
    <n v="24132"/>
    <n v="55930"/>
    <n v="1864.3333333333333"/>
    <n v="48811"/>
    <n v="1627.0333333333333"/>
    <n v="9183"/>
    <n v="10985"/>
    <n v="55930"/>
    <n v="48811"/>
    <m/>
    <m/>
    <n v="138157"/>
    <n v="127883"/>
    <n v="102884"/>
    <n v="107613"/>
    <n v="173327"/>
    <n v="165833"/>
    <n v="414368"/>
    <n v="460.4088888888889"/>
    <n v="401329"/>
    <n v="445.92111111111109"/>
    <m/>
    <m/>
    <n v="0"/>
    <n v="0"/>
  </r>
  <r>
    <x v="9"/>
    <s v="Coastal Carolina Community College "/>
    <m/>
    <n v="198330"/>
    <x v="6"/>
    <s v="sem"/>
    <s v="sem"/>
    <m/>
    <m/>
    <n v="43460"/>
    <n v="43196"/>
    <n v="16980"/>
    <n v="16005"/>
    <n v="45313"/>
    <n v="45362"/>
    <n v="105753"/>
    <n v="3525.1"/>
    <n v="104563"/>
    <n v="3485.4333333333334"/>
    <n v="824"/>
    <n v="780"/>
    <n v="105753"/>
    <n v="104563"/>
    <m/>
    <m/>
    <n v="192286"/>
    <n v="173589"/>
    <n v="145440"/>
    <n v="128148"/>
    <n v="247808"/>
    <n v="203123"/>
    <n v="585534"/>
    <n v="650.59333333333336"/>
    <n v="504860"/>
    <n v="560.95555555555552"/>
    <m/>
    <m/>
    <n v="0"/>
    <n v="0"/>
  </r>
  <r>
    <x v="9"/>
    <s v="Craven Community College "/>
    <m/>
    <n v="198367"/>
    <x v="6"/>
    <s v="sem"/>
    <s v="sem"/>
    <m/>
    <m/>
    <n v="28257"/>
    <n v="25388"/>
    <n v="7926"/>
    <n v="6474"/>
    <n v="29967"/>
    <n v="26513"/>
    <n v="66150"/>
    <n v="2205"/>
    <n v="58375"/>
    <n v="1945.8333333333333"/>
    <n v="5097"/>
    <n v="6385"/>
    <n v="66150"/>
    <n v="58375"/>
    <m/>
    <m/>
    <n v="121364"/>
    <n v="143777"/>
    <n v="98370"/>
    <n v="76869"/>
    <n v="165180"/>
    <n v="143498"/>
    <n v="384914"/>
    <n v="427.68222222222221"/>
    <n v="364144"/>
    <n v="404.60444444444443"/>
    <m/>
    <m/>
    <n v="0"/>
    <n v="0"/>
  </r>
  <r>
    <x v="9"/>
    <s v="Davidson County Community College "/>
    <m/>
    <n v="198376"/>
    <x v="6"/>
    <s v="sem"/>
    <s v="sem"/>
    <m/>
    <m/>
    <n v="34412"/>
    <n v="32097"/>
    <n v="6267"/>
    <n v="5610"/>
    <n v="37002"/>
    <n v="36081"/>
    <n v="77681"/>
    <n v="2589.3666666666668"/>
    <n v="73788"/>
    <n v="2459.6"/>
    <n v="6661"/>
    <n v="7197"/>
    <n v="77681"/>
    <n v="73788"/>
    <m/>
    <m/>
    <n v="163564"/>
    <n v="174253"/>
    <n v="132718"/>
    <n v="140374"/>
    <n v="217476"/>
    <n v="203354"/>
    <n v="513758"/>
    <n v="570.84222222222218"/>
    <n v="517981"/>
    <n v="575.53444444444449"/>
    <m/>
    <m/>
    <n v="0"/>
    <n v="0"/>
  </r>
  <r>
    <x v="9"/>
    <s v="Durham Technical Community College"/>
    <m/>
    <n v="198455"/>
    <x v="6"/>
    <s v="sem"/>
    <s v="sem"/>
    <m/>
    <m/>
    <n v="44978"/>
    <n v="42594"/>
    <n v="10855"/>
    <n v="10822"/>
    <n v="47449"/>
    <n v="44421"/>
    <n v="103282"/>
    <n v="3442.7333333333331"/>
    <n v="97837"/>
    <n v="3261.2333333333331"/>
    <n v="3161"/>
    <n v="4898"/>
    <n v="103282"/>
    <n v="97837"/>
    <m/>
    <m/>
    <n v="234333"/>
    <n v="208703"/>
    <n v="136865"/>
    <n v="149191"/>
    <n v="261315"/>
    <n v="248931"/>
    <n v="632513"/>
    <n v="702.79222222222222"/>
    <n v="606825"/>
    <n v="674.25"/>
    <m/>
    <m/>
    <n v="0"/>
    <n v="0"/>
  </r>
  <r>
    <x v="9"/>
    <s v="Edgecombe Community College"/>
    <m/>
    <n v="198491"/>
    <x v="6"/>
    <s v="sem"/>
    <s v="sem"/>
    <m/>
    <m/>
    <n v="26157"/>
    <n v="22843"/>
    <n v="6782"/>
    <n v="6239"/>
    <n v="27853"/>
    <n v="24401"/>
    <n v="60792"/>
    <n v="2026.4"/>
    <n v="53483"/>
    <n v="1782.7666666666667"/>
    <n v="2842"/>
    <n v="3302"/>
    <n v="60792"/>
    <n v="53483"/>
    <m/>
    <m/>
    <n v="135108"/>
    <n v="121922"/>
    <n v="80470"/>
    <n v="50098"/>
    <n v="129989"/>
    <n v="125909"/>
    <n v="345567"/>
    <n v="383.96333333333331"/>
    <n v="297929"/>
    <n v="331.03222222222223"/>
    <m/>
    <m/>
    <n v="0"/>
    <n v="0"/>
  </r>
  <r>
    <x v="9"/>
    <s v="Gaston College "/>
    <m/>
    <n v="198570"/>
    <x v="6"/>
    <s v="sem"/>
    <s v="sem"/>
    <m/>
    <m/>
    <n v="53217"/>
    <n v="48922"/>
    <n v="11773"/>
    <n v="11347"/>
    <n v="58379"/>
    <n v="54266"/>
    <n v="123369"/>
    <n v="4112.3"/>
    <n v="114535"/>
    <n v="3817.8333333333335"/>
    <n v="1587"/>
    <n v="3274"/>
    <n v="123369"/>
    <n v="114535"/>
    <m/>
    <m/>
    <n v="154344"/>
    <n v="132084"/>
    <n v="95516"/>
    <n v="79456"/>
    <n v="152499"/>
    <n v="139837"/>
    <n v="402359"/>
    <n v="447.06555555555553"/>
    <n v="351377"/>
    <n v="390.41888888888889"/>
    <m/>
    <m/>
    <n v="0"/>
    <n v="0"/>
  </r>
  <r>
    <x v="9"/>
    <s v="Johnston Community College"/>
    <m/>
    <n v="198774"/>
    <x v="6"/>
    <s v="sem"/>
    <s v="sem"/>
    <m/>
    <m/>
    <n v="38100"/>
    <n v="32635"/>
    <n v="3146"/>
    <n v="3495"/>
    <n v="40062"/>
    <n v="34394"/>
    <n v="81308"/>
    <n v="2710.2666666666669"/>
    <n v="70524"/>
    <n v="2350.8000000000002"/>
    <n v="8131"/>
    <n v="10311"/>
    <n v="81308"/>
    <n v="70524"/>
    <m/>
    <m/>
    <n v="163381"/>
    <n v="175510"/>
    <n v="145937"/>
    <n v="115940"/>
    <n v="233121"/>
    <n v="217644"/>
    <n v="542439"/>
    <n v="602.71"/>
    <n v="509094"/>
    <n v="565.66"/>
    <m/>
    <m/>
    <n v="0"/>
    <n v="0"/>
  </r>
  <r>
    <x v="9"/>
    <s v="Lenoir Community College "/>
    <m/>
    <n v="198817"/>
    <x v="6"/>
    <s v="sem"/>
    <s v="sem"/>
    <m/>
    <m/>
    <n v="23760"/>
    <n v="21347"/>
    <n v="7149"/>
    <n v="6893"/>
    <n v="25987"/>
    <n v="24935"/>
    <n v="56896"/>
    <n v="1896.5333333333333"/>
    <n v="53175"/>
    <n v="1772.5"/>
    <n v="7463"/>
    <n v="9797"/>
    <n v="56896"/>
    <n v="53175"/>
    <m/>
    <m/>
    <n v="464271"/>
    <n v="400035"/>
    <n v="282840"/>
    <n v="309060"/>
    <n v="500410"/>
    <n v="417827"/>
    <n v="1247521"/>
    <n v="1386.1344444444444"/>
    <n v="1126922"/>
    <n v="1252.1355555555556"/>
    <m/>
    <m/>
    <n v="0"/>
    <n v="0"/>
  </r>
  <r>
    <x v="9"/>
    <s v="Mitchell Community College "/>
    <m/>
    <n v="198987"/>
    <x v="6"/>
    <s v="sem"/>
    <s v="sem"/>
    <m/>
    <m/>
    <n v="26333"/>
    <n v="23766"/>
    <n v="5318"/>
    <n v="5482"/>
    <n v="28564"/>
    <n v="24921"/>
    <n v="60215"/>
    <n v="2007.1666666666667"/>
    <n v="54169"/>
    <n v="1805.6333333333334"/>
    <n v="8128"/>
    <n v="7618"/>
    <n v="60215"/>
    <n v="54169"/>
    <m/>
    <m/>
    <n v="110576"/>
    <n v="79375"/>
    <n v="81082"/>
    <n v="74119"/>
    <n v="171250"/>
    <n v="144527"/>
    <n v="362908"/>
    <n v="403.23111111111109"/>
    <n v="298021"/>
    <n v="331.13444444444445"/>
    <m/>
    <m/>
    <n v="0"/>
    <n v="0"/>
  </r>
  <r>
    <x v="9"/>
    <s v="Nash Community College"/>
    <m/>
    <n v="199087"/>
    <x v="6"/>
    <s v="sem"/>
    <s v="sem"/>
    <m/>
    <m/>
    <n v="29248"/>
    <n v="27819"/>
    <n v="6101"/>
    <n v="6276"/>
    <n v="28757"/>
    <n v="30276"/>
    <n v="64106"/>
    <n v="2136.8666666666668"/>
    <n v="64371"/>
    <n v="2145.6999999999998"/>
    <n v="5885"/>
    <n v="6614"/>
    <n v="64106"/>
    <n v="64371"/>
    <m/>
    <m/>
    <n v="139816"/>
    <n v="134496"/>
    <n v="84935"/>
    <n v="88270"/>
    <n v="187783"/>
    <n v="171824"/>
    <n v="412534"/>
    <n v="458.37111111111113"/>
    <n v="394590"/>
    <n v="438.43333333333334"/>
    <m/>
    <m/>
    <n v="0"/>
    <n v="0"/>
  </r>
  <r>
    <x v="9"/>
    <s v="Randolph Community College"/>
    <m/>
    <n v="199421"/>
    <x v="6"/>
    <s v="sem"/>
    <s v="sem"/>
    <m/>
    <m/>
    <n v="25306"/>
    <n v="23150"/>
    <n v="4767"/>
    <n v="5221"/>
    <n v="28143"/>
    <n v="25853"/>
    <n v="58216"/>
    <n v="1940.5333333333333"/>
    <n v="54224"/>
    <n v="1807.4666666666667"/>
    <n v="5945"/>
    <n v="6247"/>
    <n v="58216"/>
    <n v="54224"/>
    <m/>
    <m/>
    <n v="123972"/>
    <n v="139552"/>
    <n v="110611"/>
    <n v="78530"/>
    <n v="139516"/>
    <n v="119574"/>
    <n v="374099"/>
    <n v="415.66555555555556"/>
    <n v="337656"/>
    <n v="375.17333333333335"/>
    <m/>
    <m/>
    <n v="0"/>
    <n v="0"/>
  </r>
  <r>
    <x v="9"/>
    <s v="Richmond Community College"/>
    <m/>
    <n v="199449"/>
    <x v="6"/>
    <s v="sem"/>
    <s v="sem"/>
    <m/>
    <m/>
    <n v="20674"/>
    <n v="18281"/>
    <n v="3428"/>
    <n v="3664"/>
    <n v="22908"/>
    <n v="20950"/>
    <n v="47010"/>
    <n v="1567"/>
    <n v="42895"/>
    <n v="1429.8333333333333"/>
    <n v="7010"/>
    <n v="8226"/>
    <n v="47010"/>
    <n v="42895"/>
    <m/>
    <m/>
    <n v="167050"/>
    <n v="210388"/>
    <n v="135231"/>
    <n v="161077"/>
    <n v="234079"/>
    <n v="194080"/>
    <n v="536360"/>
    <n v="595.95555555555552"/>
    <n v="565545"/>
    <n v="628.38333333333333"/>
    <m/>
    <m/>
    <n v="0"/>
    <n v="0"/>
  </r>
  <r>
    <x v="9"/>
    <s v="Robeson Community College"/>
    <m/>
    <n v="199476"/>
    <x v="6"/>
    <s v="sem"/>
    <s v="sem"/>
    <m/>
    <m/>
    <n v="18060"/>
    <n v="16800"/>
    <n v="2718"/>
    <n v="3401"/>
    <n v="22389"/>
    <n v="19295"/>
    <n v="43167"/>
    <n v="1438.9"/>
    <n v="39496"/>
    <n v="1316.5333333333333"/>
    <n v="2977"/>
    <n v="3103"/>
    <n v="43167"/>
    <n v="39496"/>
    <m/>
    <m/>
    <n v="258014"/>
    <n v="247616"/>
    <n v="147349"/>
    <n v="207813"/>
    <n v="388581"/>
    <n v="325139"/>
    <n v="793944"/>
    <n v="882.16"/>
    <n v="780568"/>
    <n v="867.29777777777781"/>
    <m/>
    <m/>
    <n v="0"/>
    <n v="0"/>
  </r>
  <r>
    <x v="9"/>
    <s v="Sandhills Community College "/>
    <m/>
    <n v="199634"/>
    <x v="6"/>
    <s v="sem"/>
    <s v="sem"/>
    <m/>
    <m/>
    <n v="34149"/>
    <n v="32632"/>
    <n v="9542"/>
    <n v="9251"/>
    <n v="37027"/>
    <n v="34693"/>
    <n v="80718"/>
    <n v="2690.6"/>
    <n v="76576"/>
    <n v="2552.5333333333333"/>
    <n v="6753"/>
    <n v="8130"/>
    <n v="80718"/>
    <n v="76576"/>
    <m/>
    <m/>
    <n v="186643"/>
    <n v="156632"/>
    <n v="110955"/>
    <n v="104680"/>
    <n v="205482"/>
    <n v="184818"/>
    <n v="503080"/>
    <n v="558.97777777777776"/>
    <n v="446130"/>
    <n v="495.7"/>
    <m/>
    <m/>
    <n v="0"/>
    <n v="0"/>
  </r>
  <r>
    <x v="9"/>
    <s v="Stanly Community College"/>
    <m/>
    <n v="199740"/>
    <x v="6"/>
    <s v="sem"/>
    <s v="sem"/>
    <m/>
    <m/>
    <n v="23274"/>
    <n v="23185"/>
    <n v="5702"/>
    <n v="5257"/>
    <n v="24867"/>
    <n v="25313"/>
    <n v="53843"/>
    <n v="1794.7666666666667"/>
    <n v="53755"/>
    <n v="1791.8333333333333"/>
    <n v="4791"/>
    <n v="2925"/>
    <n v="53843"/>
    <n v="53755"/>
    <m/>
    <m/>
    <n v="136299"/>
    <n v="139033"/>
    <n v="102813"/>
    <n v="98465"/>
    <n v="151923"/>
    <n v="161073"/>
    <n v="391035"/>
    <n v="434.48333333333335"/>
    <n v="398571"/>
    <n v="442.85666666666668"/>
    <m/>
    <m/>
    <n v="0"/>
    <n v="0"/>
  </r>
  <r>
    <x v="9"/>
    <s v="Surry Community College "/>
    <m/>
    <n v="199768"/>
    <x v="6"/>
    <s v="sem"/>
    <s v="sem"/>
    <m/>
    <m/>
    <n v="26367"/>
    <n v="24646"/>
    <n v="4118"/>
    <n v="3912"/>
    <n v="29317"/>
    <n v="26647"/>
    <n v="59802"/>
    <n v="1993.4"/>
    <n v="55205"/>
    <n v="1840.1666666666667"/>
    <n v="10390"/>
    <n v="10146"/>
    <n v="59802"/>
    <n v="55205"/>
    <m/>
    <m/>
    <n v="134349"/>
    <n v="138334"/>
    <n v="114957"/>
    <n v="110297"/>
    <n v="203617"/>
    <n v="179938"/>
    <n v="452923"/>
    <n v="503.2477777777778"/>
    <n v="428569"/>
    <n v="476.1877777777778"/>
    <m/>
    <m/>
    <n v="0"/>
    <n v="0"/>
  </r>
  <r>
    <x v="9"/>
    <s v="Vance-Granville Community College "/>
    <m/>
    <n v="199838"/>
    <x v="6"/>
    <s v="sem"/>
    <s v="sem"/>
    <m/>
    <m/>
    <n v="28610"/>
    <n v="25600"/>
    <n v="4023"/>
    <n v="3675"/>
    <n v="31080"/>
    <n v="26575"/>
    <n v="63713"/>
    <n v="2123.7666666666669"/>
    <n v="55850"/>
    <n v="1861.6666666666667"/>
    <n v="10556"/>
    <n v="9970"/>
    <n v="63713"/>
    <n v="55850"/>
    <m/>
    <m/>
    <n v="189544"/>
    <n v="164131"/>
    <n v="143610"/>
    <n v="133045"/>
    <n v="231700"/>
    <n v="219290"/>
    <n v="564854"/>
    <n v="627.6155555555556"/>
    <n v="516466"/>
    <n v="573.85111111111109"/>
    <m/>
    <m/>
    <n v="0"/>
    <n v="0"/>
  </r>
  <r>
    <x v="9"/>
    <s v="Wayne Community College"/>
    <m/>
    <n v="199892"/>
    <x v="6"/>
    <s v="sem"/>
    <s v="sem"/>
    <m/>
    <m/>
    <n v="34724"/>
    <n v="30148"/>
    <n v="7737"/>
    <n v="6366"/>
    <n v="37243"/>
    <n v="32054"/>
    <n v="79704"/>
    <n v="2656.8"/>
    <n v="68568"/>
    <n v="2285.6"/>
    <n v="8253"/>
    <n v="7880"/>
    <n v="79704"/>
    <n v="68568"/>
    <m/>
    <m/>
    <n v="159864"/>
    <n v="145781"/>
    <n v="122006"/>
    <n v="101034"/>
    <n v="175857"/>
    <n v="184190"/>
    <n v="457727"/>
    <n v="508.58555555555557"/>
    <n v="431005"/>
    <n v="478.89444444444445"/>
    <m/>
    <m/>
    <n v="0"/>
    <n v="0"/>
  </r>
  <r>
    <x v="9"/>
    <s v="Western Piedmont Community College "/>
    <s v="Met the criteria for Two-Year 3 in 2015-16."/>
    <n v="199908"/>
    <x v="6"/>
    <s v="sem"/>
    <s v="sem"/>
    <m/>
    <m/>
    <n v="20371"/>
    <n v="18321"/>
    <n v="3658"/>
    <n v="3233"/>
    <n v="24372"/>
    <n v="20239"/>
    <n v="48401"/>
    <n v="1613.3666666666666"/>
    <n v="41793"/>
    <n v="1393.1"/>
    <n v="3927"/>
    <n v="4072"/>
    <n v="48401"/>
    <n v="41793"/>
    <m/>
    <m/>
    <n v="168922"/>
    <n v="148644"/>
    <n v="108322"/>
    <n v="89798"/>
    <n v="180549"/>
    <n v="171297"/>
    <n v="457793"/>
    <n v="508.6588888888889"/>
    <n v="409739"/>
    <n v="455.26555555555558"/>
    <m/>
    <m/>
    <n v="0"/>
    <n v="0"/>
  </r>
  <r>
    <x v="9"/>
    <s v="Wilkes Community College "/>
    <m/>
    <n v="199926"/>
    <x v="6"/>
    <s v="sem"/>
    <s v="sem"/>
    <m/>
    <m/>
    <n v="26895"/>
    <n v="23714"/>
    <n v="4197"/>
    <n v="3684"/>
    <n v="26604"/>
    <n v="25394"/>
    <n v="57696"/>
    <n v="1923.2"/>
    <n v="52792"/>
    <n v="1759.7333333333333"/>
    <n v="5793"/>
    <n v="6971"/>
    <n v="57696"/>
    <n v="52792"/>
    <m/>
    <m/>
    <n v="165838"/>
    <n v="164700"/>
    <n v="137763"/>
    <n v="123306"/>
    <n v="193033"/>
    <n v="178004"/>
    <n v="496634"/>
    <n v="551.81555555555553"/>
    <n v="466010"/>
    <n v="517.78888888888889"/>
    <m/>
    <m/>
    <n v="0"/>
    <n v="0"/>
  </r>
  <r>
    <x v="9"/>
    <s v="Beaufort County Community College "/>
    <m/>
    <n v="197966"/>
    <x v="8"/>
    <s v="sem"/>
    <s v="sem"/>
    <m/>
    <m/>
    <n v="16853"/>
    <n v="15133"/>
    <n v="2902"/>
    <n v="2255"/>
    <n v="17077"/>
    <n v="16020"/>
    <n v="36832"/>
    <n v="1227.7333333333333"/>
    <n v="33408"/>
    <n v="1113.5999999999999"/>
    <n v="4313"/>
    <n v="7091"/>
    <n v="36832"/>
    <n v="33408"/>
    <m/>
    <m/>
    <n v="46931"/>
    <n v="83582"/>
    <n v="61550"/>
    <n v="85432"/>
    <n v="82390"/>
    <n v="73520"/>
    <n v="190871"/>
    <n v="212.07888888888888"/>
    <n v="242534"/>
    <n v="269.48222222222222"/>
    <m/>
    <m/>
    <n v="0"/>
    <n v="0"/>
  </r>
  <r>
    <x v="9"/>
    <s v="Bladen Community College"/>
    <m/>
    <n v="198011"/>
    <x v="8"/>
    <s v="sem"/>
    <s v="sem"/>
    <m/>
    <m/>
    <n v="12966"/>
    <n v="11501"/>
    <n v="2475"/>
    <n v="2516"/>
    <n v="13111"/>
    <n v="13011"/>
    <n v="28552"/>
    <n v="951.73333333333335"/>
    <n v="27028"/>
    <n v="900.93333333333328"/>
    <n v="1508"/>
    <n v="2181"/>
    <n v="28552"/>
    <n v="27028"/>
    <m/>
    <m/>
    <n v="67444"/>
    <n v="77519"/>
    <n v="42971"/>
    <n v="48645"/>
    <n v="69866"/>
    <n v="64584"/>
    <n v="180281"/>
    <n v="200.31222222222223"/>
    <n v="190748"/>
    <n v="211.94222222222223"/>
    <m/>
    <m/>
    <n v="0"/>
    <n v="0"/>
  </r>
  <r>
    <x v="9"/>
    <s v="Blue Ridge Community College"/>
    <m/>
    <n v="198039"/>
    <x v="8"/>
    <s v="sem"/>
    <s v="sem"/>
    <m/>
    <m/>
    <n v="17761"/>
    <n v="16998"/>
    <n v="3764"/>
    <n v="3823"/>
    <n v="19498"/>
    <n v="18422"/>
    <n v="41023"/>
    <n v="1367.4333333333334"/>
    <n v="39243"/>
    <n v="1308.0999999999999"/>
    <n v="4356"/>
    <n v="4025"/>
    <n v="41023"/>
    <n v="39243"/>
    <m/>
    <m/>
    <n v="125049"/>
    <n v="108895"/>
    <n v="72913"/>
    <n v="65876"/>
    <n v="163301"/>
    <n v="146260"/>
    <n v="361263"/>
    <n v="401.40333333333331"/>
    <n v="321031"/>
    <n v="356.70111111111112"/>
    <m/>
    <m/>
    <n v="0"/>
    <n v="0"/>
  </r>
  <r>
    <x v="9"/>
    <s v="Brunswick Community College"/>
    <m/>
    <n v="198084"/>
    <x v="8"/>
    <s v="sem"/>
    <s v="sem"/>
    <m/>
    <m/>
    <n v="12102"/>
    <n v="12258"/>
    <n v="2520"/>
    <n v="2264"/>
    <n v="14267"/>
    <n v="14935"/>
    <n v="28889"/>
    <n v="962.9666666666667"/>
    <n v="29457"/>
    <n v="981.9"/>
    <n v="5922"/>
    <n v="5414"/>
    <n v="28889"/>
    <n v="29457"/>
    <m/>
    <m/>
    <n v="136672"/>
    <n v="137481"/>
    <n v="110086"/>
    <n v="100144"/>
    <n v="167255"/>
    <n v="153206"/>
    <n v="414013"/>
    <n v="460.01444444444445"/>
    <n v="390831"/>
    <n v="434.25666666666666"/>
    <m/>
    <m/>
    <n v="0"/>
    <n v="0"/>
  </r>
  <r>
    <x v="9"/>
    <s v="Carteret Community College"/>
    <m/>
    <n v="198206"/>
    <x v="8"/>
    <s v="sem"/>
    <s v="sem"/>
    <m/>
    <m/>
    <n v="13845"/>
    <n v="13549"/>
    <n v="2669"/>
    <n v="3049"/>
    <n v="14848"/>
    <n v="14174"/>
    <n v="31362"/>
    <n v="1045.4000000000001"/>
    <n v="30772"/>
    <n v="1025.7333333333333"/>
    <n v="504"/>
    <n v="933"/>
    <n v="31362"/>
    <n v="30772"/>
    <m/>
    <m/>
    <n v="125585"/>
    <n v="114481"/>
    <n v="67156"/>
    <n v="69975"/>
    <n v="131724"/>
    <n v="111231"/>
    <n v="324465"/>
    <n v="360.51666666666665"/>
    <n v="295687"/>
    <n v="328.54111111111109"/>
    <m/>
    <m/>
    <n v="0"/>
    <n v="0"/>
  </r>
  <r>
    <x v="9"/>
    <s v="College of the Albemarle"/>
    <m/>
    <n v="197814"/>
    <x v="8"/>
    <s v="sem"/>
    <s v="sem"/>
    <m/>
    <m/>
    <n v="21150"/>
    <n v="19567"/>
    <n v="3432"/>
    <n v="3342"/>
    <n v="22026"/>
    <n v="20631"/>
    <n v="46608"/>
    <n v="1553.6"/>
    <n v="43540"/>
    <n v="1451.3333333333333"/>
    <n v="5029"/>
    <n v="6093"/>
    <n v="46608"/>
    <n v="43540"/>
    <m/>
    <m/>
    <n v="111392"/>
    <n v="106129"/>
    <n v="58854"/>
    <n v="43599"/>
    <n v="120772"/>
    <n v="123921"/>
    <n v="291018"/>
    <n v="323.35333333333335"/>
    <n v="273649"/>
    <n v="304.05444444444447"/>
    <m/>
    <m/>
    <n v="0"/>
    <n v="0"/>
  </r>
  <r>
    <x v="9"/>
    <s v="Halifax Community College "/>
    <m/>
    <n v="198640"/>
    <x v="8"/>
    <s v="sem"/>
    <s v="sem"/>
    <m/>
    <m/>
    <n v="12768"/>
    <n v="10451"/>
    <n v="1823"/>
    <n v="1845"/>
    <n v="13326"/>
    <n v="12051"/>
    <n v="27917"/>
    <n v="930.56666666666672"/>
    <n v="24347"/>
    <n v="811.56666666666672"/>
    <n v="2072"/>
    <n v="2420"/>
    <n v="27917"/>
    <n v="24347"/>
    <m/>
    <m/>
    <n v="96868"/>
    <n v="99092"/>
    <n v="44255"/>
    <n v="44094"/>
    <n v="99942"/>
    <n v="88704"/>
    <n v="241065"/>
    <n v="267.85000000000002"/>
    <n v="231890"/>
    <n v="257.65555555555557"/>
    <m/>
    <m/>
    <n v="0"/>
    <n v="0"/>
  </r>
  <r>
    <x v="9"/>
    <s v="Haywood Community College"/>
    <m/>
    <n v="198668"/>
    <x v="8"/>
    <s v="sem"/>
    <s v="sem"/>
    <m/>
    <m/>
    <n v="17476"/>
    <n v="14408"/>
    <n v="3652"/>
    <n v="3587"/>
    <n v="18125"/>
    <n v="16610"/>
    <n v="39253"/>
    <n v="1308.4333333333334"/>
    <n v="34605"/>
    <n v="1153.5"/>
    <n v="3247"/>
    <n v="4156"/>
    <n v="39253"/>
    <n v="34605"/>
    <m/>
    <m/>
    <n v="81067"/>
    <n v="67322"/>
    <n v="41088"/>
    <n v="41334"/>
    <n v="97485"/>
    <n v="81388"/>
    <n v="219640"/>
    <n v="244.04444444444445"/>
    <n v="190044"/>
    <n v="211.16"/>
    <m/>
    <m/>
    <n v="0"/>
    <n v="0"/>
  </r>
  <r>
    <x v="9"/>
    <s v="Isothermal Community College "/>
    <m/>
    <n v="198710"/>
    <x v="8"/>
    <s v="sem"/>
    <s v="sem"/>
    <m/>
    <m/>
    <n v="17569"/>
    <n v="14696"/>
    <n v="3846"/>
    <n v="3240"/>
    <n v="18349"/>
    <n v="16220"/>
    <n v="39764"/>
    <n v="1325.4666666666667"/>
    <n v="34156"/>
    <n v="1138.5333333333333"/>
    <n v="8219"/>
    <n v="9398"/>
    <n v="39764"/>
    <n v="34156"/>
    <m/>
    <m/>
    <n v="108928"/>
    <n v="78217"/>
    <n v="56596"/>
    <n v="60040"/>
    <n v="120722"/>
    <n v="98179"/>
    <n v="286246"/>
    <n v="318.05111111111108"/>
    <n v="236436"/>
    <n v="262.70666666666665"/>
    <m/>
    <m/>
    <n v="0"/>
    <n v="0"/>
  </r>
  <r>
    <x v="9"/>
    <s v="James Sprunt Community College"/>
    <m/>
    <n v="198729"/>
    <x v="8"/>
    <s v="sem"/>
    <s v="sem"/>
    <m/>
    <m/>
    <n v="11156"/>
    <n v="9186"/>
    <n v="956"/>
    <n v="708"/>
    <n v="12283"/>
    <n v="10001"/>
    <n v="24395"/>
    <n v="813.16666666666663"/>
    <n v="19895"/>
    <n v="663.16666666666663"/>
    <n v="3483"/>
    <n v="4164"/>
    <n v="24395"/>
    <n v="19895"/>
    <m/>
    <m/>
    <n v="59460"/>
    <n v="69709"/>
    <n v="36247"/>
    <n v="37412"/>
    <n v="69443"/>
    <n v="48983"/>
    <n v="165150"/>
    <n v="183.5"/>
    <n v="156104"/>
    <n v="173.44888888888889"/>
    <m/>
    <m/>
    <n v="0"/>
    <n v="0"/>
  </r>
  <r>
    <x v="9"/>
    <s v="Martin Community College "/>
    <m/>
    <n v="198905"/>
    <x v="8"/>
    <s v="sem"/>
    <s v="sem"/>
    <m/>
    <m/>
    <n v="5821"/>
    <n v="4569"/>
    <n v="463"/>
    <n v="512"/>
    <n v="6878"/>
    <n v="5225"/>
    <n v="13162"/>
    <n v="438.73333333333335"/>
    <n v="10306"/>
    <n v="343.53333333333336"/>
    <n v="2088"/>
    <n v="2482"/>
    <n v="13162"/>
    <n v="10306"/>
    <m/>
    <m/>
    <n v="56614"/>
    <n v="63569"/>
    <n v="63394"/>
    <n v="49378"/>
    <n v="94738"/>
    <n v="78078"/>
    <n v="214746"/>
    <n v="238.60666666666665"/>
    <n v="191025"/>
    <n v="212.25"/>
    <m/>
    <m/>
    <n v="0"/>
    <n v="0"/>
  </r>
  <r>
    <x v="9"/>
    <s v="Mayland Community College"/>
    <m/>
    <n v="198914"/>
    <x v="8"/>
    <s v="sem"/>
    <s v="sem"/>
    <m/>
    <m/>
    <n v="7470"/>
    <n v="6426"/>
    <n v="502"/>
    <n v="439"/>
    <n v="8718"/>
    <n v="7689"/>
    <n v="16690"/>
    <n v="556.33333333333337"/>
    <n v="14554"/>
    <n v="485.13333333333333"/>
    <n v="5700"/>
    <n v="5649"/>
    <n v="16690"/>
    <n v="14554"/>
    <m/>
    <m/>
    <n v="171918"/>
    <n v="182278"/>
    <n v="134038"/>
    <n v="146480"/>
    <n v="217673"/>
    <n v="186903"/>
    <n v="523629"/>
    <n v="581.80999999999995"/>
    <n v="515661"/>
    <n v="572.95666666666671"/>
    <m/>
    <m/>
    <n v="0"/>
    <n v="0"/>
  </r>
  <r>
    <x v="9"/>
    <s v="McDowell Technical Community College"/>
    <m/>
    <n v="198923"/>
    <x v="8"/>
    <s v="sem"/>
    <s v="sem"/>
    <m/>
    <m/>
    <n v="9083"/>
    <n v="7193"/>
    <n v="2888"/>
    <n v="2090"/>
    <n v="9037"/>
    <n v="7704"/>
    <n v="21008"/>
    <n v="700.26666666666665"/>
    <n v="16987"/>
    <n v="566.23333333333335"/>
    <n v="4163"/>
    <n v="5080"/>
    <n v="21008"/>
    <n v="16987"/>
    <m/>
    <m/>
    <n v="140884"/>
    <n v="115721"/>
    <n v="54433"/>
    <n v="69267"/>
    <n v="86183"/>
    <n v="120324"/>
    <n v="281500"/>
    <n v="312.77777777777777"/>
    <n v="305312"/>
    <n v="339.23555555555555"/>
    <m/>
    <m/>
    <n v="0"/>
    <n v="0"/>
  </r>
  <r>
    <x v="9"/>
    <s v="Montgomery Community College"/>
    <m/>
    <n v="199023"/>
    <x v="8"/>
    <s v="sem"/>
    <s v="sem"/>
    <m/>
    <m/>
    <n v="7566"/>
    <n v="6921"/>
    <n v="1394"/>
    <n v="1222"/>
    <n v="7177"/>
    <n v="7217"/>
    <n v="16137"/>
    <n v="537.9"/>
    <n v="15360"/>
    <n v="512"/>
    <n v="1345"/>
    <n v="1965"/>
    <n v="16137"/>
    <n v="15360"/>
    <m/>
    <m/>
    <n v="81718"/>
    <n v="56138"/>
    <n v="59390"/>
    <n v="35045"/>
    <n v="77484"/>
    <n v="72626"/>
    <n v="218592"/>
    <n v="242.88"/>
    <n v="163809"/>
    <n v="182.01"/>
    <m/>
    <m/>
    <n v="0"/>
    <n v="0"/>
  </r>
  <r>
    <x v="9"/>
    <s v="Pamlico Community College"/>
    <m/>
    <n v="199263"/>
    <x v="8"/>
    <s v="sem"/>
    <s v="sem"/>
    <m/>
    <m/>
    <n v="4270"/>
    <n v="4005"/>
    <n v="376"/>
    <n v="711"/>
    <n v="4189"/>
    <n v="4203"/>
    <n v="8835"/>
    <n v="294.5"/>
    <n v="8919"/>
    <n v="297.3"/>
    <n v="2842"/>
    <n v="954"/>
    <n v="8835"/>
    <n v="8919"/>
    <m/>
    <m/>
    <n v="50574"/>
    <n v="46676"/>
    <n v="54471"/>
    <n v="31923"/>
    <n v="50096"/>
    <n v="55543"/>
    <n v="155141"/>
    <n v="172.37888888888889"/>
    <n v="134142"/>
    <n v="149.04666666666665"/>
    <m/>
    <m/>
    <n v="0"/>
    <n v="0"/>
  </r>
  <r>
    <x v="9"/>
    <s v="Piedmont Community College"/>
    <m/>
    <n v="199324"/>
    <x v="8"/>
    <s v="sem"/>
    <s v="sem"/>
    <m/>
    <m/>
    <n v="12817"/>
    <n v="11458"/>
    <n v="1937"/>
    <n v="1706"/>
    <n v="14237"/>
    <n v="12329"/>
    <n v="28991"/>
    <n v="966.36666666666667"/>
    <n v="25493"/>
    <n v="849.76666666666665"/>
    <n v="2179"/>
    <n v="2596"/>
    <n v="28991"/>
    <n v="25493"/>
    <m/>
    <m/>
    <n v="175740"/>
    <n v="154167"/>
    <n v="102610"/>
    <n v="92181"/>
    <n v="211653"/>
    <n v="164957"/>
    <n v="490003"/>
    <n v="544.44777777777779"/>
    <n v="411305"/>
    <n v="457.00555555555553"/>
    <m/>
    <m/>
    <n v="0"/>
    <n v="0"/>
  </r>
  <r>
    <x v="9"/>
    <s v="Roanoke-Chowan Community College"/>
    <m/>
    <n v="199467"/>
    <x v="8"/>
    <s v="sem"/>
    <s v="sem"/>
    <m/>
    <m/>
    <n v="6371"/>
    <n v="6201"/>
    <n v="557"/>
    <n v="574"/>
    <n v="7629"/>
    <n v="6991"/>
    <n v="14557"/>
    <n v="485.23333333333335"/>
    <n v="13766"/>
    <n v="458.86666666666667"/>
    <n v="2405"/>
    <n v="2339"/>
    <n v="14557"/>
    <n v="13766"/>
    <m/>
    <m/>
    <n v="67198"/>
    <n v="56321"/>
    <n v="56299"/>
    <n v="40676"/>
    <n v="51701"/>
    <n v="54837"/>
    <n v="175198"/>
    <n v="194.66444444444446"/>
    <n v="151834"/>
    <n v="168.70444444444445"/>
    <m/>
    <m/>
    <n v="0"/>
    <n v="0"/>
  </r>
  <r>
    <x v="9"/>
    <s v="Rockingham Community College "/>
    <m/>
    <n v="199485"/>
    <x v="8"/>
    <s v="sem"/>
    <s v="sem"/>
    <m/>
    <m/>
    <n v="15628"/>
    <n v="14299"/>
    <n v="2748"/>
    <n v="3060"/>
    <n v="17684"/>
    <n v="15616"/>
    <n v="36060"/>
    <n v="1202"/>
    <n v="32975"/>
    <n v="1099.1666666666667"/>
    <n v="3413"/>
    <n v="4015"/>
    <n v="36060"/>
    <n v="32975"/>
    <m/>
    <m/>
    <n v="70173"/>
    <n v="61908"/>
    <n v="59393"/>
    <n v="45656"/>
    <n v="96863"/>
    <n v="82708"/>
    <n v="226429"/>
    <n v="251.58777777777777"/>
    <n v="190272"/>
    <n v="211.41333333333333"/>
    <m/>
    <m/>
    <n v="0"/>
    <n v="0"/>
  </r>
  <r>
    <x v="9"/>
    <s v="Sampson Community College"/>
    <m/>
    <n v="199625"/>
    <x v="8"/>
    <s v="sem"/>
    <s v="sem"/>
    <m/>
    <m/>
    <n v="11035"/>
    <n v="10712"/>
    <n v="1318"/>
    <n v="1353"/>
    <n v="12463"/>
    <n v="11796"/>
    <n v="24816"/>
    <n v="827.2"/>
    <n v="23861"/>
    <n v="795.36666666666667"/>
    <n v="5101"/>
    <n v="4724"/>
    <n v="24816"/>
    <n v="23861"/>
    <m/>
    <m/>
    <n v="141856"/>
    <n v="137899"/>
    <n v="134598"/>
    <n v="108715"/>
    <n v="203244"/>
    <n v="196333"/>
    <n v="479698"/>
    <n v="532.99777777777774"/>
    <n v="442947"/>
    <n v="492.16333333333336"/>
    <m/>
    <m/>
    <n v="0"/>
    <n v="0"/>
  </r>
  <r>
    <x v="9"/>
    <s v="South Piedmont Community College"/>
    <m/>
    <n v="197850"/>
    <x v="8"/>
    <s v="sem"/>
    <s v="sem"/>
    <m/>
    <m/>
    <n v="16644"/>
    <n v="15790"/>
    <n v="3431"/>
    <n v="3326"/>
    <n v="18932"/>
    <n v="17404"/>
    <n v="39007"/>
    <n v="1300.2333333333333"/>
    <n v="36520"/>
    <n v="1217.3333333333333"/>
    <n v="8530"/>
    <n v="9745"/>
    <n v="39007"/>
    <n v="36520"/>
    <m/>
    <m/>
    <n v="225177"/>
    <n v="189477"/>
    <n v="131897"/>
    <n v="127956"/>
    <n v="254542"/>
    <n v="232965"/>
    <n v="611616"/>
    <n v="679.57333333333338"/>
    <n v="550398"/>
    <n v="611.55333333333328"/>
    <m/>
    <m/>
    <n v="0"/>
    <n v="0"/>
  </r>
  <r>
    <x v="9"/>
    <s v="Southeastern Community College "/>
    <m/>
    <n v="199722"/>
    <x v="8"/>
    <s v="sem"/>
    <s v="sem"/>
    <m/>
    <m/>
    <n v="11278"/>
    <n v="11149"/>
    <n v="2836"/>
    <n v="3284"/>
    <n v="13128"/>
    <n v="11615"/>
    <n v="27242"/>
    <n v="908.06666666666672"/>
    <n v="26048"/>
    <n v="868.26666666666665"/>
    <n v="2832"/>
    <n v="4155"/>
    <n v="27242"/>
    <n v="26048"/>
    <m/>
    <m/>
    <n v="229827"/>
    <n v="248065"/>
    <n v="167402"/>
    <n v="152863"/>
    <n v="245837"/>
    <n v="249370"/>
    <n v="643066"/>
    <n v="714.51777777777772"/>
    <n v="650298"/>
    <n v="722.55333333333328"/>
    <m/>
    <m/>
    <n v="0"/>
    <n v="0"/>
  </r>
  <r>
    <x v="9"/>
    <s v="Southwestern Community College "/>
    <m/>
    <n v="199731"/>
    <x v="8"/>
    <s v="sem"/>
    <s v="sem"/>
    <m/>
    <m/>
    <n v="19125"/>
    <n v="19017"/>
    <n v="4405"/>
    <n v="4044"/>
    <n v="21225"/>
    <n v="21642"/>
    <n v="44755"/>
    <n v="1491.8333333333333"/>
    <n v="44703"/>
    <n v="1490.1"/>
    <n v="7518"/>
    <n v="7838"/>
    <n v="44755"/>
    <n v="44703"/>
    <m/>
    <m/>
    <n v="164990"/>
    <n v="142728"/>
    <n v="101355"/>
    <n v="85135"/>
    <n v="141363"/>
    <n v="172334"/>
    <n v="407708"/>
    <n v="453.00888888888886"/>
    <n v="400197"/>
    <n v="444.66333333333336"/>
    <m/>
    <m/>
    <n v="0"/>
    <n v="0"/>
  </r>
  <r>
    <x v="9"/>
    <s v="Tri-County Community College "/>
    <m/>
    <n v="199795"/>
    <x v="8"/>
    <s v="sem"/>
    <s v="sem"/>
    <m/>
    <m/>
    <n v="12513"/>
    <n v="9995"/>
    <n v="1678"/>
    <n v="1807"/>
    <n v="11444"/>
    <n v="9515"/>
    <n v="25635"/>
    <n v="854.5"/>
    <n v="21317"/>
    <n v="710.56666666666672"/>
    <n v="4776"/>
    <n v="5154"/>
    <n v="25635"/>
    <n v="21317"/>
    <m/>
    <m/>
    <n v="40806"/>
    <n v="55031"/>
    <n v="30140"/>
    <n v="57865"/>
    <n v="59109"/>
    <n v="71584"/>
    <n v="130055"/>
    <n v="144.50555555555556"/>
    <n v="184480"/>
    <n v="204.97777777777779"/>
    <m/>
    <m/>
    <n v="0"/>
    <n v="0"/>
  </r>
  <r>
    <x v="9"/>
    <s v="Wilson Community College"/>
    <m/>
    <n v="199953"/>
    <x v="8"/>
    <s v="sem"/>
    <s v="sem"/>
    <m/>
    <m/>
    <n v="16448"/>
    <n v="14126"/>
    <n v="5864"/>
    <n v="5393"/>
    <n v="16761"/>
    <n v="15196"/>
    <n v="39073"/>
    <n v="1302.4333333333334"/>
    <n v="34715"/>
    <n v="1157.1666666666667"/>
    <n v="4157"/>
    <n v="4480"/>
    <n v="39073"/>
    <n v="34715"/>
    <m/>
    <m/>
    <n v="113968"/>
    <n v="107967"/>
    <n v="67068"/>
    <n v="67928"/>
    <n v="132840"/>
    <n v="116265"/>
    <n v="313876"/>
    <n v="348.75111111111113"/>
    <n v="292160"/>
    <n v="324.62222222222221"/>
    <m/>
    <m/>
    <n v="0"/>
    <n v="0"/>
  </r>
  <r>
    <x v="10"/>
    <s v="Oklahoma State University Main Campus"/>
    <m/>
    <n v="207388"/>
    <x v="0"/>
    <s v="sem"/>
    <s v="sem"/>
    <m/>
    <m/>
    <n v="270811"/>
    <n v="274208"/>
    <n v="31296"/>
    <n v="32539"/>
    <n v="298924"/>
    <n v="304054"/>
    <n v="601031"/>
    <n v="20034.366666666665"/>
    <n v="610801"/>
    <n v="20360.033333333333"/>
    <m/>
    <m/>
    <n v="0"/>
    <n v="0"/>
    <m/>
    <m/>
    <m/>
    <m/>
    <m/>
    <m/>
    <m/>
    <m/>
    <n v="0"/>
    <n v="0"/>
    <n v="0"/>
    <n v="0"/>
    <m/>
    <m/>
    <n v="0"/>
    <n v="0"/>
  </r>
  <r>
    <x v="10"/>
    <s v="University of Oklahoma Norman Campus"/>
    <m/>
    <n v="207500"/>
    <x v="0"/>
    <s v="sem"/>
    <s v="sem"/>
    <m/>
    <m/>
    <n v="252553"/>
    <n v="256575"/>
    <n v="43602"/>
    <n v="46493"/>
    <n v="284124"/>
    <n v="286914"/>
    <n v="580279"/>
    <n v="19342.633333333335"/>
    <n v="589982"/>
    <n v="19666.066666666666"/>
    <m/>
    <m/>
    <n v="0"/>
    <n v="0"/>
    <m/>
    <m/>
    <m/>
    <m/>
    <m/>
    <m/>
    <m/>
    <m/>
    <n v="0"/>
    <n v="0"/>
    <n v="0"/>
    <n v="0"/>
    <m/>
    <m/>
    <n v="0"/>
    <n v="0"/>
  </r>
  <r>
    <x v="10"/>
    <s v="Northeastern State University"/>
    <m/>
    <n v="207263"/>
    <x v="2"/>
    <s v="sem"/>
    <s v="sem"/>
    <m/>
    <m/>
    <n v="78117"/>
    <n v="76132"/>
    <n v="13090"/>
    <n v="12459"/>
    <n v="82292"/>
    <n v="82479"/>
    <n v="173499"/>
    <n v="5783.3"/>
    <n v="171070"/>
    <n v="5702.333333333333"/>
    <m/>
    <m/>
    <n v="0"/>
    <n v="0"/>
    <m/>
    <m/>
    <m/>
    <m/>
    <m/>
    <m/>
    <m/>
    <m/>
    <n v="0"/>
    <n v="0"/>
    <n v="0"/>
    <n v="0"/>
    <m/>
    <m/>
    <n v="0"/>
    <n v="0"/>
  </r>
  <r>
    <x v="10"/>
    <s v="University of Central Oklahoma"/>
    <m/>
    <n v="206941"/>
    <x v="2"/>
    <s v="sem"/>
    <s v="sem"/>
    <m/>
    <m/>
    <n v="164252"/>
    <n v="161996"/>
    <n v="27735"/>
    <n v="27169"/>
    <n v="177266"/>
    <n v="177623"/>
    <n v="369253"/>
    <n v="12308.433333333332"/>
    <n v="366788"/>
    <n v="12226.266666666666"/>
    <m/>
    <m/>
    <n v="0"/>
    <n v="0"/>
    <m/>
    <m/>
    <m/>
    <m/>
    <m/>
    <m/>
    <m/>
    <m/>
    <n v="0"/>
    <n v="0"/>
    <n v="0"/>
    <n v="0"/>
    <m/>
    <m/>
    <n v="0"/>
    <n v="0"/>
  </r>
  <r>
    <x v="10"/>
    <s v="Southeastern Oklahoma State University "/>
    <m/>
    <n v="207847"/>
    <x v="3"/>
    <s v="sem"/>
    <s v="sem"/>
    <m/>
    <m/>
    <n v="39072"/>
    <n v="37732"/>
    <n v="6902"/>
    <n v="6455"/>
    <n v="43681"/>
    <n v="40150"/>
    <n v="89655"/>
    <n v="2988.5"/>
    <n v="84337"/>
    <n v="2811.2333333333331"/>
    <m/>
    <m/>
    <n v="0"/>
    <n v="0"/>
    <m/>
    <m/>
    <m/>
    <m/>
    <m/>
    <m/>
    <m/>
    <m/>
    <n v="0"/>
    <n v="0"/>
    <n v="0"/>
    <n v="0"/>
    <m/>
    <m/>
    <n v="0"/>
    <n v="0"/>
  </r>
  <r>
    <x v="10"/>
    <s v="Cameron University "/>
    <m/>
    <n v="206914"/>
    <x v="4"/>
    <s v="sem"/>
    <s v="sem"/>
    <m/>
    <m/>
    <n v="54809"/>
    <n v="50766"/>
    <n v="9751"/>
    <n v="8739"/>
    <n v="56036"/>
    <n v="54264"/>
    <n v="120596"/>
    <n v="4019.8666666666668"/>
    <n v="113769"/>
    <n v="3792.3"/>
    <m/>
    <m/>
    <n v="0"/>
    <n v="0"/>
    <m/>
    <m/>
    <m/>
    <m/>
    <m/>
    <m/>
    <m/>
    <m/>
    <n v="0"/>
    <n v="0"/>
    <n v="0"/>
    <n v="0"/>
    <m/>
    <m/>
    <n v="0"/>
    <n v="0"/>
  </r>
  <r>
    <x v="10"/>
    <s v="East Central University "/>
    <m/>
    <n v="207041"/>
    <x v="4"/>
    <s v="sem"/>
    <s v="sem"/>
    <m/>
    <m/>
    <n v="45299"/>
    <n v="44217"/>
    <n v="7194"/>
    <n v="6519"/>
    <n v="46882"/>
    <n v="48395"/>
    <n v="99375"/>
    <n v="3312.5"/>
    <n v="99131"/>
    <n v="3304.3666666666668"/>
    <m/>
    <m/>
    <n v="0"/>
    <n v="0"/>
    <m/>
    <m/>
    <m/>
    <m/>
    <m/>
    <m/>
    <m/>
    <m/>
    <n v="0"/>
    <n v="0"/>
    <n v="0"/>
    <n v="0"/>
    <m/>
    <m/>
    <n v="0"/>
    <n v="0"/>
  </r>
  <r>
    <x v="10"/>
    <s v="Langston University"/>
    <m/>
    <n v="207209"/>
    <x v="4"/>
    <s v="sem"/>
    <s v="sem"/>
    <m/>
    <m/>
    <n v="23800"/>
    <n v="24409"/>
    <n v="2102"/>
    <n v="2351"/>
    <n v="28337"/>
    <n v="30045"/>
    <n v="54239"/>
    <n v="1807.9666666666667"/>
    <n v="56805"/>
    <n v="1893.5"/>
    <m/>
    <m/>
    <n v="0"/>
    <n v="0"/>
    <m/>
    <m/>
    <m/>
    <m/>
    <m/>
    <m/>
    <m/>
    <m/>
    <n v="0"/>
    <n v="0"/>
    <n v="0"/>
    <n v="0"/>
    <m/>
    <m/>
    <n v="0"/>
    <n v="0"/>
  </r>
  <r>
    <x v="10"/>
    <s v="Northwestern Oklahoma State University "/>
    <m/>
    <n v="207306"/>
    <x v="4"/>
    <s v="sem"/>
    <s v="sem"/>
    <m/>
    <m/>
    <n v="23455"/>
    <n v="23062"/>
    <n v="3222"/>
    <n v="3313"/>
    <n v="25578"/>
    <n v="24792"/>
    <n v="52255"/>
    <n v="1741.8333333333333"/>
    <n v="51167"/>
    <n v="1705.5666666666666"/>
    <m/>
    <m/>
    <n v="0"/>
    <n v="0"/>
    <m/>
    <m/>
    <m/>
    <m/>
    <m/>
    <m/>
    <m/>
    <m/>
    <n v="0"/>
    <n v="0"/>
    <n v="0"/>
    <n v="0"/>
    <m/>
    <m/>
    <n v="0"/>
    <n v="0"/>
  </r>
  <r>
    <x v="10"/>
    <s v="Southwestern Oklahoma State University"/>
    <s v="Met the criteria for Four-Year 4 in 2015-16."/>
    <n v="207865"/>
    <x v="4"/>
    <s v="sem"/>
    <s v="sem"/>
    <m/>
    <m/>
    <n v="51263"/>
    <n v="51752"/>
    <n v="8254"/>
    <n v="7880"/>
    <n v="57552"/>
    <n v="58726"/>
    <n v="117069"/>
    <n v="3902.3"/>
    <n v="118358"/>
    <n v="3945.2666666666669"/>
    <m/>
    <m/>
    <n v="0"/>
    <n v="0"/>
    <m/>
    <m/>
    <m/>
    <m/>
    <m/>
    <m/>
    <m/>
    <m/>
    <n v="0"/>
    <n v="0"/>
    <n v="0"/>
    <n v="0"/>
    <m/>
    <m/>
    <n v="0"/>
    <n v="0"/>
  </r>
  <r>
    <x v="10"/>
    <s v="Oklahoma Panhandle State University "/>
    <m/>
    <n v="207351"/>
    <x v="5"/>
    <s v="sem"/>
    <s v="sem"/>
    <m/>
    <m/>
    <n v="14077"/>
    <n v="14454"/>
    <n v="1625"/>
    <n v="1498"/>
    <n v="15644"/>
    <n v="15779"/>
    <n v="31346"/>
    <n v="1044.8666666666666"/>
    <n v="31731"/>
    <n v="1057.7"/>
    <m/>
    <m/>
    <n v="0"/>
    <n v="0"/>
    <m/>
    <m/>
    <m/>
    <m/>
    <m/>
    <m/>
    <m/>
    <m/>
    <n v="0"/>
    <n v="0"/>
    <n v="0"/>
    <n v="0"/>
    <m/>
    <m/>
    <n v="0"/>
    <n v="0"/>
  </r>
  <r>
    <x v="10"/>
    <s v="Rogers State University"/>
    <m/>
    <n v="207661"/>
    <x v="5"/>
    <s v="sem"/>
    <s v="sem"/>
    <m/>
    <m/>
    <n v="41331"/>
    <n v="38946"/>
    <n v="5534"/>
    <n v="5428"/>
    <n v="43046"/>
    <n v="43945"/>
    <n v="89911"/>
    <n v="2997.0333333333333"/>
    <n v="88319"/>
    <n v="2943.9666666666667"/>
    <m/>
    <m/>
    <n v="0"/>
    <n v="0"/>
    <m/>
    <m/>
    <m/>
    <m/>
    <m/>
    <m/>
    <m/>
    <m/>
    <n v="0"/>
    <n v="0"/>
    <n v="0"/>
    <n v="0"/>
    <m/>
    <m/>
    <n v="0"/>
    <n v="0"/>
  </r>
  <r>
    <x v="10"/>
    <s v="University of Science and Arts of Oklahoma"/>
    <m/>
    <n v="207722"/>
    <x v="5"/>
    <s v="sem"/>
    <s v="sem"/>
    <m/>
    <m/>
    <n v="11160"/>
    <n v="10419"/>
    <n v="3746"/>
    <n v="3426"/>
    <n v="12121"/>
    <n v="12134"/>
    <n v="27027"/>
    <n v="900.9"/>
    <n v="25979"/>
    <n v="865.9666666666667"/>
    <m/>
    <m/>
    <n v="0"/>
    <n v="0"/>
    <m/>
    <m/>
    <m/>
    <m/>
    <m/>
    <m/>
    <m/>
    <m/>
    <n v="0"/>
    <n v="0"/>
    <n v="0"/>
    <n v="0"/>
    <m/>
    <m/>
    <n v="0"/>
    <n v="0"/>
  </r>
  <r>
    <x v="10"/>
    <s v="Oklahoma State University Technical Branch-Okmulgee "/>
    <m/>
    <n v="207564"/>
    <x v="11"/>
    <s v="sem"/>
    <s v="sem"/>
    <m/>
    <m/>
    <n v="34146"/>
    <n v="31082"/>
    <n v="22966"/>
    <n v="21058"/>
    <n v="37481"/>
    <n v="30300"/>
    <n v="94593"/>
    <n v="3153.1"/>
    <n v="82440"/>
    <n v="2748"/>
    <m/>
    <m/>
    <n v="0"/>
    <n v="0"/>
    <m/>
    <m/>
    <m/>
    <m/>
    <m/>
    <m/>
    <m/>
    <m/>
    <n v="0"/>
    <n v="0"/>
    <n v="0"/>
    <n v="0"/>
    <m/>
    <m/>
    <n v="0"/>
    <n v="0"/>
  </r>
  <r>
    <x v="10"/>
    <s v="Oklahoma State University-Oklahoma City "/>
    <m/>
    <n v="207397"/>
    <x v="11"/>
    <s v="sem"/>
    <s v="sem"/>
    <m/>
    <m/>
    <n v="57101"/>
    <n v="51692"/>
    <n v="14474"/>
    <n v="13199"/>
    <n v="59222"/>
    <n v="52100"/>
    <n v="130797"/>
    <n v="4359.8999999999996"/>
    <n v="116991"/>
    <n v="3899.7"/>
    <m/>
    <m/>
    <n v="0"/>
    <n v="0"/>
    <m/>
    <m/>
    <m/>
    <m/>
    <m/>
    <m/>
    <m/>
    <m/>
    <n v="0"/>
    <n v="0"/>
    <n v="0"/>
    <n v="0"/>
    <m/>
    <m/>
    <n v="0"/>
    <n v="0"/>
  </r>
  <r>
    <x v="10"/>
    <s v="Oklahoma City Community College "/>
    <m/>
    <n v="207449"/>
    <x v="7"/>
    <s v="sem"/>
    <s v="sem"/>
    <m/>
    <m/>
    <n v="108444"/>
    <n v="109037"/>
    <n v="29437"/>
    <n v="29565"/>
    <n v="117007"/>
    <n v="117407"/>
    <n v="254888"/>
    <n v="8496.2666666666664"/>
    <n v="256009"/>
    <n v="8533.6333333333332"/>
    <m/>
    <m/>
    <n v="0"/>
    <n v="0"/>
    <m/>
    <m/>
    <m/>
    <m/>
    <m/>
    <m/>
    <m/>
    <m/>
    <n v="0"/>
    <n v="0"/>
    <n v="0"/>
    <n v="0"/>
    <m/>
    <m/>
    <n v="0"/>
    <n v="0"/>
  </r>
  <r>
    <x v="10"/>
    <s v="Rose State College "/>
    <s v="Reclassified: Met the criteria for Two-Year 2 institution in 2013-14, 2014-15, and 2015-16."/>
    <n v="207670"/>
    <x v="6"/>
    <s v="sem"/>
    <s v="sem"/>
    <m/>
    <m/>
    <n v="55931"/>
    <n v="54325"/>
    <n v="13164"/>
    <n v="12374"/>
    <n v="61619"/>
    <n v="60460"/>
    <n v="130714"/>
    <n v="4357.1333333333332"/>
    <n v="127159"/>
    <n v="4238.6333333333332"/>
    <m/>
    <m/>
    <n v="0"/>
    <n v="0"/>
    <m/>
    <m/>
    <m/>
    <m/>
    <m/>
    <m/>
    <m/>
    <m/>
    <n v="0"/>
    <n v="0"/>
    <n v="0"/>
    <n v="0"/>
    <m/>
    <m/>
    <n v="0"/>
    <n v="0"/>
  </r>
  <r>
    <x v="10"/>
    <s v="Tulsa Community College "/>
    <m/>
    <n v="207935"/>
    <x v="7"/>
    <s v="sem"/>
    <s v="sem"/>
    <m/>
    <m/>
    <n v="146613"/>
    <n v="141385"/>
    <n v="38601"/>
    <n v="36977"/>
    <n v="151596"/>
    <n v="145935"/>
    <n v="336810"/>
    <n v="11227"/>
    <n v="324297"/>
    <n v="10809.9"/>
    <m/>
    <m/>
    <n v="0"/>
    <n v="0"/>
    <m/>
    <m/>
    <m/>
    <m/>
    <m/>
    <m/>
    <m/>
    <m/>
    <n v="0"/>
    <n v="0"/>
    <n v="0"/>
    <n v="0"/>
    <m/>
    <m/>
    <n v="0"/>
    <n v="0"/>
  </r>
  <r>
    <x v="10"/>
    <s v="Carl Albert State College"/>
    <s v="Reclassified: Met the criteria for Two-Year 3 institution in 2013-14, 2014-15, and 2015-16."/>
    <n v="206923"/>
    <x v="8"/>
    <s v="sem"/>
    <s v="sem"/>
    <m/>
    <m/>
    <n v="25251"/>
    <n v="22334"/>
    <n v="3594"/>
    <n v="3711"/>
    <n v="25176"/>
    <n v="25461"/>
    <n v="54021"/>
    <n v="1800.7"/>
    <n v="51506"/>
    <n v="1716.8666666666666"/>
    <m/>
    <m/>
    <n v="0"/>
    <n v="0"/>
    <m/>
    <m/>
    <m/>
    <m/>
    <m/>
    <m/>
    <m/>
    <m/>
    <n v="0"/>
    <n v="0"/>
    <n v="0"/>
    <n v="0"/>
    <m/>
    <m/>
    <n v="0"/>
    <n v="0"/>
  </r>
  <r>
    <x v="10"/>
    <s v="Northern Oklahoma College "/>
    <m/>
    <n v="207281"/>
    <x v="6"/>
    <s v="sem"/>
    <s v="sem"/>
    <m/>
    <m/>
    <n v="42385"/>
    <n v="41313"/>
    <n v="6597"/>
    <n v="6873"/>
    <n v="44449"/>
    <n v="43735"/>
    <n v="93431"/>
    <n v="3114.3666666666668"/>
    <n v="91921"/>
    <n v="3064.0333333333333"/>
    <m/>
    <m/>
    <n v="0"/>
    <n v="0"/>
    <m/>
    <m/>
    <m/>
    <m/>
    <m/>
    <m/>
    <m/>
    <m/>
    <n v="0"/>
    <n v="0"/>
    <n v="0"/>
    <n v="0"/>
    <m/>
    <m/>
    <n v="0"/>
    <n v="0"/>
  </r>
  <r>
    <x v="10"/>
    <s v="Connors State College "/>
    <m/>
    <n v="206996"/>
    <x v="8"/>
    <s v="sem"/>
    <s v="sem"/>
    <m/>
    <m/>
    <n v="22697"/>
    <n v="22353"/>
    <n v="3871"/>
    <n v="3663"/>
    <n v="25437"/>
    <n v="25050"/>
    <n v="52005"/>
    <n v="1733.5"/>
    <n v="51066"/>
    <n v="1702.2"/>
    <m/>
    <m/>
    <n v="0"/>
    <n v="0"/>
    <m/>
    <m/>
    <m/>
    <m/>
    <m/>
    <m/>
    <m/>
    <m/>
    <n v="0"/>
    <n v="0"/>
    <n v="0"/>
    <n v="0"/>
    <m/>
    <m/>
    <n v="0"/>
    <n v="0"/>
  </r>
  <r>
    <x v="10"/>
    <s v="Eastern Oklahoma State College "/>
    <m/>
    <n v="207050"/>
    <x v="8"/>
    <s v="sem"/>
    <s v="sem"/>
    <m/>
    <m/>
    <n v="16632"/>
    <n v="15420"/>
    <n v="2516"/>
    <n v="2479"/>
    <n v="17056"/>
    <n v="16667"/>
    <n v="36204"/>
    <n v="1206.8"/>
    <n v="34566"/>
    <n v="1152.2"/>
    <m/>
    <m/>
    <n v="0"/>
    <n v="0"/>
    <m/>
    <m/>
    <m/>
    <m/>
    <m/>
    <m/>
    <m/>
    <m/>
    <n v="0"/>
    <n v="0"/>
    <n v="0"/>
    <n v="0"/>
    <m/>
    <m/>
    <n v="0"/>
    <n v="0"/>
  </r>
  <r>
    <x v="10"/>
    <s v="Murray State College "/>
    <m/>
    <n v="207236"/>
    <x v="8"/>
    <s v="sem"/>
    <s v="sem"/>
    <m/>
    <m/>
    <n v="21035"/>
    <n v="20969"/>
    <n v="3549"/>
    <n v="3362"/>
    <n v="24452"/>
    <n v="23249"/>
    <n v="49036"/>
    <n v="1634.5333333333333"/>
    <n v="47580"/>
    <n v="1586"/>
    <m/>
    <m/>
    <n v="0"/>
    <n v="0"/>
    <m/>
    <m/>
    <m/>
    <m/>
    <m/>
    <m/>
    <m/>
    <m/>
    <n v="0"/>
    <n v="0"/>
    <n v="0"/>
    <n v="0"/>
    <m/>
    <m/>
    <n v="0"/>
    <n v="0"/>
  </r>
  <r>
    <x v="10"/>
    <s v="Northeastern Oklahoma A &amp; M College "/>
    <m/>
    <n v="207290"/>
    <x v="8"/>
    <s v="sem"/>
    <s v="sem"/>
    <m/>
    <m/>
    <n v="26358"/>
    <n v="23924"/>
    <n v="3383"/>
    <n v="3378"/>
    <n v="28072"/>
    <n v="26505"/>
    <n v="57813"/>
    <n v="1927.1"/>
    <n v="53807"/>
    <n v="1793.5666666666666"/>
    <m/>
    <m/>
    <n v="0"/>
    <n v="0"/>
    <m/>
    <m/>
    <m/>
    <m/>
    <m/>
    <m/>
    <m/>
    <m/>
    <n v="0"/>
    <n v="0"/>
    <n v="0"/>
    <n v="0"/>
    <m/>
    <m/>
    <n v="0"/>
    <n v="0"/>
  </r>
  <r>
    <x v="10"/>
    <s v="Redlands Community College"/>
    <m/>
    <n v="207069"/>
    <x v="8"/>
    <s v="sem"/>
    <s v="sem"/>
    <m/>
    <m/>
    <n v="18087"/>
    <n v="17561"/>
    <n v="3338"/>
    <n v="3449"/>
    <n v="19077"/>
    <n v="18503"/>
    <n v="40502"/>
    <n v="1350.0666666666666"/>
    <n v="39513"/>
    <n v="1317.1"/>
    <m/>
    <m/>
    <n v="0"/>
    <n v="0"/>
    <m/>
    <m/>
    <m/>
    <m/>
    <m/>
    <m/>
    <m/>
    <m/>
    <n v="0"/>
    <n v="0"/>
    <n v="0"/>
    <n v="0"/>
    <m/>
    <m/>
    <n v="0"/>
    <n v="0"/>
  </r>
  <r>
    <x v="10"/>
    <s v="Seminole State College "/>
    <m/>
    <n v="207740"/>
    <x v="8"/>
    <s v="sem"/>
    <s v="sem"/>
    <m/>
    <m/>
    <n v="18201"/>
    <n v="19542"/>
    <n v="3142"/>
    <n v="2664"/>
    <n v="19784"/>
    <n v="19000"/>
    <n v="41127"/>
    <n v="1370.9"/>
    <n v="41206"/>
    <n v="1373.5333333333333"/>
    <m/>
    <m/>
    <n v="0"/>
    <n v="0"/>
    <m/>
    <m/>
    <m/>
    <m/>
    <m/>
    <m/>
    <m/>
    <m/>
    <n v="0"/>
    <n v="0"/>
    <n v="0"/>
    <n v="0"/>
    <m/>
    <m/>
    <n v="0"/>
    <n v="0"/>
  </r>
  <r>
    <x v="10"/>
    <s v="Western Oklahoma State College "/>
    <m/>
    <n v="208035"/>
    <x v="8"/>
    <s v="sem"/>
    <s v="sem"/>
    <m/>
    <m/>
    <n v="13510"/>
    <n v="12667"/>
    <n v="2598"/>
    <n v="2553"/>
    <n v="13422"/>
    <n v="12924"/>
    <n v="29530"/>
    <n v="984.33333333333337"/>
    <n v="28144"/>
    <n v="938.13333333333333"/>
    <m/>
    <m/>
    <n v="0"/>
    <n v="0"/>
    <m/>
    <m/>
    <m/>
    <m/>
    <m/>
    <m/>
    <m/>
    <m/>
    <n v="0"/>
    <n v="0"/>
    <n v="0"/>
    <n v="0"/>
    <m/>
    <m/>
    <n v="0"/>
    <n v="0"/>
  </r>
  <r>
    <x v="10"/>
    <s v="Canadian Valley Technology Center                 "/>
    <m/>
    <n v="365374"/>
    <x v="9"/>
    <m/>
    <m/>
    <m/>
    <m/>
    <m/>
    <m/>
    <m/>
    <m/>
    <m/>
    <m/>
    <n v="0"/>
    <n v="0"/>
    <n v="0"/>
    <n v="0"/>
    <m/>
    <m/>
    <n v="0"/>
    <n v="0"/>
    <m/>
    <m/>
    <m/>
    <m/>
    <m/>
    <m/>
    <n v="935037"/>
    <n v="944778.75"/>
    <n v="935037"/>
    <n v="1038.93"/>
    <n v="944778.75"/>
    <n v="1049.7541666666666"/>
    <m/>
    <m/>
    <n v="0"/>
    <n v="0"/>
  </r>
  <r>
    <x v="10"/>
    <s v="Francis Tuttle Technology Center                  "/>
    <m/>
    <n v="245999"/>
    <x v="9"/>
    <m/>
    <m/>
    <m/>
    <m/>
    <m/>
    <m/>
    <m/>
    <m/>
    <m/>
    <m/>
    <n v="0"/>
    <n v="0"/>
    <n v="0"/>
    <n v="0"/>
    <m/>
    <m/>
    <n v="0"/>
    <n v="0"/>
    <m/>
    <m/>
    <m/>
    <m/>
    <m/>
    <m/>
    <n v="1473299.25"/>
    <n v="1635128.74"/>
    <n v="1473299.25"/>
    <n v="1636.9991666666667"/>
    <n v="1635128.74"/>
    <n v="1816.809711111111"/>
    <m/>
    <m/>
    <n v="0"/>
    <n v="0"/>
  </r>
  <r>
    <x v="10"/>
    <s v="Metro Technology Centers                          "/>
    <s v="Met the criteria for Technical Institute or College 2 in 2015-16."/>
    <n v="363165"/>
    <x v="9"/>
    <m/>
    <m/>
    <m/>
    <m/>
    <m/>
    <m/>
    <m/>
    <m/>
    <m/>
    <m/>
    <n v="0"/>
    <n v="0"/>
    <n v="0"/>
    <n v="0"/>
    <m/>
    <m/>
    <n v="0"/>
    <n v="0"/>
    <m/>
    <m/>
    <m/>
    <m/>
    <m/>
    <m/>
    <n v="970385.26"/>
    <n v="827239.3"/>
    <n v="970385.26"/>
    <n v="1078.2058444444444"/>
    <n v="827239.3"/>
    <n v="919.15477777777778"/>
    <m/>
    <m/>
    <n v="0"/>
    <n v="0"/>
  </r>
  <r>
    <x v="10"/>
    <s v="Autry Technology Center                           "/>
    <m/>
    <n v="365213"/>
    <x v="10"/>
    <m/>
    <m/>
    <m/>
    <m/>
    <m/>
    <m/>
    <m/>
    <m/>
    <m/>
    <m/>
    <n v="0"/>
    <n v="0"/>
    <n v="0"/>
    <n v="0"/>
    <m/>
    <m/>
    <n v="0"/>
    <n v="0"/>
    <m/>
    <m/>
    <m/>
    <m/>
    <m/>
    <m/>
    <n v="489608.81"/>
    <n v="512368.79"/>
    <n v="489608.81"/>
    <n v="544.00978888888892"/>
    <n v="512368.79"/>
    <n v="569.29865555555557"/>
    <m/>
    <m/>
    <n v="0"/>
    <n v="0"/>
  </r>
  <r>
    <x v="10"/>
    <s v="Caddo Kiowa Technology Center                     "/>
    <m/>
    <n v="364946"/>
    <x v="10"/>
    <m/>
    <m/>
    <m/>
    <m/>
    <m/>
    <m/>
    <m/>
    <m/>
    <m/>
    <m/>
    <n v="0"/>
    <n v="0"/>
    <n v="0"/>
    <n v="0"/>
    <m/>
    <m/>
    <n v="0"/>
    <n v="0"/>
    <m/>
    <m/>
    <m/>
    <m/>
    <m/>
    <m/>
    <n v="308988.84999999998"/>
    <n v="326203.46000000002"/>
    <n v="308988.84999999998"/>
    <n v="343.32094444444442"/>
    <n v="326203.46000000002"/>
    <n v="362.4482888888889"/>
    <m/>
    <m/>
    <n v="0"/>
    <n v="0"/>
  </r>
  <r>
    <x v="10"/>
    <s v="Central Technology Center                         "/>
    <m/>
    <n v="246017"/>
    <x v="10"/>
    <m/>
    <m/>
    <m/>
    <m/>
    <m/>
    <m/>
    <m/>
    <m/>
    <m/>
    <m/>
    <n v="0"/>
    <n v="0"/>
    <n v="0"/>
    <n v="0"/>
    <m/>
    <m/>
    <n v="0"/>
    <n v="0"/>
    <m/>
    <m/>
    <m/>
    <m/>
    <m/>
    <m/>
    <n v="781502.7"/>
    <n v="674821.75"/>
    <n v="781502.7"/>
    <n v="868.3363333333333"/>
    <n v="674821.75"/>
    <n v="749.80194444444442"/>
    <m/>
    <m/>
    <n v="0"/>
    <n v="0"/>
  </r>
  <r>
    <x v="10"/>
    <s v="Chisholm Trail Technology Center                  "/>
    <m/>
    <n v="375656"/>
    <x v="10"/>
    <m/>
    <m/>
    <m/>
    <m/>
    <m/>
    <m/>
    <m/>
    <m/>
    <m/>
    <m/>
    <n v="0"/>
    <n v="0"/>
    <n v="0"/>
    <n v="0"/>
    <m/>
    <m/>
    <n v="0"/>
    <n v="0"/>
    <m/>
    <m/>
    <m/>
    <m/>
    <m/>
    <m/>
    <n v="79315"/>
    <n v="79246.5"/>
    <n v="79315"/>
    <n v="88.12777777777778"/>
    <n v="79246.5"/>
    <n v="88.051666666666662"/>
    <m/>
    <m/>
    <n v="0"/>
    <n v="0"/>
  </r>
  <r>
    <x v="10"/>
    <s v="Eastern Oklahoma County Technology Center         "/>
    <m/>
    <n v="418348"/>
    <x v="10"/>
    <m/>
    <m/>
    <m/>
    <m/>
    <m/>
    <m/>
    <m/>
    <m/>
    <m/>
    <m/>
    <n v="0"/>
    <n v="0"/>
    <n v="0"/>
    <n v="0"/>
    <m/>
    <m/>
    <n v="0"/>
    <n v="0"/>
    <m/>
    <m/>
    <m/>
    <m/>
    <m/>
    <m/>
    <n v="317099.25"/>
    <n v="332625.7"/>
    <n v="317099.25"/>
    <n v="352.33249999999998"/>
    <n v="332625.7"/>
    <n v="369.5841111111111"/>
    <m/>
    <m/>
    <n v="0"/>
    <n v="0"/>
  </r>
  <r>
    <x v="10"/>
    <s v="Gordon Cooper Technology Center                   "/>
    <m/>
    <n v="375683"/>
    <x v="10"/>
    <m/>
    <m/>
    <m/>
    <m/>
    <m/>
    <m/>
    <m/>
    <m/>
    <m/>
    <m/>
    <n v="0"/>
    <n v="0"/>
    <n v="0"/>
    <n v="0"/>
    <m/>
    <m/>
    <n v="0"/>
    <n v="0"/>
    <m/>
    <m/>
    <m/>
    <m/>
    <m/>
    <m/>
    <n v="668274.5"/>
    <n v="647099.75"/>
    <n v="668274.5"/>
    <n v="742.52722222222224"/>
    <n v="647099.75"/>
    <n v="718.9997222222222"/>
    <m/>
    <m/>
    <n v="0"/>
    <n v="0"/>
  </r>
  <r>
    <x v="10"/>
    <s v="Great Plains Technology Center                    "/>
    <m/>
    <n v="364548"/>
    <x v="10"/>
    <m/>
    <m/>
    <m/>
    <m/>
    <m/>
    <m/>
    <m/>
    <m/>
    <m/>
    <m/>
    <n v="0"/>
    <n v="0"/>
    <n v="0"/>
    <n v="0"/>
    <m/>
    <m/>
    <n v="0"/>
    <n v="0"/>
    <m/>
    <m/>
    <m/>
    <m/>
    <m/>
    <m/>
    <n v="779041.5"/>
    <n v="702816.2"/>
    <n v="779041.5"/>
    <n v="865.60166666666669"/>
    <n v="702816.2"/>
    <n v="780.90688888888883"/>
    <m/>
    <m/>
    <n v="0"/>
    <n v="0"/>
  </r>
  <r>
    <x v="10"/>
    <s v="Green Country Technology Center                   "/>
    <m/>
    <n v="428019"/>
    <x v="10"/>
    <m/>
    <m/>
    <m/>
    <m/>
    <m/>
    <m/>
    <m/>
    <m/>
    <m/>
    <m/>
    <n v="0"/>
    <n v="0"/>
    <n v="0"/>
    <n v="0"/>
    <m/>
    <m/>
    <n v="0"/>
    <n v="0"/>
    <m/>
    <m/>
    <m/>
    <m/>
    <m/>
    <m/>
    <n v="213318.5"/>
    <n v="213296.5"/>
    <n v="213318.5"/>
    <n v="237.02055555555555"/>
    <n v="213296.5"/>
    <n v="236.99611111111111"/>
    <m/>
    <m/>
    <n v="0"/>
    <n v="0"/>
  </r>
  <r>
    <x v="10"/>
    <s v="High Plains Technology Center                     "/>
    <m/>
    <n v="208053"/>
    <x v="10"/>
    <m/>
    <m/>
    <m/>
    <m/>
    <m/>
    <m/>
    <m/>
    <m/>
    <m/>
    <m/>
    <n v="0"/>
    <n v="0"/>
    <n v="0"/>
    <n v="0"/>
    <m/>
    <m/>
    <n v="0"/>
    <n v="0"/>
    <m/>
    <m/>
    <m/>
    <m/>
    <m/>
    <m/>
    <n v="200514.84"/>
    <n v="224694.75"/>
    <n v="200514.84"/>
    <n v="222.79426666666666"/>
    <n v="224694.75"/>
    <n v="249.66083333333333"/>
    <m/>
    <m/>
    <n v="0"/>
    <n v="0"/>
  </r>
  <r>
    <x v="10"/>
    <s v="Indian Capital Technology Center-Muskogee         "/>
    <m/>
    <n v="418296"/>
    <x v="10"/>
    <m/>
    <m/>
    <m/>
    <m/>
    <m/>
    <m/>
    <m/>
    <m/>
    <m/>
    <m/>
    <n v="0"/>
    <n v="0"/>
    <n v="0"/>
    <n v="0"/>
    <m/>
    <m/>
    <n v="0"/>
    <n v="0"/>
    <m/>
    <m/>
    <m/>
    <m/>
    <m/>
    <m/>
    <n v="542714.25"/>
    <n v="480193.5"/>
    <n v="542714.25"/>
    <n v="603.01583333333338"/>
    <n v="480193.5"/>
    <n v="533.54833333333329"/>
    <m/>
    <m/>
    <n v="0"/>
    <n v="0"/>
  </r>
  <r>
    <x v="10"/>
    <s v="Indian Capital Technology Center-Sallisaw         "/>
    <m/>
    <n v="421540"/>
    <x v="10"/>
    <m/>
    <m/>
    <m/>
    <m/>
    <m/>
    <m/>
    <m/>
    <m/>
    <m/>
    <m/>
    <n v="0"/>
    <n v="0"/>
    <n v="0"/>
    <n v="0"/>
    <m/>
    <m/>
    <n v="0"/>
    <n v="0"/>
    <m/>
    <m/>
    <m/>
    <m/>
    <m/>
    <m/>
    <n v="152925"/>
    <n v="150387"/>
    <n v="152925"/>
    <n v="169.91666666666666"/>
    <n v="150387"/>
    <n v="167.09666666666666"/>
    <m/>
    <m/>
    <n v="0"/>
    <n v="0"/>
  </r>
  <r>
    <x v="10"/>
    <s v="Indian Capital Technology Center-Stilwell         "/>
    <m/>
    <n v="421559"/>
    <x v="10"/>
    <m/>
    <m/>
    <m/>
    <m/>
    <m/>
    <m/>
    <m/>
    <m/>
    <m/>
    <m/>
    <n v="0"/>
    <n v="0"/>
    <n v="0"/>
    <n v="0"/>
    <m/>
    <m/>
    <n v="0"/>
    <n v="0"/>
    <m/>
    <m/>
    <m/>
    <m/>
    <m/>
    <m/>
    <n v="110196"/>
    <n v="96167"/>
    <n v="110196"/>
    <n v="122.44"/>
    <n v="96167"/>
    <n v="106.85222222222222"/>
    <m/>
    <m/>
    <n v="0"/>
    <n v="0"/>
  </r>
  <r>
    <x v="10"/>
    <s v="Indian Capital Technology Center-Tahlequah        "/>
    <m/>
    <n v="208026"/>
    <x v="10"/>
    <m/>
    <m/>
    <m/>
    <m/>
    <m/>
    <m/>
    <m/>
    <m/>
    <m/>
    <m/>
    <n v="0"/>
    <n v="0"/>
    <n v="0"/>
    <n v="0"/>
    <m/>
    <m/>
    <n v="0"/>
    <n v="0"/>
    <m/>
    <m/>
    <m/>
    <m/>
    <m/>
    <m/>
    <n v="166934"/>
    <n v="174916"/>
    <n v="166934"/>
    <n v="185.48222222222222"/>
    <n v="174916"/>
    <n v="194.35111111111112"/>
    <m/>
    <m/>
    <n v="0"/>
    <n v="0"/>
  </r>
  <r>
    <x v="10"/>
    <s v="Kiamichi Technology Center-Atoka                  "/>
    <m/>
    <n v="375692"/>
    <x v="10"/>
    <m/>
    <m/>
    <m/>
    <m/>
    <m/>
    <m/>
    <m/>
    <m/>
    <m/>
    <m/>
    <n v="0"/>
    <n v="0"/>
    <n v="0"/>
    <n v="0"/>
    <m/>
    <m/>
    <n v="0"/>
    <n v="0"/>
    <m/>
    <m/>
    <m/>
    <m/>
    <m/>
    <m/>
    <n v="114243"/>
    <n v="104397"/>
    <n v="114243"/>
    <n v="126.93666666666667"/>
    <n v="104397"/>
    <n v="115.99666666666667"/>
    <m/>
    <m/>
    <n v="0"/>
    <n v="0"/>
  </r>
  <r>
    <x v="10"/>
    <s v="Kiamichi Technology Center-Durant                 "/>
    <m/>
    <n v="375708"/>
    <x v="10"/>
    <m/>
    <m/>
    <m/>
    <m/>
    <m/>
    <m/>
    <m/>
    <m/>
    <m/>
    <m/>
    <n v="0"/>
    <n v="0"/>
    <n v="0"/>
    <n v="0"/>
    <m/>
    <m/>
    <n v="0"/>
    <n v="0"/>
    <m/>
    <m/>
    <m/>
    <m/>
    <m/>
    <m/>
    <n v="164452"/>
    <n v="166267"/>
    <n v="164452"/>
    <n v="182.72444444444446"/>
    <n v="166267"/>
    <n v="184.74111111111111"/>
    <m/>
    <m/>
    <n v="0"/>
    <n v="0"/>
  </r>
  <r>
    <x v="10"/>
    <s v="Kiamichi Technology Center-Hugo                   "/>
    <m/>
    <n v="375717"/>
    <x v="10"/>
    <m/>
    <m/>
    <m/>
    <m/>
    <m/>
    <m/>
    <m/>
    <m/>
    <m/>
    <m/>
    <n v="0"/>
    <n v="0"/>
    <n v="0"/>
    <n v="0"/>
    <m/>
    <m/>
    <n v="0"/>
    <n v="0"/>
    <m/>
    <m/>
    <m/>
    <m/>
    <m/>
    <m/>
    <n v="160634.5"/>
    <n v="114268.75"/>
    <n v="160634.5"/>
    <n v="178.48277777777778"/>
    <n v="114268.75"/>
    <n v="126.96527777777777"/>
    <m/>
    <m/>
    <n v="0"/>
    <n v="0"/>
  </r>
  <r>
    <x v="10"/>
    <s v="Kiamichi Technology Center-Idabel                 "/>
    <m/>
    <n v="375735"/>
    <x v="10"/>
    <m/>
    <m/>
    <m/>
    <m/>
    <m/>
    <m/>
    <m/>
    <m/>
    <m/>
    <m/>
    <n v="0"/>
    <n v="0"/>
    <n v="0"/>
    <n v="0"/>
    <m/>
    <m/>
    <n v="0"/>
    <n v="0"/>
    <m/>
    <m/>
    <m/>
    <m/>
    <m/>
    <m/>
    <n v="197236"/>
    <n v="187449.5"/>
    <n v="197236"/>
    <n v="219.15111111111111"/>
    <n v="187449.5"/>
    <n v="208.27722222222224"/>
    <m/>
    <m/>
    <n v="0"/>
    <n v="0"/>
  </r>
  <r>
    <x v="10"/>
    <s v="Kiamichi Technology Center-McAlester              "/>
    <m/>
    <n v="375726"/>
    <x v="10"/>
    <m/>
    <m/>
    <m/>
    <m/>
    <m/>
    <m/>
    <m/>
    <m/>
    <m/>
    <m/>
    <n v="0"/>
    <n v="0"/>
    <n v="0"/>
    <n v="0"/>
    <m/>
    <m/>
    <n v="0"/>
    <n v="0"/>
    <m/>
    <m/>
    <m/>
    <m/>
    <m/>
    <m/>
    <n v="240644"/>
    <n v="275178.5"/>
    <n v="240644"/>
    <n v="267.3822222222222"/>
    <n v="275178.5"/>
    <n v="305.75388888888887"/>
    <m/>
    <m/>
    <n v="0"/>
    <n v="0"/>
  </r>
  <r>
    <x v="10"/>
    <s v="Kiamichi Technology Center-Poteau                 "/>
    <m/>
    <n v="375744"/>
    <x v="10"/>
    <m/>
    <m/>
    <m/>
    <m/>
    <m/>
    <m/>
    <m/>
    <m/>
    <m/>
    <m/>
    <n v="0"/>
    <n v="0"/>
    <n v="0"/>
    <n v="0"/>
    <m/>
    <m/>
    <n v="0"/>
    <n v="0"/>
    <m/>
    <m/>
    <m/>
    <m/>
    <m/>
    <m/>
    <n v="232694"/>
    <n v="211050.65"/>
    <n v="232694"/>
    <n v="258.54888888888888"/>
    <n v="211050.65"/>
    <n v="234.50072222222221"/>
    <m/>
    <m/>
    <n v="0"/>
    <n v="0"/>
  </r>
  <r>
    <x v="10"/>
    <s v="Kiamichi Technology Center-Spiro                  "/>
    <m/>
    <n v="375753"/>
    <x v="10"/>
    <m/>
    <m/>
    <m/>
    <m/>
    <m/>
    <m/>
    <m/>
    <m/>
    <m/>
    <m/>
    <n v="0"/>
    <n v="0"/>
    <n v="0"/>
    <n v="0"/>
    <m/>
    <m/>
    <n v="0"/>
    <n v="0"/>
    <m/>
    <m/>
    <m/>
    <m/>
    <m/>
    <m/>
    <n v="29974"/>
    <n v="27897"/>
    <n v="29974"/>
    <n v="33.304444444444442"/>
    <n v="27897"/>
    <n v="30.996666666666666"/>
    <m/>
    <m/>
    <n v="0"/>
    <n v="0"/>
  </r>
  <r>
    <x v="10"/>
    <s v="Kiamichi Technology Center-Stigler                "/>
    <m/>
    <n v="405748"/>
    <x v="10"/>
    <m/>
    <m/>
    <m/>
    <m/>
    <m/>
    <m/>
    <m/>
    <m/>
    <m/>
    <m/>
    <n v="0"/>
    <n v="0"/>
    <n v="0"/>
    <n v="0"/>
    <m/>
    <m/>
    <n v="0"/>
    <n v="0"/>
    <m/>
    <m/>
    <m/>
    <m/>
    <m/>
    <m/>
    <n v="67562.5"/>
    <n v="74897.5"/>
    <n v="67562.5"/>
    <n v="75.069444444444443"/>
    <n v="74897.5"/>
    <n v="83.219444444444449"/>
    <m/>
    <m/>
    <n v="0"/>
    <n v="0"/>
  </r>
  <r>
    <x v="10"/>
    <s v="Kiamichi Technology Center-Talihina               "/>
    <m/>
    <n v="375762"/>
    <x v="10"/>
    <m/>
    <m/>
    <m/>
    <m/>
    <m/>
    <m/>
    <m/>
    <m/>
    <m/>
    <m/>
    <n v="0"/>
    <n v="0"/>
    <n v="0"/>
    <n v="0"/>
    <m/>
    <m/>
    <n v="0"/>
    <n v="0"/>
    <m/>
    <m/>
    <m/>
    <m/>
    <m/>
    <m/>
    <n v="69959.5"/>
    <n v="67477"/>
    <n v="69959.5"/>
    <n v="77.732777777777784"/>
    <n v="67477"/>
    <n v="74.974444444444444"/>
    <m/>
    <m/>
    <n v="0"/>
    <n v="0"/>
  </r>
  <r>
    <x v="10"/>
    <s v="Meridian Technology Center                        "/>
    <m/>
    <n v="365480"/>
    <x v="10"/>
    <m/>
    <m/>
    <m/>
    <m/>
    <m/>
    <m/>
    <m/>
    <m/>
    <m/>
    <m/>
    <n v="0"/>
    <n v="0"/>
    <n v="0"/>
    <n v="0"/>
    <m/>
    <m/>
    <n v="0"/>
    <n v="0"/>
    <m/>
    <m/>
    <m/>
    <m/>
    <m/>
    <m/>
    <n v="526645.25"/>
    <n v="527896.05000000005"/>
    <n v="526645.25"/>
    <n v="585.16138888888884"/>
    <n v="527896.05000000005"/>
    <n v="586.55116666666675"/>
    <m/>
    <m/>
    <n v="0"/>
    <n v="0"/>
  </r>
  <r>
    <x v="10"/>
    <s v="Mid-America Technology Center                     "/>
    <m/>
    <n v="418320"/>
    <x v="10"/>
    <m/>
    <m/>
    <m/>
    <m/>
    <m/>
    <m/>
    <m/>
    <m/>
    <m/>
    <m/>
    <n v="0"/>
    <n v="0"/>
    <n v="0"/>
    <n v="0"/>
    <m/>
    <m/>
    <n v="0"/>
    <n v="0"/>
    <m/>
    <m/>
    <m/>
    <m/>
    <m/>
    <m/>
    <n v="515076.5"/>
    <n v="524868.5"/>
    <n v="515076.5"/>
    <n v="572.30722222222221"/>
    <n v="524868.5"/>
    <n v="583.1872222222222"/>
    <m/>
    <m/>
    <n v="0"/>
    <n v="0"/>
  </r>
  <r>
    <x v="10"/>
    <s v="Mid-Del Technology Center                         "/>
    <m/>
    <n v="431017"/>
    <x v="10"/>
    <m/>
    <m/>
    <m/>
    <m/>
    <m/>
    <m/>
    <m/>
    <m/>
    <m/>
    <m/>
    <n v="0"/>
    <n v="0"/>
    <n v="0"/>
    <n v="0"/>
    <m/>
    <m/>
    <n v="0"/>
    <n v="0"/>
    <m/>
    <m/>
    <m/>
    <m/>
    <m/>
    <m/>
    <n v="373767"/>
    <n v="370422.5"/>
    <n v="373767"/>
    <n v="415.29666666666668"/>
    <n v="370422.5"/>
    <n v="411.58055555555558"/>
    <m/>
    <m/>
    <n v="0"/>
    <n v="0"/>
  </r>
  <r>
    <x v="10"/>
    <s v="Moore Norman Technology Center                    "/>
    <s v="Met the criteria for Technical Institute or College 1 in 2015-16."/>
    <n v="248606"/>
    <x v="10"/>
    <m/>
    <m/>
    <m/>
    <m/>
    <m/>
    <m/>
    <m/>
    <m/>
    <m/>
    <m/>
    <n v="0"/>
    <n v="0"/>
    <n v="0"/>
    <n v="0"/>
    <m/>
    <m/>
    <n v="0"/>
    <n v="0"/>
    <m/>
    <m/>
    <m/>
    <m/>
    <m/>
    <m/>
    <n v="853141.49"/>
    <n v="909019.3"/>
    <n v="853141.49"/>
    <n v="947.93498888888882"/>
    <n v="909019.3"/>
    <n v="1010.0214444444445"/>
    <m/>
    <m/>
    <n v="0"/>
    <n v="0"/>
  </r>
  <r>
    <x v="10"/>
    <s v="Northeast Technology Center-Afton                 "/>
    <m/>
    <n v="420459"/>
    <x v="10"/>
    <m/>
    <m/>
    <m/>
    <m/>
    <m/>
    <m/>
    <m/>
    <m/>
    <m/>
    <m/>
    <n v="0"/>
    <n v="0"/>
    <n v="0"/>
    <n v="0"/>
    <m/>
    <m/>
    <n v="0"/>
    <n v="0"/>
    <m/>
    <m/>
    <m/>
    <m/>
    <m/>
    <m/>
    <n v="256838"/>
    <n v="262885"/>
    <n v="256838"/>
    <n v="285.37555555555554"/>
    <n v="262885"/>
    <n v="292.09444444444443"/>
    <m/>
    <m/>
    <n v="0"/>
    <n v="0"/>
  </r>
  <r>
    <x v="10"/>
    <s v="Northeast Technology Center-Claremore"/>
    <m/>
    <n v="456560"/>
    <x v="10"/>
    <m/>
    <m/>
    <m/>
    <m/>
    <m/>
    <m/>
    <m/>
    <m/>
    <m/>
    <m/>
    <n v="0"/>
    <n v="0"/>
    <n v="0"/>
    <n v="0"/>
    <m/>
    <m/>
    <n v="0"/>
    <n v="0"/>
    <m/>
    <m/>
    <m/>
    <m/>
    <m/>
    <m/>
    <n v="137697.75"/>
    <n v="144973.75"/>
    <n v="137697.75"/>
    <n v="152.9975"/>
    <n v="144973.75"/>
    <n v="161.08194444444445"/>
    <m/>
    <m/>
    <n v="0"/>
    <n v="0"/>
  </r>
  <r>
    <x v="10"/>
    <s v="Northeast Technology Center-Kansas                "/>
    <m/>
    <n v="432074"/>
    <x v="10"/>
    <m/>
    <m/>
    <m/>
    <m/>
    <m/>
    <m/>
    <m/>
    <m/>
    <m/>
    <m/>
    <n v="0"/>
    <n v="0"/>
    <n v="0"/>
    <n v="0"/>
    <m/>
    <m/>
    <n v="0"/>
    <n v="0"/>
    <m/>
    <m/>
    <m/>
    <m/>
    <m/>
    <m/>
    <n v="171379"/>
    <n v="158667"/>
    <n v="171379"/>
    <n v="190.42111111111112"/>
    <n v="158667"/>
    <n v="176.29666666666665"/>
    <m/>
    <m/>
    <n v="0"/>
    <n v="0"/>
  </r>
  <r>
    <x v="10"/>
    <s v="Northeast Technology Center-Pryor                 "/>
    <m/>
    <n v="418339"/>
    <x v="10"/>
    <m/>
    <m/>
    <m/>
    <m/>
    <m/>
    <m/>
    <m/>
    <m/>
    <m/>
    <m/>
    <n v="0"/>
    <n v="0"/>
    <n v="0"/>
    <n v="0"/>
    <m/>
    <m/>
    <n v="0"/>
    <n v="0"/>
    <m/>
    <m/>
    <m/>
    <m/>
    <m/>
    <m/>
    <n v="259014"/>
    <n v="288306.5"/>
    <n v="259014"/>
    <n v="287.79333333333335"/>
    <n v="288306.5"/>
    <n v="320.34055555555557"/>
    <m/>
    <m/>
    <n v="0"/>
    <n v="0"/>
  </r>
  <r>
    <x v="10"/>
    <s v="Northwest Technology Center-Alva                  "/>
    <m/>
    <n v="366623"/>
    <x v="10"/>
    <m/>
    <m/>
    <m/>
    <m/>
    <m/>
    <m/>
    <m/>
    <m/>
    <m/>
    <m/>
    <n v="0"/>
    <n v="0"/>
    <n v="0"/>
    <n v="0"/>
    <m/>
    <m/>
    <n v="0"/>
    <n v="0"/>
    <m/>
    <m/>
    <m/>
    <m/>
    <m/>
    <m/>
    <n v="102790.5"/>
    <n v="129689.25"/>
    <n v="102790.5"/>
    <n v="114.21166666666667"/>
    <n v="129689.25"/>
    <n v="144.09916666666666"/>
    <m/>
    <m/>
    <n v="0"/>
    <n v="0"/>
  </r>
  <r>
    <x v="10"/>
    <s v="Northwest Technology Center-Fairview              "/>
    <m/>
    <n v="407601"/>
    <x v="10"/>
    <m/>
    <m/>
    <m/>
    <m/>
    <m/>
    <m/>
    <m/>
    <m/>
    <m/>
    <m/>
    <n v="0"/>
    <n v="0"/>
    <n v="0"/>
    <n v="0"/>
    <m/>
    <m/>
    <n v="0"/>
    <n v="0"/>
    <m/>
    <m/>
    <m/>
    <m/>
    <m/>
    <m/>
    <n v="78207"/>
    <n v="78132.5"/>
    <n v="78207"/>
    <n v="86.896666666666661"/>
    <n v="78132.5"/>
    <n v="86.813888888888883"/>
    <m/>
    <m/>
    <n v="0"/>
    <n v="0"/>
  </r>
  <r>
    <x v="10"/>
    <s v="Pioneer Technology Center                         "/>
    <m/>
    <n v="364627"/>
    <x v="10"/>
    <m/>
    <m/>
    <m/>
    <m/>
    <m/>
    <m/>
    <m/>
    <m/>
    <m/>
    <m/>
    <n v="0"/>
    <n v="0"/>
    <n v="0"/>
    <n v="0"/>
    <m/>
    <m/>
    <n v="0"/>
    <n v="0"/>
    <m/>
    <m/>
    <m/>
    <m/>
    <m/>
    <m/>
    <n v="305325"/>
    <n v="320423.09999999998"/>
    <n v="305325"/>
    <n v="339.25"/>
    <n v="320423.09999999998"/>
    <n v="356.02566666666667"/>
    <m/>
    <m/>
    <n v="0"/>
    <n v="0"/>
  </r>
  <r>
    <x v="10"/>
    <s v="Pontotoc Technology Center                        "/>
    <m/>
    <n v="206905"/>
    <x v="10"/>
    <m/>
    <m/>
    <m/>
    <m/>
    <m/>
    <m/>
    <m/>
    <m/>
    <m/>
    <m/>
    <n v="0"/>
    <n v="0"/>
    <n v="0"/>
    <n v="0"/>
    <m/>
    <m/>
    <n v="0"/>
    <n v="0"/>
    <m/>
    <m/>
    <m/>
    <m/>
    <m/>
    <m/>
    <n v="189665.75"/>
    <n v="167886"/>
    <n v="189665.75"/>
    <n v="210.73972222222221"/>
    <n v="167886"/>
    <n v="186.54"/>
    <m/>
    <m/>
    <n v="0"/>
    <n v="0"/>
  </r>
  <r>
    <x v="10"/>
    <s v="Red River Technology Center                       "/>
    <m/>
    <n v="250993"/>
    <x v="10"/>
    <m/>
    <m/>
    <m/>
    <m/>
    <m/>
    <m/>
    <m/>
    <m/>
    <m/>
    <m/>
    <n v="0"/>
    <n v="0"/>
    <n v="0"/>
    <n v="0"/>
    <m/>
    <m/>
    <n v="0"/>
    <n v="0"/>
    <m/>
    <m/>
    <m/>
    <m/>
    <m/>
    <m/>
    <n v="310533.03999999998"/>
    <n v="291348.40000000002"/>
    <n v="310533.03999999998"/>
    <n v="345.03671111111106"/>
    <n v="291348.40000000002"/>
    <n v="323.72044444444447"/>
    <m/>
    <m/>
    <n v="0"/>
    <n v="0"/>
  </r>
  <r>
    <x v="10"/>
    <s v="Southern Oklahoma Technology Center               "/>
    <m/>
    <n v="365198"/>
    <x v="10"/>
    <m/>
    <m/>
    <m/>
    <m/>
    <m/>
    <m/>
    <m/>
    <m/>
    <m/>
    <m/>
    <n v="0"/>
    <n v="0"/>
    <n v="0"/>
    <n v="0"/>
    <m/>
    <m/>
    <n v="0"/>
    <n v="0"/>
    <m/>
    <m/>
    <m/>
    <m/>
    <m/>
    <m/>
    <n v="409493.15"/>
    <n v="428926.95"/>
    <n v="409493.15"/>
    <n v="454.99238888888891"/>
    <n v="428926.95"/>
    <n v="476.58550000000002"/>
    <m/>
    <m/>
    <n v="0"/>
    <n v="0"/>
  </r>
  <r>
    <x v="10"/>
    <s v="Southwest Technology Center                       "/>
    <m/>
    <n v="368364"/>
    <x v="10"/>
    <m/>
    <m/>
    <m/>
    <m/>
    <m/>
    <m/>
    <m/>
    <m/>
    <m/>
    <m/>
    <n v="0"/>
    <n v="0"/>
    <n v="0"/>
    <n v="0"/>
    <m/>
    <m/>
    <n v="0"/>
    <n v="0"/>
    <m/>
    <m/>
    <m/>
    <m/>
    <m/>
    <m/>
    <n v="211122"/>
    <n v="216640.45"/>
    <n v="211122"/>
    <n v="234.58"/>
    <n v="216640.45"/>
    <n v="240.71161111111113"/>
    <m/>
    <m/>
    <n v="0"/>
    <n v="0"/>
  </r>
  <r>
    <x v="10"/>
    <s v="Tri County Technology Center                      "/>
    <m/>
    <n v="418287"/>
    <x v="10"/>
    <m/>
    <m/>
    <m/>
    <m/>
    <m/>
    <m/>
    <m/>
    <m/>
    <m/>
    <m/>
    <n v="0"/>
    <n v="0"/>
    <n v="0"/>
    <n v="0"/>
    <m/>
    <m/>
    <n v="0"/>
    <n v="0"/>
    <m/>
    <m/>
    <m/>
    <m/>
    <m/>
    <m/>
    <n v="366819.65"/>
    <n v="353226.5"/>
    <n v="366819.65"/>
    <n v="407.57738888888889"/>
    <n v="353226.5"/>
    <n v="392.47388888888889"/>
    <m/>
    <m/>
    <n v="0"/>
    <n v="0"/>
  </r>
  <r>
    <x v="10"/>
    <s v="Tulsa County Area Voc Tech School Dist 18-Peoria  "/>
    <m/>
    <n v="207607"/>
    <x v="10"/>
    <m/>
    <m/>
    <m/>
    <m/>
    <m/>
    <m/>
    <m/>
    <m/>
    <m/>
    <m/>
    <n v="0"/>
    <n v="0"/>
    <n v="0"/>
    <n v="0"/>
    <m/>
    <m/>
    <n v="0"/>
    <n v="0"/>
    <m/>
    <m/>
    <m/>
    <m/>
    <m/>
    <m/>
    <n v="328585.5"/>
    <n v="391456"/>
    <n v="328585.5"/>
    <n v="365.09500000000003"/>
    <n v="391456"/>
    <n v="434.95111111111112"/>
    <m/>
    <m/>
    <n v="0"/>
    <n v="0"/>
  </r>
  <r>
    <x v="10"/>
    <s v="Tulsa Technology Center-Broken Arrow Campus       "/>
    <m/>
    <n v="261393"/>
    <x v="10"/>
    <m/>
    <m/>
    <m/>
    <m/>
    <m/>
    <m/>
    <m/>
    <m/>
    <m/>
    <m/>
    <n v="0"/>
    <n v="0"/>
    <n v="0"/>
    <n v="0"/>
    <m/>
    <m/>
    <n v="0"/>
    <n v="0"/>
    <m/>
    <m/>
    <m/>
    <m/>
    <m/>
    <m/>
    <n v="818329.08"/>
    <n v="682564.63"/>
    <n v="818329.08"/>
    <n v="909.25453333333326"/>
    <n v="682564.63"/>
    <n v="758.40514444444443"/>
    <m/>
    <m/>
    <n v="0"/>
    <n v="0"/>
  </r>
  <r>
    <x v="10"/>
    <s v="Tulsa Technology Center-Lemley Campus             "/>
    <s v="Reclassified: Met the criteria for Technical Institute or College 1 in 2013-14, 2014-15, and 2015-16."/>
    <n v="261375"/>
    <x v="9"/>
    <m/>
    <m/>
    <m/>
    <m/>
    <m/>
    <m/>
    <m/>
    <m/>
    <m/>
    <m/>
    <n v="0"/>
    <n v="0"/>
    <n v="0"/>
    <n v="0"/>
    <m/>
    <m/>
    <n v="0"/>
    <n v="0"/>
    <m/>
    <m/>
    <m/>
    <m/>
    <m/>
    <m/>
    <n v="910498.9"/>
    <n v="903772.5"/>
    <n v="910498.9"/>
    <n v="1011.6654444444445"/>
    <n v="903772.5"/>
    <n v="1004.1916666666667"/>
    <m/>
    <m/>
    <n v="0"/>
    <n v="0"/>
  </r>
  <r>
    <x v="10"/>
    <s v="Tulsa Technology Center-Owasso NEW"/>
    <m/>
    <n v="482264"/>
    <x v="10"/>
    <m/>
    <m/>
    <m/>
    <m/>
    <m/>
    <m/>
    <m/>
    <m/>
    <m/>
    <m/>
    <n v="0"/>
    <n v="0"/>
    <n v="0"/>
    <n v="0"/>
    <m/>
    <m/>
    <n v="0"/>
    <n v="0"/>
    <m/>
    <m/>
    <m/>
    <m/>
    <m/>
    <m/>
    <n v="163738"/>
    <n v="186104"/>
    <n v="163738"/>
    <n v="181.93111111111111"/>
    <n v="186104"/>
    <n v="206.78222222222223"/>
    <m/>
    <m/>
    <n v="0"/>
    <n v="0"/>
  </r>
  <r>
    <x v="10"/>
    <s v="Tulsa Technology Center-Riverside Campus          "/>
    <m/>
    <n v="261384"/>
    <x v="10"/>
    <m/>
    <m/>
    <m/>
    <m/>
    <m/>
    <m/>
    <m/>
    <m/>
    <m/>
    <m/>
    <n v="0"/>
    <n v="0"/>
    <n v="0"/>
    <n v="0"/>
    <m/>
    <m/>
    <n v="0"/>
    <n v="0"/>
    <m/>
    <m/>
    <m/>
    <m/>
    <m/>
    <m/>
    <n v="392910"/>
    <n v="322709"/>
    <n v="392910"/>
    <n v="436.56666666666666"/>
    <n v="322709"/>
    <n v="358.56555555555553"/>
    <m/>
    <m/>
    <n v="0"/>
    <n v="0"/>
  </r>
  <r>
    <x v="10"/>
    <s v="Tulsa Technology Center-Sand Springs NEW"/>
    <m/>
    <n v="482273"/>
    <x v="10"/>
    <m/>
    <m/>
    <m/>
    <m/>
    <m/>
    <m/>
    <m/>
    <m/>
    <m/>
    <m/>
    <n v="0"/>
    <n v="0"/>
    <n v="0"/>
    <n v="0"/>
    <m/>
    <m/>
    <n v="0"/>
    <n v="0"/>
    <m/>
    <m/>
    <m/>
    <m/>
    <m/>
    <m/>
    <n v="101121"/>
    <n v="100815"/>
    <n v="101121"/>
    <n v="112.35666666666667"/>
    <n v="100815"/>
    <n v="112.01666666666667"/>
    <m/>
    <m/>
    <n v="0"/>
    <n v="0"/>
  </r>
  <r>
    <x v="10"/>
    <s v="Wes Watkins Technology Center                     "/>
    <m/>
    <n v="418357"/>
    <x v="10"/>
    <m/>
    <m/>
    <m/>
    <m/>
    <m/>
    <m/>
    <m/>
    <m/>
    <m/>
    <m/>
    <n v="0"/>
    <n v="0"/>
    <n v="0"/>
    <n v="0"/>
    <m/>
    <m/>
    <n v="0"/>
    <n v="0"/>
    <m/>
    <m/>
    <m/>
    <m/>
    <m/>
    <m/>
    <n v="135962.25"/>
    <n v="139335.5"/>
    <n v="135962.25"/>
    <n v="151.06916666666666"/>
    <n v="139335.5"/>
    <n v="154.81722222222223"/>
    <m/>
    <m/>
    <n v="0"/>
    <n v="0"/>
  </r>
  <r>
    <x v="10"/>
    <s v="Western Technology Center                         "/>
    <m/>
    <n v="418302"/>
    <x v="10"/>
    <m/>
    <m/>
    <m/>
    <m/>
    <m/>
    <m/>
    <m/>
    <m/>
    <m/>
    <m/>
    <n v="0"/>
    <n v="0"/>
    <n v="0"/>
    <n v="0"/>
    <m/>
    <m/>
    <n v="0"/>
    <n v="0"/>
    <m/>
    <m/>
    <m/>
    <m/>
    <m/>
    <m/>
    <n v="344205"/>
    <n v="348534.5"/>
    <n v="344205"/>
    <n v="382.45"/>
    <n v="348534.5"/>
    <n v="387.26055555555558"/>
    <m/>
    <m/>
    <n v="0"/>
    <n v="0"/>
  </r>
  <r>
    <x v="11"/>
    <s v="Clemson University"/>
    <m/>
    <n v="217882"/>
    <x v="0"/>
    <s v="sem"/>
    <m/>
    <m/>
    <m/>
    <n v="230725"/>
    <n v="239314"/>
    <n v="27386"/>
    <n v="30561"/>
    <n v="259711"/>
    <n v="270799"/>
    <n v="517822"/>
    <n v="17260.733333333334"/>
    <n v="540674"/>
    <n v="18022.466666666667"/>
    <n v="602"/>
    <n v="690"/>
    <n v="517822"/>
    <n v="540674"/>
    <m/>
    <m/>
    <m/>
    <m/>
    <m/>
    <m/>
    <m/>
    <m/>
    <n v="0"/>
    <n v="0"/>
    <n v="0"/>
    <n v="0"/>
    <m/>
    <m/>
    <n v="0"/>
    <n v="0"/>
  </r>
  <r>
    <x v="11"/>
    <s v="University of South Carolina-Columbia"/>
    <m/>
    <n v="218663"/>
    <x v="0"/>
    <s v="sem"/>
    <m/>
    <m/>
    <m/>
    <n v="332362"/>
    <n v="340004"/>
    <n v="33976"/>
    <n v="37254"/>
    <n v="365066"/>
    <n v="376645"/>
    <n v="731404"/>
    <n v="24380.133333333335"/>
    <n v="753903"/>
    <n v="25130.1"/>
    <n v="13"/>
    <m/>
    <n v="731404"/>
    <n v="0"/>
    <m/>
    <m/>
    <m/>
    <m/>
    <m/>
    <m/>
    <m/>
    <m/>
    <n v="0"/>
    <n v="0"/>
    <n v="0"/>
    <n v="0"/>
    <m/>
    <m/>
    <n v="0"/>
    <n v="0"/>
  </r>
  <r>
    <x v="11"/>
    <s v="College of Charleston"/>
    <m/>
    <n v="217819"/>
    <x v="2"/>
    <s v="sem"/>
    <m/>
    <m/>
    <m/>
    <n v="141147"/>
    <n v="141190"/>
    <n v="15459"/>
    <n v="15224"/>
    <n v="149077"/>
    <n v="148699"/>
    <n v="305683"/>
    <n v="10189.433333333332"/>
    <n v="305113"/>
    <n v="10170.433333333332"/>
    <n v="540"/>
    <n v="687"/>
    <n v="305683"/>
    <n v="305113"/>
    <m/>
    <m/>
    <m/>
    <m/>
    <m/>
    <m/>
    <m/>
    <m/>
    <n v="0"/>
    <n v="0"/>
    <n v="0"/>
    <n v="0"/>
    <m/>
    <m/>
    <n v="0"/>
    <n v="0"/>
  </r>
  <r>
    <x v="11"/>
    <s v="The Citadel, the Military College of South Carolina "/>
    <m/>
    <n v="217864"/>
    <x v="2"/>
    <s v="sem"/>
    <m/>
    <m/>
    <m/>
    <n v="43851"/>
    <n v="44310"/>
    <n v="6273"/>
    <n v="5527"/>
    <n v="46758"/>
    <n v="45731"/>
    <n v="96882"/>
    <n v="3229.4"/>
    <n v="95568"/>
    <n v="3185.6"/>
    <m/>
    <n v="207"/>
    <n v="0"/>
    <n v="95568"/>
    <m/>
    <m/>
    <m/>
    <m/>
    <m/>
    <m/>
    <m/>
    <m/>
    <n v="0"/>
    <n v="0"/>
    <n v="0"/>
    <n v="0"/>
    <m/>
    <m/>
    <n v="0"/>
    <n v="0"/>
  </r>
  <r>
    <x v="11"/>
    <s v="Winthrop University "/>
    <m/>
    <n v="218964"/>
    <x v="2"/>
    <s v="sem"/>
    <m/>
    <m/>
    <m/>
    <n v="65805.5"/>
    <n v="66279"/>
    <n v="5700"/>
    <n v="5191.5"/>
    <n v="70682.5"/>
    <n v="72321"/>
    <n v="142188"/>
    <n v="4739.6000000000004"/>
    <n v="143791.5"/>
    <n v="4793.05"/>
    <n v="1315"/>
    <n v="1260"/>
    <n v="142188"/>
    <n v="143791.5"/>
    <m/>
    <m/>
    <m/>
    <m/>
    <m/>
    <m/>
    <m/>
    <m/>
    <n v="0"/>
    <n v="0"/>
    <n v="0"/>
    <n v="0"/>
    <m/>
    <m/>
    <n v="0"/>
    <n v="0"/>
  </r>
  <r>
    <x v="11"/>
    <s v="Coastal Carolina University"/>
    <s v="Met the criteria for Four-Year 4 in 2013-14 and 2014-15."/>
    <n v="218724"/>
    <x v="4"/>
    <s v="sem"/>
    <m/>
    <m/>
    <m/>
    <n v="115341"/>
    <n v="121612"/>
    <n v="12250"/>
    <n v="13272"/>
    <n v="136581"/>
    <n v="141528"/>
    <n v="264172"/>
    <n v="8805.7333333333336"/>
    <n v="276412"/>
    <n v="9213.7333333333336"/>
    <m/>
    <m/>
    <n v="0"/>
    <n v="0"/>
    <m/>
    <m/>
    <m/>
    <m/>
    <m/>
    <m/>
    <m/>
    <m/>
    <n v="0"/>
    <n v="0"/>
    <n v="0"/>
    <n v="0"/>
    <m/>
    <m/>
    <n v="0"/>
    <n v="0"/>
  </r>
  <r>
    <x v="11"/>
    <s v="Francis Marion University "/>
    <m/>
    <n v="218061"/>
    <x v="4"/>
    <s v="sem"/>
    <m/>
    <m/>
    <m/>
    <n v="45527"/>
    <n v="44475"/>
    <n v="2938"/>
    <n v="2832"/>
    <n v="48881"/>
    <n v="48855"/>
    <n v="97346"/>
    <n v="3244.8666666666668"/>
    <n v="96162"/>
    <n v="3205.4"/>
    <n v="1305"/>
    <n v="1050"/>
    <n v="97346"/>
    <n v="96162"/>
    <m/>
    <m/>
    <m/>
    <m/>
    <m/>
    <m/>
    <m/>
    <m/>
    <n v="0"/>
    <n v="0"/>
    <n v="0"/>
    <n v="0"/>
    <m/>
    <m/>
    <n v="0"/>
    <n v="0"/>
  </r>
  <r>
    <x v="11"/>
    <s v="South Carolina State University "/>
    <m/>
    <n v="218733"/>
    <x v="4"/>
    <s v="sem"/>
    <m/>
    <m/>
    <m/>
    <n v="38486"/>
    <n v="36666"/>
    <n v="3210"/>
    <n v="2592"/>
    <n v="41045"/>
    <n v="36978"/>
    <n v="82741"/>
    <n v="2758.0333333333333"/>
    <n v="76236"/>
    <n v="2541.1999999999998"/>
    <m/>
    <n v="1929"/>
    <n v="0"/>
    <n v="76236"/>
    <m/>
    <m/>
    <m/>
    <m/>
    <m/>
    <m/>
    <m/>
    <m/>
    <n v="0"/>
    <n v="0"/>
    <n v="0"/>
    <n v="0"/>
    <m/>
    <m/>
    <n v="0"/>
    <n v="0"/>
  </r>
  <r>
    <x v="11"/>
    <s v="Lander University"/>
    <m/>
    <n v="218229"/>
    <x v="5"/>
    <s v="sem"/>
    <m/>
    <m/>
    <m/>
    <n v="36079"/>
    <n v="34809"/>
    <n v="3157.5"/>
    <n v="3332"/>
    <n v="38793.5"/>
    <n v="38071.5"/>
    <n v="78030"/>
    <n v="2601"/>
    <n v="76212.5"/>
    <n v="2540.4166666666665"/>
    <n v="145"/>
    <n v="173"/>
    <n v="78030"/>
    <n v="76212.5"/>
    <m/>
    <m/>
    <m/>
    <m/>
    <m/>
    <m/>
    <m/>
    <m/>
    <n v="0"/>
    <n v="0"/>
    <n v="0"/>
    <n v="0"/>
    <m/>
    <m/>
    <n v="0"/>
    <n v="0"/>
  </r>
  <r>
    <x v="11"/>
    <s v="University of South Carolina-Aiken"/>
    <m/>
    <n v="218645"/>
    <x v="5"/>
    <s v="sem"/>
    <m/>
    <m/>
    <m/>
    <n v="38369"/>
    <n v="38537"/>
    <n v="5644"/>
    <n v="5543"/>
    <n v="42738"/>
    <n v="44039"/>
    <n v="86751"/>
    <n v="2891.7"/>
    <n v="88119"/>
    <n v="2937.3"/>
    <n v="851"/>
    <m/>
    <n v="86751"/>
    <n v="0"/>
    <m/>
    <m/>
    <m/>
    <m/>
    <m/>
    <m/>
    <m/>
    <m/>
    <n v="0"/>
    <n v="0"/>
    <n v="0"/>
    <n v="0"/>
    <m/>
    <m/>
    <n v="0"/>
    <n v="0"/>
  </r>
  <r>
    <x v="11"/>
    <s v="University of South Carolina-Beaufort"/>
    <m/>
    <n v="218654"/>
    <x v="5"/>
    <s v="sem"/>
    <m/>
    <m/>
    <m/>
    <n v="20510"/>
    <n v="22425"/>
    <n v="1970"/>
    <n v="2413"/>
    <n v="24032"/>
    <n v="27210"/>
    <n v="46512"/>
    <n v="1550.4"/>
    <n v="52048"/>
    <n v="1734.9333333333334"/>
    <n v="22"/>
    <m/>
    <n v="46512"/>
    <n v="0"/>
    <m/>
    <m/>
    <m/>
    <m/>
    <m/>
    <m/>
    <m/>
    <m/>
    <n v="0"/>
    <n v="0"/>
    <n v="0"/>
    <n v="0"/>
    <m/>
    <m/>
    <n v="0"/>
    <n v="0"/>
  </r>
  <r>
    <x v="11"/>
    <s v="University of South Carolina-Upstate"/>
    <m/>
    <n v="218742"/>
    <x v="5"/>
    <s v="sem"/>
    <m/>
    <m/>
    <m/>
    <n v="66177"/>
    <n v="65967"/>
    <n v="9824"/>
    <n v="9713"/>
    <n v="71856"/>
    <n v="74337"/>
    <n v="147857"/>
    <n v="4928.5666666666666"/>
    <n v="150017"/>
    <n v="5000.5666666666666"/>
    <n v="1958"/>
    <m/>
    <n v="147857"/>
    <n v="0"/>
    <m/>
    <m/>
    <m/>
    <m/>
    <m/>
    <m/>
    <m/>
    <m/>
    <n v="0"/>
    <n v="0"/>
    <n v="0"/>
    <n v="0"/>
    <m/>
    <m/>
    <n v="0"/>
    <n v="0"/>
  </r>
  <r>
    <x v="11"/>
    <s v="Florence-Darlington Technical College "/>
    <m/>
    <n v="218025"/>
    <x v="7"/>
    <s v="sem"/>
    <m/>
    <m/>
    <m/>
    <n v="65084"/>
    <n v="58176.65"/>
    <n v="23630"/>
    <n v="21463.31"/>
    <n v="64630"/>
    <n v="64642.23"/>
    <n v="153344"/>
    <n v="5111.4666666666662"/>
    <n v="144282.19"/>
    <n v="4809.4063333333334"/>
    <m/>
    <n v="5648"/>
    <n v="0"/>
    <n v="144282.19"/>
    <m/>
    <m/>
    <m/>
    <m/>
    <m/>
    <m/>
    <m/>
    <m/>
    <n v="0"/>
    <n v="0"/>
    <n v="0"/>
    <n v="0"/>
    <m/>
    <m/>
    <n v="0"/>
    <n v="0"/>
  </r>
  <r>
    <x v="11"/>
    <s v="Greenville Technical College "/>
    <s v="Met the criteria for Two-Year 2 in 2015-16."/>
    <n v="218113"/>
    <x v="7"/>
    <s v="sem"/>
    <m/>
    <m/>
    <m/>
    <n v="119149"/>
    <n v="111501.59"/>
    <n v="44397"/>
    <n v="44371.669999999991"/>
    <n v="125597"/>
    <n v="121373.01999999999"/>
    <n v="289143"/>
    <n v="9638.1"/>
    <n v="277246.27999999997"/>
    <n v="9241.5426666666663"/>
    <n v="11069"/>
    <n v="10990"/>
    <n v="289143"/>
    <n v="277246.27999999997"/>
    <m/>
    <m/>
    <m/>
    <m/>
    <m/>
    <m/>
    <m/>
    <m/>
    <n v="0"/>
    <n v="0"/>
    <n v="0"/>
    <n v="0"/>
    <m/>
    <m/>
    <n v="0"/>
    <n v="0"/>
  </r>
  <r>
    <x v="11"/>
    <s v="Horry-Georgetown Technical College "/>
    <m/>
    <n v="218140"/>
    <x v="7"/>
    <s v="sem"/>
    <m/>
    <m/>
    <m/>
    <n v="72910"/>
    <n v="71191.489999999991"/>
    <n v="25040"/>
    <n v="24157.759999999998"/>
    <n v="72440"/>
    <n v="70838.500000000015"/>
    <n v="170390"/>
    <n v="5679.666666666667"/>
    <n v="166187.75"/>
    <n v="5539.5916666666662"/>
    <n v="8076"/>
    <n v="7748"/>
    <n v="170390"/>
    <n v="166187.75"/>
    <m/>
    <m/>
    <m/>
    <m/>
    <m/>
    <m/>
    <m/>
    <m/>
    <n v="0"/>
    <n v="0"/>
    <n v="0"/>
    <n v="0"/>
    <m/>
    <m/>
    <n v="0"/>
    <n v="0"/>
  </r>
  <r>
    <x v="11"/>
    <s v="Midlands Technical College "/>
    <m/>
    <n v="218353"/>
    <x v="7"/>
    <s v="sem"/>
    <m/>
    <m/>
    <m/>
    <n v="108123"/>
    <n v="104991.03999999999"/>
    <n v="47113"/>
    <n v="45845.77"/>
    <n v="124963"/>
    <n v="122986.37999999999"/>
    <n v="280199"/>
    <n v="9339.9666666666672"/>
    <n v="273823.19"/>
    <n v="9127.4396666666671"/>
    <n v="2088"/>
    <n v="2773"/>
    <n v="280199"/>
    <n v="273823.19"/>
    <m/>
    <m/>
    <m/>
    <m/>
    <m/>
    <m/>
    <m/>
    <m/>
    <n v="0"/>
    <n v="0"/>
    <n v="0"/>
    <n v="0"/>
    <m/>
    <m/>
    <n v="0"/>
    <n v="0"/>
  </r>
  <r>
    <x v="11"/>
    <s v="Piedmont Technical College "/>
    <m/>
    <n v="218520"/>
    <x v="7"/>
    <s v="sem"/>
    <m/>
    <m/>
    <m/>
    <n v="59183"/>
    <n v="53621.7"/>
    <n v="24912"/>
    <n v="21821.420000000002"/>
    <n v="59286"/>
    <n v="54750.71"/>
    <n v="143381"/>
    <n v="4779.3666666666668"/>
    <n v="130193.82999999999"/>
    <n v="4339.7943333333333"/>
    <n v="9809"/>
    <n v="10490"/>
    <n v="143381"/>
    <n v="130193.82999999999"/>
    <m/>
    <m/>
    <m/>
    <m/>
    <m/>
    <m/>
    <m/>
    <m/>
    <n v="0"/>
    <n v="0"/>
    <n v="0"/>
    <n v="0"/>
    <m/>
    <m/>
    <n v="0"/>
    <n v="0"/>
  </r>
  <r>
    <x v="11"/>
    <s v="Tri-County Technical College "/>
    <s v="Met the criteria for Two-Year 2 in 2014-15 and 2015-16."/>
    <n v="218885"/>
    <x v="7"/>
    <s v="sem"/>
    <m/>
    <m/>
    <m/>
    <n v="67323"/>
    <n v="65636.63"/>
    <n v="22403"/>
    <n v="20882.349999999999"/>
    <n v="73907"/>
    <n v="70375.72"/>
    <n v="163633"/>
    <n v="5454.4333333333334"/>
    <n v="156894.70000000001"/>
    <n v="5229.8233333333337"/>
    <n v="6991"/>
    <n v="7531"/>
    <n v="163633"/>
    <n v="156894.70000000001"/>
    <m/>
    <m/>
    <m/>
    <m/>
    <m/>
    <m/>
    <m/>
    <m/>
    <n v="0"/>
    <n v="0"/>
    <n v="0"/>
    <n v="0"/>
    <m/>
    <m/>
    <n v="0"/>
    <n v="0"/>
  </r>
  <r>
    <x v="11"/>
    <s v="Trident Technical College "/>
    <m/>
    <n v="218894"/>
    <x v="7"/>
    <s v="sem"/>
    <m/>
    <m/>
    <m/>
    <n v="157015"/>
    <n v="151197.64000000001"/>
    <n v="70830"/>
    <n v="59262.51"/>
    <n v="161267"/>
    <n v="149345.72999999998"/>
    <n v="389112"/>
    <n v="12970.4"/>
    <n v="359805.88"/>
    <n v="11993.529333333334"/>
    <n v="15313"/>
    <n v="17691"/>
    <n v="389112"/>
    <n v="359805.88"/>
    <m/>
    <m/>
    <m/>
    <m/>
    <m/>
    <m/>
    <m/>
    <m/>
    <n v="0"/>
    <n v="0"/>
    <n v="0"/>
    <n v="0"/>
    <m/>
    <m/>
    <n v="0"/>
    <n v="0"/>
  </r>
  <r>
    <x v="11"/>
    <s v="Aiken Technical College "/>
    <m/>
    <n v="217615"/>
    <x v="6"/>
    <s v="sem"/>
    <m/>
    <m/>
    <m/>
    <n v="23384"/>
    <n v="21150.17"/>
    <n v="9984"/>
    <n v="8302.92"/>
    <n v="23672"/>
    <n v="22527.38"/>
    <n v="57040"/>
    <n v="1901.3333333333333"/>
    <n v="51980.47"/>
    <n v="1732.6823333333334"/>
    <n v="575"/>
    <n v="569"/>
    <n v="57040"/>
    <n v="51980.47"/>
    <m/>
    <m/>
    <m/>
    <m/>
    <m/>
    <m/>
    <m/>
    <m/>
    <n v="0"/>
    <n v="0"/>
    <n v="0"/>
    <n v="0"/>
    <m/>
    <m/>
    <n v="0"/>
    <n v="0"/>
  </r>
  <r>
    <x v="11"/>
    <s v="Central Carolina Technical College "/>
    <s v="Met the criteria for Two-Year 3 in 2014-15 and 2015-16."/>
    <n v="218858"/>
    <x v="6"/>
    <s v="sem"/>
    <m/>
    <m/>
    <m/>
    <n v="34858"/>
    <n v="32469.7"/>
    <n v="14190"/>
    <n v="13541.67"/>
    <n v="34668"/>
    <n v="34476.5"/>
    <n v="83716"/>
    <n v="2790.5333333333333"/>
    <n v="80487.87"/>
    <n v="2682.9289999999996"/>
    <n v="5308"/>
    <n v="6579"/>
    <n v="83716"/>
    <n v="80487.87"/>
    <m/>
    <m/>
    <m/>
    <m/>
    <m/>
    <m/>
    <m/>
    <m/>
    <n v="0"/>
    <n v="0"/>
    <n v="0"/>
    <n v="0"/>
    <m/>
    <m/>
    <n v="0"/>
    <n v="0"/>
  </r>
  <r>
    <x v="11"/>
    <s v="Orangeburg-Calhoun Technical College "/>
    <m/>
    <n v="218487"/>
    <x v="6"/>
    <s v="sem"/>
    <m/>
    <m/>
    <m/>
    <n v="24679"/>
    <n v="26273.74"/>
    <n v="9643"/>
    <n v="9018.7999999999993"/>
    <n v="30177"/>
    <n v="27182.560000000001"/>
    <n v="64499"/>
    <n v="2149.9666666666667"/>
    <n v="62475.100000000006"/>
    <n v="2082.5033333333336"/>
    <n v="7318"/>
    <n v="7028"/>
    <n v="64499"/>
    <n v="62475.100000000006"/>
    <m/>
    <m/>
    <m/>
    <m/>
    <m/>
    <m/>
    <m/>
    <m/>
    <n v="0"/>
    <n v="0"/>
    <n v="0"/>
    <n v="0"/>
    <m/>
    <m/>
    <n v="0"/>
    <n v="0"/>
  </r>
  <r>
    <x v="11"/>
    <s v="Spartanburg Community College "/>
    <m/>
    <n v="218830"/>
    <x v="6"/>
    <s v="sem"/>
    <m/>
    <m/>
    <m/>
    <n v="51931"/>
    <n v="48152.26"/>
    <n v="16801"/>
    <n v="15856.65"/>
    <n v="55038"/>
    <n v="48809.810000000005"/>
    <n v="123770"/>
    <n v="4125.666666666667"/>
    <n v="112818.72"/>
    <n v="3760.6240000000003"/>
    <n v="6310"/>
    <n v="7202"/>
    <n v="123770"/>
    <n v="112818.72"/>
    <m/>
    <m/>
    <m/>
    <m/>
    <m/>
    <m/>
    <m/>
    <m/>
    <n v="0"/>
    <n v="0"/>
    <n v="0"/>
    <n v="0"/>
    <m/>
    <m/>
    <n v="0"/>
    <n v="0"/>
  </r>
  <r>
    <x v="11"/>
    <s v="York Technical College "/>
    <m/>
    <n v="218991"/>
    <x v="6"/>
    <s v="sem"/>
    <m/>
    <m/>
    <m/>
    <n v="51312"/>
    <n v="47903.6"/>
    <n v="19858"/>
    <n v="17984"/>
    <n v="54226"/>
    <n v="49795.06"/>
    <n v="125396"/>
    <n v="4179.8666666666668"/>
    <n v="115682.66"/>
    <n v="3856.088666666667"/>
    <n v="1980"/>
    <n v="2893"/>
    <n v="125396"/>
    <n v="115682.66"/>
    <m/>
    <m/>
    <m/>
    <m/>
    <m/>
    <m/>
    <m/>
    <m/>
    <n v="0"/>
    <n v="0"/>
    <n v="0"/>
    <n v="0"/>
    <m/>
    <m/>
    <n v="0"/>
    <n v="0"/>
  </r>
  <r>
    <x v="11"/>
    <s v="Denmark Technical College "/>
    <m/>
    <n v="217989"/>
    <x v="8"/>
    <s v="sem"/>
    <m/>
    <m/>
    <m/>
    <n v="20958"/>
    <n v="15952.09"/>
    <n v="12127"/>
    <n v="9961.75"/>
    <n v="21222"/>
    <n v="11733.73"/>
    <n v="54307"/>
    <n v="1810.2333333333333"/>
    <n v="37647.57"/>
    <n v="1254.9190000000001"/>
    <m/>
    <n v="319"/>
    <n v="0"/>
    <n v="37647.57"/>
    <m/>
    <m/>
    <m/>
    <m/>
    <m/>
    <m/>
    <m/>
    <m/>
    <n v="0"/>
    <n v="0"/>
    <n v="0"/>
    <n v="0"/>
    <m/>
    <m/>
    <n v="0"/>
    <n v="0"/>
  </r>
  <r>
    <x v="11"/>
    <s v="Northeastern Technical College "/>
    <m/>
    <n v="217837"/>
    <x v="8"/>
    <s v="sem"/>
    <m/>
    <m/>
    <m/>
    <n v="12003"/>
    <n v="10611.990000000002"/>
    <n v="5222"/>
    <n v="5521.44"/>
    <n v="12928"/>
    <n v="13203.259999999998"/>
    <n v="30153"/>
    <n v="1005.1"/>
    <n v="29336.69"/>
    <n v="977.88966666666659"/>
    <n v="1060"/>
    <n v="1466"/>
    <n v="30153"/>
    <n v="29336.69"/>
    <m/>
    <m/>
    <m/>
    <m/>
    <m/>
    <m/>
    <m/>
    <m/>
    <n v="0"/>
    <n v="0"/>
    <n v="0"/>
    <n v="0"/>
    <m/>
    <m/>
    <n v="0"/>
    <n v="0"/>
  </r>
  <r>
    <x v="11"/>
    <s v="Technical College of the Lowcountry"/>
    <m/>
    <n v="217712"/>
    <x v="8"/>
    <s v="sem"/>
    <m/>
    <m/>
    <m/>
    <n v="20816"/>
    <n v="21166.22"/>
    <n v="9361"/>
    <n v="9369.8799999999992"/>
    <n v="24043"/>
    <n v="21721.149999999998"/>
    <n v="54220"/>
    <n v="1807.3333333333333"/>
    <n v="52257.25"/>
    <n v="1741.9083333333333"/>
    <n v="3415"/>
    <n v="4658"/>
    <n v="54220"/>
    <n v="52257.25"/>
    <m/>
    <m/>
    <m/>
    <m/>
    <m/>
    <m/>
    <m/>
    <m/>
    <n v="0"/>
    <n v="0"/>
    <n v="0"/>
    <n v="0"/>
    <m/>
    <m/>
    <n v="0"/>
    <n v="0"/>
  </r>
  <r>
    <x v="11"/>
    <s v="University of South Carolina-Lancaster"/>
    <m/>
    <n v="218672"/>
    <x v="8"/>
    <s v="sem"/>
    <m/>
    <m/>
    <m/>
    <n v="15355"/>
    <n v="13966"/>
    <n v="1350"/>
    <n v="1638"/>
    <n v="17430"/>
    <n v="17510"/>
    <n v="34135"/>
    <n v="1137.8333333333333"/>
    <n v="33114"/>
    <n v="1103.8"/>
    <n v="3999"/>
    <m/>
    <n v="34135"/>
    <n v="0"/>
    <m/>
    <m/>
    <m/>
    <m/>
    <m/>
    <m/>
    <m/>
    <m/>
    <n v="0"/>
    <n v="0"/>
    <n v="0"/>
    <n v="0"/>
    <m/>
    <m/>
    <n v="0"/>
    <n v="0"/>
  </r>
  <r>
    <x v="11"/>
    <s v="University of South Carolina-Salkehatchie"/>
    <m/>
    <n v="218681"/>
    <x v="8"/>
    <s v="sem"/>
    <m/>
    <m/>
    <m/>
    <n v="10712"/>
    <n v="9445"/>
    <n v="389"/>
    <n v="380"/>
    <n v="11304"/>
    <n v="11179"/>
    <n v="22405"/>
    <n v="746.83333333333337"/>
    <n v="21004"/>
    <n v="700.13333333333333"/>
    <n v="1770"/>
    <m/>
    <n v="22405"/>
    <n v="0"/>
    <m/>
    <m/>
    <m/>
    <m/>
    <m/>
    <m/>
    <m/>
    <m/>
    <n v="0"/>
    <n v="0"/>
    <n v="0"/>
    <n v="0"/>
    <m/>
    <m/>
    <n v="0"/>
    <n v="0"/>
  </r>
  <r>
    <x v="11"/>
    <s v="University of South Carolina-Sumter"/>
    <m/>
    <n v="218690"/>
    <x v="8"/>
    <s v="sem"/>
    <m/>
    <m/>
    <m/>
    <n v="8986"/>
    <n v="9054"/>
    <n v="1029"/>
    <n v="1218"/>
    <n v="10284"/>
    <n v="9825"/>
    <n v="20299"/>
    <n v="676.63333333333333"/>
    <n v="20097"/>
    <n v="669.9"/>
    <n v="861"/>
    <m/>
    <n v="20299"/>
    <n v="0"/>
    <m/>
    <m/>
    <m/>
    <m/>
    <m/>
    <m/>
    <m/>
    <m/>
    <n v="0"/>
    <n v="0"/>
    <n v="0"/>
    <n v="0"/>
    <m/>
    <m/>
    <n v="0"/>
    <n v="0"/>
  </r>
  <r>
    <x v="11"/>
    <s v="University of South Carolina-Union"/>
    <m/>
    <n v="218706"/>
    <x v="8"/>
    <s v="sem"/>
    <m/>
    <m/>
    <m/>
    <n v="5648"/>
    <n v="5366"/>
    <n v="218"/>
    <n v="153"/>
    <n v="6200"/>
    <n v="5003"/>
    <n v="12066"/>
    <n v="402.2"/>
    <n v="10522"/>
    <n v="350.73333333333335"/>
    <n v="2397"/>
    <m/>
    <n v="12066"/>
    <n v="0"/>
    <m/>
    <m/>
    <m/>
    <m/>
    <m/>
    <m/>
    <m/>
    <m/>
    <n v="0"/>
    <n v="0"/>
    <n v="0"/>
    <n v="0"/>
    <m/>
    <m/>
    <n v="0"/>
    <n v="0"/>
  </r>
  <r>
    <x v="11"/>
    <s v="Willamsburg Technical College "/>
    <m/>
    <n v="218955"/>
    <x v="8"/>
    <s v="sem"/>
    <m/>
    <m/>
    <m/>
    <n v="6376"/>
    <n v="5733.1399999999994"/>
    <n v="2281"/>
    <n v="2722.52"/>
    <n v="6333"/>
    <n v="6093.0199999999995"/>
    <n v="14990"/>
    <n v="499.66666666666669"/>
    <n v="14548.68"/>
    <n v="484.95600000000002"/>
    <n v="474"/>
    <m/>
    <n v="14990"/>
    <n v="0"/>
    <m/>
    <m/>
    <m/>
    <m/>
    <m/>
    <m/>
    <m/>
    <m/>
    <n v="0"/>
    <n v="0"/>
    <n v="0"/>
    <n v="0"/>
    <m/>
    <m/>
    <n v="0"/>
    <n v="0"/>
  </r>
  <r>
    <x v="12"/>
    <s v="University of Memphis"/>
    <m/>
    <n v="220862"/>
    <x v="0"/>
    <s v="sem"/>
    <s v="sem"/>
    <m/>
    <m/>
    <n v="191419"/>
    <n v="192627"/>
    <n v="23420"/>
    <n v="24783"/>
    <n v="209005"/>
    <n v="203102"/>
    <n v="423844"/>
    <n v="14128.133333333333"/>
    <n v="420512"/>
    <n v="14017.066666666668"/>
    <m/>
    <n v="7128"/>
    <n v="0"/>
    <n v="420512"/>
    <m/>
    <m/>
    <m/>
    <m/>
    <m/>
    <m/>
    <m/>
    <m/>
    <n v="0"/>
    <n v="0"/>
    <n v="0"/>
    <n v="0"/>
    <m/>
    <m/>
    <n v="0"/>
    <n v="0"/>
  </r>
  <r>
    <x v="12"/>
    <s v="University of Tennessee, Knoxville"/>
    <m/>
    <n v="221759"/>
    <x v="0"/>
    <s v="sem"/>
    <s v="sem"/>
    <m/>
    <m/>
    <n v="268392"/>
    <n v="273543"/>
    <n v="31634"/>
    <n v="32679"/>
    <n v="292368"/>
    <n v="298997"/>
    <n v="592394"/>
    <n v="19746.466666666667"/>
    <n v="605219"/>
    <n v="20173.966666666667"/>
    <m/>
    <n v="108"/>
    <n v="0"/>
    <n v="605219"/>
    <m/>
    <m/>
    <m/>
    <m/>
    <m/>
    <m/>
    <m/>
    <m/>
    <n v="0"/>
    <n v="0"/>
    <n v="0"/>
    <n v="0"/>
    <m/>
    <m/>
    <n v="0"/>
    <n v="0"/>
  </r>
  <r>
    <x v="12"/>
    <s v="Tennessee State University "/>
    <m/>
    <n v="221838"/>
    <x v="1"/>
    <s v="sem"/>
    <s v="sem"/>
    <m/>
    <m/>
    <n v="81240"/>
    <n v="84198"/>
    <n v="12465"/>
    <n v="13081"/>
    <n v="92622"/>
    <n v="96959"/>
    <n v="186327"/>
    <n v="6210.9"/>
    <n v="194238"/>
    <n v="6474.6"/>
    <m/>
    <m/>
    <n v="0"/>
    <n v="0"/>
    <m/>
    <m/>
    <m/>
    <m/>
    <m/>
    <m/>
    <m/>
    <m/>
    <n v="0"/>
    <n v="0"/>
    <n v="0"/>
    <n v="0"/>
    <m/>
    <m/>
    <n v="0"/>
    <n v="0"/>
  </r>
  <r>
    <x v="12"/>
    <s v="Austin Peay State University "/>
    <m/>
    <n v="219602"/>
    <x v="2"/>
    <s v="sem"/>
    <s v="sem"/>
    <m/>
    <m/>
    <n v="109556"/>
    <n v="101310"/>
    <n v="13887"/>
    <n v="19062"/>
    <n v="115327"/>
    <n v="114466"/>
    <n v="238770"/>
    <n v="7959"/>
    <n v="234838"/>
    <n v="7827.9333333333334"/>
    <n v="2141"/>
    <n v="2464"/>
    <n v="238770"/>
    <n v="234838"/>
    <m/>
    <m/>
    <m/>
    <m/>
    <m/>
    <m/>
    <m/>
    <m/>
    <n v="0"/>
    <n v="0"/>
    <n v="0"/>
    <n v="0"/>
    <m/>
    <m/>
    <n v="0"/>
    <n v="0"/>
  </r>
  <r>
    <x v="12"/>
    <s v="East Tennessee State University "/>
    <s v="Reclassified: Met the criteria for Four-Year 2 in 2013-14, 2014-15, and 2015-16."/>
    <n v="220075"/>
    <x v="1"/>
    <s v="sem"/>
    <s v="sem"/>
    <m/>
    <m/>
    <n v="141466"/>
    <n v="139935"/>
    <n v="21176"/>
    <n v="21399"/>
    <n v="151600"/>
    <n v="151606"/>
    <n v="314242"/>
    <n v="10474.733333333334"/>
    <n v="312940"/>
    <n v="10431.333333333334"/>
    <n v="1950"/>
    <n v="1999"/>
    <n v="314242"/>
    <n v="312940"/>
    <m/>
    <m/>
    <m/>
    <m/>
    <m/>
    <m/>
    <m/>
    <m/>
    <n v="0"/>
    <n v="0"/>
    <n v="0"/>
    <n v="0"/>
    <m/>
    <m/>
    <n v="0"/>
    <n v="0"/>
  </r>
  <r>
    <x v="12"/>
    <s v="Middle Tennessee State University "/>
    <s v="Met the criteria for Four-Year 2 in 2015-16."/>
    <n v="220978"/>
    <x v="2"/>
    <s v="sem"/>
    <s v="sem"/>
    <m/>
    <m/>
    <n v="241239"/>
    <n v="238846"/>
    <n v="40504"/>
    <n v="38654"/>
    <n v="260590"/>
    <n v="255381"/>
    <n v="542333"/>
    <n v="18077.766666666666"/>
    <n v="532881"/>
    <n v="17762.7"/>
    <n v="1295"/>
    <n v="2604"/>
    <n v="542333"/>
    <n v="532881"/>
    <m/>
    <m/>
    <m/>
    <m/>
    <m/>
    <m/>
    <m/>
    <m/>
    <n v="0"/>
    <n v="0"/>
    <n v="0"/>
    <n v="0"/>
    <m/>
    <m/>
    <n v="0"/>
    <n v="0"/>
  </r>
  <r>
    <x v="12"/>
    <s v="Tennessee Technological University "/>
    <m/>
    <n v="221847"/>
    <x v="2"/>
    <s v="sem"/>
    <s v="sem"/>
    <m/>
    <m/>
    <n v="127995"/>
    <n v="128227"/>
    <n v="14996"/>
    <n v="15869"/>
    <n v="141017"/>
    <n v="134398"/>
    <n v="284008"/>
    <n v="9466.9333333333325"/>
    <n v="278494"/>
    <n v="9283.1333333333332"/>
    <n v="364"/>
    <n v="540"/>
    <n v="284008"/>
    <n v="278494"/>
    <m/>
    <m/>
    <m/>
    <m/>
    <m/>
    <m/>
    <m/>
    <m/>
    <n v="0"/>
    <n v="0"/>
    <n v="0"/>
    <n v="0"/>
    <m/>
    <m/>
    <n v="0"/>
    <n v="0"/>
  </r>
  <r>
    <x v="12"/>
    <s v="University of Tennessee at Chattanooga"/>
    <m/>
    <n v="221740"/>
    <x v="2"/>
    <s v="sem"/>
    <s v="sem"/>
    <m/>
    <m/>
    <n v="124060"/>
    <n v="122831"/>
    <n v="18420"/>
    <n v="17827"/>
    <n v="136903"/>
    <n v="134957"/>
    <n v="279383"/>
    <n v="9312.7666666666664"/>
    <n v="275615"/>
    <n v="9187.1666666666661"/>
    <n v="120"/>
    <n v="128"/>
    <n v="279383"/>
    <n v="275615"/>
    <m/>
    <m/>
    <m/>
    <m/>
    <m/>
    <m/>
    <m/>
    <m/>
    <n v="0"/>
    <n v="0"/>
    <n v="0"/>
    <n v="0"/>
    <m/>
    <m/>
    <n v="0"/>
    <n v="0"/>
  </r>
  <r>
    <x v="12"/>
    <s v="University of Tennessee at Martin"/>
    <m/>
    <n v="221768"/>
    <x v="4"/>
    <s v="sem"/>
    <s v="sem"/>
    <m/>
    <m/>
    <n v="86480"/>
    <n v="83116"/>
    <n v="12133"/>
    <n v="10779"/>
    <n v="91424"/>
    <n v="86953"/>
    <n v="190037"/>
    <n v="6334.5666666666666"/>
    <n v="180848"/>
    <n v="6028.2666666666664"/>
    <n v="2316"/>
    <n v="2288"/>
    <n v="190037"/>
    <n v="180848"/>
    <m/>
    <m/>
    <m/>
    <m/>
    <m/>
    <m/>
    <m/>
    <m/>
    <n v="0"/>
    <n v="0"/>
    <n v="0"/>
    <n v="0"/>
    <m/>
    <m/>
    <n v="0"/>
    <n v="0"/>
  </r>
  <r>
    <x v="12"/>
    <s v="Chattanooga State Technical Community College "/>
    <m/>
    <n v="219824"/>
    <x v="7"/>
    <s v="sem"/>
    <s v="sem"/>
    <m/>
    <m/>
    <n v="83019"/>
    <n v="79447"/>
    <n v="14298"/>
    <n v="15908"/>
    <n v="88509"/>
    <n v="92845"/>
    <n v="185826"/>
    <n v="6194.2"/>
    <n v="188200"/>
    <n v="6273.333333333333"/>
    <n v="13787"/>
    <n v="13905"/>
    <n v="185826"/>
    <n v="188200"/>
    <m/>
    <m/>
    <m/>
    <m/>
    <m/>
    <m/>
    <m/>
    <m/>
    <n v="0"/>
    <n v="0"/>
    <n v="0"/>
    <n v="0"/>
    <m/>
    <m/>
    <n v="0"/>
    <n v="0"/>
  </r>
  <r>
    <x v="12"/>
    <s v="Nashville State Technical Community College"/>
    <m/>
    <n v="221184"/>
    <x v="7"/>
    <s v="sem"/>
    <s v="sem"/>
    <m/>
    <m/>
    <n v="84021"/>
    <n v="86836"/>
    <n v="19352"/>
    <n v="18103"/>
    <n v="87106"/>
    <n v="94077"/>
    <n v="190479"/>
    <n v="6349.3"/>
    <n v="199016"/>
    <n v="6633.8666666666668"/>
    <n v="8193"/>
    <n v="9553"/>
    <n v="190479"/>
    <n v="199016"/>
    <m/>
    <m/>
    <m/>
    <m/>
    <m/>
    <m/>
    <m/>
    <m/>
    <n v="0"/>
    <n v="0"/>
    <n v="0"/>
    <n v="0"/>
    <m/>
    <m/>
    <n v="0"/>
    <n v="0"/>
  </r>
  <r>
    <x v="12"/>
    <s v="Pellissippi State Technical Community College"/>
    <m/>
    <n v="221643"/>
    <x v="7"/>
    <s v="sem"/>
    <s v="sem"/>
    <m/>
    <m/>
    <n v="92968"/>
    <n v="89377"/>
    <n v="19300"/>
    <n v="18073"/>
    <n v="99656"/>
    <n v="101324"/>
    <n v="211924"/>
    <n v="7064.1333333333332"/>
    <n v="208774"/>
    <n v="6959.1333333333332"/>
    <n v="9087"/>
    <n v="9438"/>
    <n v="211924"/>
    <n v="208774"/>
    <m/>
    <m/>
    <m/>
    <m/>
    <m/>
    <m/>
    <m/>
    <m/>
    <n v="0"/>
    <n v="0"/>
    <n v="0"/>
    <n v="0"/>
    <m/>
    <m/>
    <n v="0"/>
    <n v="0"/>
  </r>
  <r>
    <x v="12"/>
    <s v="Southwest Tennessee Community College"/>
    <m/>
    <n v="221485"/>
    <x v="7"/>
    <s v="sem"/>
    <s v="sem"/>
    <m/>
    <m/>
    <n v="88247"/>
    <n v="83787"/>
    <n v="23886"/>
    <n v="20364"/>
    <n v="95321"/>
    <n v="92531"/>
    <n v="207454"/>
    <n v="6915.1333333333332"/>
    <n v="196682"/>
    <n v="6556.0666666666666"/>
    <n v="2599"/>
    <n v="3609"/>
    <n v="207454"/>
    <n v="196682"/>
    <m/>
    <m/>
    <m/>
    <m/>
    <m/>
    <m/>
    <m/>
    <m/>
    <n v="0"/>
    <n v="0"/>
    <n v="0"/>
    <n v="0"/>
    <m/>
    <m/>
    <n v="0"/>
    <n v="0"/>
  </r>
  <r>
    <x v="12"/>
    <s v="Volunteer State Community College "/>
    <m/>
    <n v="222053"/>
    <x v="7"/>
    <s v="sem"/>
    <s v="sem"/>
    <m/>
    <m/>
    <n v="65794"/>
    <n v="63344"/>
    <n v="15850"/>
    <n v="13654"/>
    <n v="71204"/>
    <n v="81089"/>
    <n v="152848"/>
    <n v="5094.9333333333334"/>
    <n v="158087"/>
    <n v="5269.5666666666666"/>
    <n v="13620"/>
    <n v="13767"/>
    <n v="152848"/>
    <n v="158087"/>
    <m/>
    <m/>
    <m/>
    <m/>
    <m/>
    <m/>
    <m/>
    <m/>
    <n v="0"/>
    <n v="0"/>
    <n v="0"/>
    <n v="0"/>
    <m/>
    <m/>
    <n v="0"/>
    <n v="0"/>
  </r>
  <r>
    <x v="12"/>
    <s v="Cleveland State Community College "/>
    <m/>
    <n v="219879"/>
    <x v="6"/>
    <s v="sem"/>
    <s v="sem"/>
    <m/>
    <m/>
    <n v="31147"/>
    <n v="29911"/>
    <n v="4346"/>
    <n v="4294"/>
    <n v="34733"/>
    <n v="36188"/>
    <n v="70226"/>
    <n v="2340.8666666666668"/>
    <n v="70393"/>
    <n v="2346.4333333333334"/>
    <n v="5795"/>
    <n v="7066"/>
    <n v="70226"/>
    <n v="70393"/>
    <m/>
    <m/>
    <m/>
    <m/>
    <m/>
    <m/>
    <m/>
    <m/>
    <n v="0"/>
    <n v="0"/>
    <n v="0"/>
    <n v="0"/>
    <m/>
    <m/>
    <n v="0"/>
    <n v="0"/>
  </r>
  <r>
    <x v="12"/>
    <s v="Columbia State Community College "/>
    <m/>
    <n v="219888"/>
    <x v="6"/>
    <s v="sem"/>
    <s v="sem"/>
    <m/>
    <m/>
    <n v="44774"/>
    <n v="43166"/>
    <n v="9362"/>
    <n v="7964"/>
    <n v="48949"/>
    <n v="54512"/>
    <n v="103085"/>
    <n v="3436.1666666666665"/>
    <n v="105642"/>
    <n v="3521.4"/>
    <n v="6710"/>
    <n v="6980"/>
    <n v="103085"/>
    <n v="105642"/>
    <m/>
    <m/>
    <m/>
    <m/>
    <m/>
    <m/>
    <m/>
    <m/>
    <n v="0"/>
    <n v="0"/>
    <n v="0"/>
    <n v="0"/>
    <m/>
    <m/>
    <n v="0"/>
    <n v="0"/>
  </r>
  <r>
    <x v="12"/>
    <s v="Dyersburg State Community College "/>
    <s v="Met the criteria for Two-Year 3 in 2014-15 and 2015-16."/>
    <n v="220057"/>
    <x v="6"/>
    <s v="sem"/>
    <s v="sem"/>
    <m/>
    <m/>
    <n v="24505"/>
    <n v="21837"/>
    <n v="2950"/>
    <n v="2539"/>
    <n v="25169"/>
    <n v="25353"/>
    <n v="52624"/>
    <n v="1754.1333333333334"/>
    <n v="49729"/>
    <n v="1657.6333333333334"/>
    <n v="7310"/>
    <n v="7262"/>
    <n v="52624"/>
    <n v="49729"/>
    <m/>
    <m/>
    <m/>
    <m/>
    <m/>
    <m/>
    <m/>
    <m/>
    <n v="0"/>
    <n v="0"/>
    <n v="0"/>
    <n v="0"/>
    <m/>
    <m/>
    <n v="0"/>
    <n v="0"/>
  </r>
  <r>
    <x v="12"/>
    <s v="Jackson State Community College "/>
    <m/>
    <n v="220400"/>
    <x v="6"/>
    <s v="sem"/>
    <s v="sem"/>
    <m/>
    <m/>
    <n v="36310"/>
    <n v="37729"/>
    <n v="6771"/>
    <n v="6240"/>
    <n v="42382"/>
    <n v="43604"/>
    <n v="85463"/>
    <n v="2848.7666666666669"/>
    <n v="87573"/>
    <n v="2919.1"/>
    <n v="11036"/>
    <n v="13486"/>
    <n v="85463"/>
    <n v="87573"/>
    <m/>
    <m/>
    <m/>
    <m/>
    <m/>
    <m/>
    <m/>
    <m/>
    <n v="0"/>
    <n v="0"/>
    <n v="0"/>
    <n v="0"/>
    <m/>
    <m/>
    <n v="0"/>
    <n v="0"/>
  </r>
  <r>
    <x v="12"/>
    <s v="Motlow State Community College "/>
    <m/>
    <n v="221096"/>
    <x v="6"/>
    <s v="sem"/>
    <s v="sem"/>
    <m/>
    <m/>
    <n v="38941"/>
    <n v="39996"/>
    <n v="7643"/>
    <n v="7103"/>
    <n v="44764"/>
    <n v="54809"/>
    <n v="91348"/>
    <n v="3044.9333333333334"/>
    <n v="101908"/>
    <n v="3396.9333333333334"/>
    <n v="7905"/>
    <n v="6777"/>
    <n v="91348"/>
    <n v="101908"/>
    <m/>
    <m/>
    <m/>
    <m/>
    <m/>
    <m/>
    <m/>
    <m/>
    <n v="0"/>
    <n v="0"/>
    <n v="0"/>
    <n v="0"/>
    <m/>
    <m/>
    <n v="0"/>
    <n v="0"/>
  </r>
  <r>
    <x v="12"/>
    <s v="Northeast State Technical Community College"/>
    <m/>
    <n v="221908"/>
    <x v="6"/>
    <s v="sem"/>
    <s v="sem"/>
    <m/>
    <m/>
    <n v="51856"/>
    <n v="51666"/>
    <n v="8047"/>
    <n v="7290"/>
    <n v="58320"/>
    <n v="63229"/>
    <n v="118223"/>
    <n v="3940.7666666666669"/>
    <n v="122185"/>
    <n v="4072.8333333333335"/>
    <n v="7213"/>
    <n v="7262"/>
    <n v="118223"/>
    <n v="122185"/>
    <m/>
    <m/>
    <m/>
    <m/>
    <m/>
    <m/>
    <m/>
    <m/>
    <n v="0"/>
    <n v="0"/>
    <n v="0"/>
    <n v="0"/>
    <m/>
    <m/>
    <n v="0"/>
    <n v="0"/>
  </r>
  <r>
    <x v="12"/>
    <s v="Roane State Community College "/>
    <m/>
    <n v="221397"/>
    <x v="6"/>
    <s v="sem"/>
    <s v="sem"/>
    <m/>
    <m/>
    <n v="52645"/>
    <n v="50149"/>
    <n v="7552"/>
    <n v="6787"/>
    <n v="56648"/>
    <n v="58360"/>
    <n v="116845"/>
    <n v="3894.8333333333335"/>
    <n v="115296"/>
    <n v="3843.2"/>
    <n v="10042"/>
    <n v="11131"/>
    <n v="116845"/>
    <n v="115296"/>
    <m/>
    <m/>
    <m/>
    <m/>
    <m/>
    <m/>
    <m/>
    <m/>
    <n v="0"/>
    <n v="0"/>
    <n v="0"/>
    <n v="0"/>
    <m/>
    <m/>
    <n v="0"/>
    <n v="0"/>
  </r>
  <r>
    <x v="12"/>
    <s v="Walters State Community College "/>
    <m/>
    <n v="222062"/>
    <x v="6"/>
    <s v="sem"/>
    <s v="sem"/>
    <m/>
    <m/>
    <n v="53724"/>
    <n v="51572"/>
    <n v="6051"/>
    <n v="6286"/>
    <n v="60115"/>
    <n v="61114"/>
    <n v="119890"/>
    <n v="3996.3333333333335"/>
    <n v="118972"/>
    <n v="3965.7333333333331"/>
    <n v="11453"/>
    <n v="11616"/>
    <n v="119890"/>
    <n v="118972"/>
    <m/>
    <m/>
    <m/>
    <m/>
    <m/>
    <m/>
    <m/>
    <m/>
    <n v="0"/>
    <n v="0"/>
    <n v="0"/>
    <n v="0"/>
    <m/>
    <m/>
    <n v="0"/>
    <n v="0"/>
  </r>
  <r>
    <x v="12"/>
    <s v="Tennessee College of Applied Technology at Chattanooga"/>
    <m/>
    <s v="219824B"/>
    <x v="9"/>
    <s v="sem"/>
    <s v="sem"/>
    <m/>
    <m/>
    <m/>
    <m/>
    <m/>
    <m/>
    <m/>
    <m/>
    <n v="0"/>
    <n v="0"/>
    <n v="0"/>
    <n v="0"/>
    <m/>
    <m/>
    <n v="0"/>
    <n v="0"/>
    <m/>
    <m/>
    <n v="348514"/>
    <n v="319892"/>
    <n v="230817"/>
    <n v="210880"/>
    <n v="339531"/>
    <n v="372862"/>
    <n v="918862"/>
    <n v="1020.9577777777778"/>
    <n v="903634"/>
    <n v="1004.0377777777778"/>
    <m/>
    <m/>
    <n v="0"/>
    <n v="0"/>
  </r>
  <r>
    <x v="12"/>
    <s v="Tennessee College of Applied Technology at Athens"/>
    <m/>
    <n v="219596"/>
    <x v="10"/>
    <s v="sem"/>
    <s v="sem"/>
    <m/>
    <m/>
    <m/>
    <m/>
    <m/>
    <m/>
    <m/>
    <m/>
    <n v="0"/>
    <n v="0"/>
    <n v="0"/>
    <n v="0"/>
    <m/>
    <m/>
    <n v="0"/>
    <n v="0"/>
    <m/>
    <m/>
    <n v="76579"/>
    <n v="78992"/>
    <n v="70468"/>
    <n v="71840"/>
    <n v="88839"/>
    <n v="95749"/>
    <n v="235886"/>
    <n v="262.09555555555556"/>
    <n v="246581"/>
    <n v="273.97888888888889"/>
    <m/>
    <m/>
    <n v="0"/>
    <n v="0"/>
  </r>
  <r>
    <x v="12"/>
    <s v="Tennessee College of Applied Technology at Covington"/>
    <m/>
    <n v="219921"/>
    <x v="10"/>
    <s v="sem"/>
    <s v="sem"/>
    <m/>
    <m/>
    <m/>
    <m/>
    <m/>
    <m/>
    <m/>
    <m/>
    <n v="0"/>
    <n v="0"/>
    <n v="0"/>
    <n v="0"/>
    <m/>
    <m/>
    <n v="0"/>
    <n v="0"/>
    <m/>
    <m/>
    <n v="56756"/>
    <n v="60186"/>
    <n v="50268"/>
    <n v="56544"/>
    <n v="64259"/>
    <n v="70259"/>
    <n v="171283"/>
    <n v="190.31444444444443"/>
    <n v="186989"/>
    <n v="207.76555555555555"/>
    <m/>
    <m/>
    <n v="0"/>
    <n v="0"/>
  </r>
  <r>
    <x v="12"/>
    <s v="Tennessee College of Applied Technology at Crossville"/>
    <m/>
    <n v="221591"/>
    <x v="10"/>
    <s v="sem"/>
    <s v="sem"/>
    <m/>
    <m/>
    <m/>
    <m/>
    <m/>
    <m/>
    <m/>
    <m/>
    <n v="0"/>
    <n v="0"/>
    <n v="0"/>
    <n v="0"/>
    <m/>
    <m/>
    <n v="0"/>
    <n v="0"/>
    <m/>
    <m/>
    <n v="106511"/>
    <n v="109441"/>
    <n v="103121"/>
    <n v="98774"/>
    <n v="106442"/>
    <n v="129933"/>
    <n v="316074"/>
    <n v="351.19333333333333"/>
    <n v="338148"/>
    <n v="375.72"/>
    <m/>
    <m/>
    <n v="0"/>
    <n v="0"/>
  </r>
  <r>
    <x v="12"/>
    <s v="Tennessee College of Applied Technology at Crump"/>
    <m/>
    <n v="221430"/>
    <x v="10"/>
    <s v="sem"/>
    <s v="sem"/>
    <m/>
    <m/>
    <m/>
    <m/>
    <m/>
    <m/>
    <m/>
    <m/>
    <n v="0"/>
    <n v="0"/>
    <n v="0"/>
    <n v="0"/>
    <m/>
    <m/>
    <n v="0"/>
    <n v="0"/>
    <m/>
    <m/>
    <n v="69532"/>
    <n v="70765"/>
    <n v="61114"/>
    <n v="51983"/>
    <n v="78187"/>
    <n v="78836"/>
    <n v="208833"/>
    <n v="232.03666666666666"/>
    <n v="201584"/>
    <n v="223.98222222222222"/>
    <m/>
    <m/>
    <n v="0"/>
    <n v="0"/>
  </r>
  <r>
    <x v="12"/>
    <s v="Tennessee College of Applied Technology at Dickson"/>
    <m/>
    <n v="219994"/>
    <x v="10"/>
    <s v="sem"/>
    <s v="sem"/>
    <m/>
    <m/>
    <m/>
    <m/>
    <m/>
    <m/>
    <m/>
    <m/>
    <n v="0"/>
    <n v="0"/>
    <n v="0"/>
    <n v="0"/>
    <m/>
    <m/>
    <n v="0"/>
    <n v="0"/>
    <m/>
    <m/>
    <n v="168449"/>
    <n v="151165"/>
    <n v="156865"/>
    <n v="148972"/>
    <n v="162378"/>
    <n v="188440"/>
    <n v="487692"/>
    <n v="541.88"/>
    <n v="488577"/>
    <n v="542.86333333333334"/>
    <m/>
    <m/>
    <n v="0"/>
    <n v="0"/>
  </r>
  <r>
    <x v="12"/>
    <s v="Tennessee College of Applied Technology at Elizabethton"/>
    <m/>
    <n v="220127"/>
    <x v="10"/>
    <s v="sem"/>
    <s v="sem"/>
    <m/>
    <m/>
    <m/>
    <m/>
    <m/>
    <m/>
    <m/>
    <m/>
    <n v="0"/>
    <n v="0"/>
    <n v="0"/>
    <n v="0"/>
    <m/>
    <m/>
    <n v="0"/>
    <n v="0"/>
    <m/>
    <m/>
    <n v="158989"/>
    <n v="151376"/>
    <n v="143524"/>
    <n v="140568"/>
    <n v="161301"/>
    <n v="175705"/>
    <n v="463814"/>
    <n v="515.34888888888884"/>
    <n v="467649"/>
    <n v="519.61"/>
    <m/>
    <m/>
    <n v="0"/>
    <n v="0"/>
  </r>
  <r>
    <x v="12"/>
    <s v="Tennessee College of Applied Technology at Harriman"/>
    <m/>
    <n v="220251"/>
    <x v="10"/>
    <s v="sem"/>
    <s v="sem"/>
    <m/>
    <m/>
    <m/>
    <m/>
    <m/>
    <m/>
    <m/>
    <m/>
    <n v="0"/>
    <n v="0"/>
    <n v="0"/>
    <n v="0"/>
    <m/>
    <m/>
    <n v="0"/>
    <n v="0"/>
    <m/>
    <m/>
    <n v="68973"/>
    <n v="76476"/>
    <n v="76642"/>
    <n v="68715"/>
    <n v="81816"/>
    <n v="81445"/>
    <n v="227431"/>
    <n v="252.70111111111112"/>
    <n v="226636"/>
    <n v="251.81777777777779"/>
    <m/>
    <m/>
    <n v="0"/>
    <n v="0"/>
  </r>
  <r>
    <x v="12"/>
    <s v="Tennessee College of Applied Technology at Hartsville"/>
    <m/>
    <n v="220279"/>
    <x v="10"/>
    <s v="sem"/>
    <s v="sem"/>
    <m/>
    <m/>
    <m/>
    <m/>
    <m/>
    <m/>
    <m/>
    <m/>
    <n v="0"/>
    <n v="0"/>
    <n v="0"/>
    <n v="0"/>
    <m/>
    <m/>
    <n v="0"/>
    <n v="0"/>
    <m/>
    <m/>
    <n v="108512"/>
    <n v="110276"/>
    <n v="64737"/>
    <n v="70558"/>
    <n v="130340"/>
    <n v="137194"/>
    <n v="303589"/>
    <n v="337.32111111111112"/>
    <n v="318028"/>
    <n v="353.36444444444442"/>
    <m/>
    <m/>
    <n v="0"/>
    <n v="0"/>
  </r>
  <r>
    <x v="12"/>
    <s v="Tennessee College of Applied Technology at Hohenwald"/>
    <m/>
    <n v="220321"/>
    <x v="10"/>
    <s v="sem"/>
    <s v="sem"/>
    <m/>
    <m/>
    <m/>
    <m/>
    <m/>
    <m/>
    <m/>
    <m/>
    <n v="0"/>
    <n v="0"/>
    <n v="0"/>
    <n v="0"/>
    <m/>
    <m/>
    <n v="0"/>
    <n v="0"/>
    <m/>
    <m/>
    <n v="112509"/>
    <n v="104746"/>
    <n v="97226"/>
    <n v="87638"/>
    <n v="103543"/>
    <n v="135286"/>
    <n v="313278"/>
    <n v="348.08666666666664"/>
    <n v="327670"/>
    <n v="364.07777777777778"/>
    <m/>
    <m/>
    <n v="0"/>
    <n v="0"/>
  </r>
  <r>
    <x v="12"/>
    <s v="Tennessee College of Applied Technology at Jacksboro"/>
    <m/>
    <n v="220394"/>
    <x v="10"/>
    <s v="sem"/>
    <s v="sem"/>
    <m/>
    <m/>
    <m/>
    <m/>
    <m/>
    <m/>
    <m/>
    <m/>
    <n v="0"/>
    <n v="0"/>
    <n v="0"/>
    <n v="0"/>
    <m/>
    <m/>
    <n v="0"/>
    <n v="0"/>
    <m/>
    <m/>
    <n v="58471"/>
    <n v="57066"/>
    <n v="48123"/>
    <n v="47306"/>
    <n v="69881"/>
    <n v="71740"/>
    <n v="176475"/>
    <n v="196.08333333333334"/>
    <n v="176112"/>
    <n v="195.68"/>
    <m/>
    <m/>
    <n v="0"/>
    <n v="0"/>
  </r>
  <r>
    <x v="12"/>
    <s v="Tennessee College of Applied Technology at Jackson"/>
    <m/>
    <n v="221616"/>
    <x v="10"/>
    <s v="sem"/>
    <s v="sem"/>
    <m/>
    <m/>
    <m/>
    <m/>
    <m/>
    <m/>
    <m/>
    <m/>
    <n v="0"/>
    <n v="0"/>
    <n v="0"/>
    <n v="0"/>
    <m/>
    <m/>
    <n v="0"/>
    <n v="0"/>
    <m/>
    <m/>
    <n v="146131"/>
    <n v="155750"/>
    <n v="132581"/>
    <n v="129947"/>
    <n v="159217"/>
    <n v="181558"/>
    <n v="437929"/>
    <n v="486.58777777777777"/>
    <n v="467255"/>
    <n v="519.17222222222222"/>
    <m/>
    <m/>
    <n v="0"/>
    <n v="0"/>
  </r>
  <r>
    <x v="12"/>
    <s v="Tennessee College of Applied Technology at Knoxville"/>
    <m/>
    <n v="221625"/>
    <x v="10"/>
    <s v="sem"/>
    <s v="sem"/>
    <m/>
    <m/>
    <m/>
    <m/>
    <m/>
    <m/>
    <m/>
    <m/>
    <n v="0"/>
    <n v="0"/>
    <n v="0"/>
    <n v="0"/>
    <m/>
    <m/>
    <n v="0"/>
    <n v="0"/>
    <m/>
    <m/>
    <n v="210784"/>
    <n v="224808"/>
    <n v="201291"/>
    <n v="210725"/>
    <n v="234435"/>
    <n v="293384"/>
    <n v="646510"/>
    <n v="718.34444444444443"/>
    <n v="728917"/>
    <n v="809.90777777777782"/>
    <m/>
    <m/>
    <n v="0"/>
    <n v="0"/>
  </r>
  <r>
    <x v="12"/>
    <s v="Tennessee College of Applied Technology at Livingston"/>
    <m/>
    <n v="220640"/>
    <x v="10"/>
    <s v="sem"/>
    <s v="sem"/>
    <m/>
    <m/>
    <m/>
    <m/>
    <m/>
    <m/>
    <m/>
    <m/>
    <n v="0"/>
    <n v="0"/>
    <n v="0"/>
    <n v="0"/>
    <m/>
    <m/>
    <n v="0"/>
    <n v="0"/>
    <m/>
    <m/>
    <n v="124374"/>
    <n v="126461"/>
    <n v="95396"/>
    <n v="86416"/>
    <n v="157472"/>
    <n v="179234"/>
    <n v="377242"/>
    <n v="419.15777777777777"/>
    <n v="392111"/>
    <n v="435.67888888888888"/>
    <m/>
    <m/>
    <n v="0"/>
    <n v="0"/>
  </r>
  <r>
    <x v="12"/>
    <s v="Tennessee College of Applied Technology at McKenzie"/>
    <m/>
    <n v="220756"/>
    <x v="10"/>
    <s v="sem"/>
    <s v="sem"/>
    <m/>
    <m/>
    <m/>
    <m/>
    <m/>
    <m/>
    <m/>
    <m/>
    <n v="0"/>
    <n v="0"/>
    <n v="0"/>
    <n v="0"/>
    <m/>
    <m/>
    <n v="0"/>
    <n v="0"/>
    <m/>
    <m/>
    <n v="59439"/>
    <n v="56804"/>
    <n v="49022"/>
    <n v="49677"/>
    <n v="56396"/>
    <n v="68224"/>
    <n v="164857"/>
    <n v="183.17444444444445"/>
    <n v="174705"/>
    <n v="194.11666666666667"/>
    <m/>
    <m/>
    <n v="0"/>
    <n v="0"/>
  </r>
  <r>
    <x v="12"/>
    <s v="Tennessee College of Applied Technology at McMinnville"/>
    <m/>
    <n v="221607"/>
    <x v="10"/>
    <s v="sem"/>
    <s v="sem"/>
    <m/>
    <m/>
    <m/>
    <m/>
    <m/>
    <m/>
    <m/>
    <m/>
    <n v="0"/>
    <n v="0"/>
    <n v="0"/>
    <n v="0"/>
    <m/>
    <m/>
    <n v="0"/>
    <n v="0"/>
    <m/>
    <m/>
    <n v="67522"/>
    <n v="66098"/>
    <n v="68551"/>
    <n v="58471"/>
    <n v="72896"/>
    <n v="78074"/>
    <n v="208969"/>
    <n v="232.18777777777777"/>
    <n v="202643"/>
    <n v="225.1588888888889"/>
    <m/>
    <m/>
    <n v="0"/>
    <n v="0"/>
  </r>
  <r>
    <x v="12"/>
    <s v="Tennessee College of Applied Technology at Memphis"/>
    <m/>
    <n v="220853"/>
    <x v="10"/>
    <s v="sem"/>
    <s v="sem"/>
    <m/>
    <m/>
    <m/>
    <m/>
    <m/>
    <m/>
    <m/>
    <m/>
    <n v="0"/>
    <n v="0"/>
    <n v="0"/>
    <n v="0"/>
    <m/>
    <m/>
    <n v="0"/>
    <n v="0"/>
    <m/>
    <m/>
    <n v="262967"/>
    <n v="268195"/>
    <n v="257455"/>
    <n v="252106"/>
    <n v="281091"/>
    <n v="306038"/>
    <n v="801513"/>
    <n v="890.57"/>
    <n v="826339"/>
    <n v="918.15444444444449"/>
    <m/>
    <m/>
    <n v="0"/>
    <n v="0"/>
  </r>
  <r>
    <x v="12"/>
    <s v="Tennessee College of Applied Technology at Morristown"/>
    <m/>
    <n v="221050"/>
    <x v="10"/>
    <s v="sem"/>
    <s v="sem"/>
    <m/>
    <m/>
    <m/>
    <m/>
    <m/>
    <m/>
    <m/>
    <m/>
    <n v="0"/>
    <n v="0"/>
    <n v="0"/>
    <n v="0"/>
    <m/>
    <m/>
    <n v="0"/>
    <n v="0"/>
    <m/>
    <m/>
    <n v="162816"/>
    <n v="170275"/>
    <n v="155667"/>
    <n v="150333"/>
    <n v="178771"/>
    <n v="218852"/>
    <n v="497254"/>
    <n v="552.5044444444444"/>
    <n v="539460"/>
    <n v="599.4"/>
    <m/>
    <m/>
    <n v="0"/>
    <n v="0"/>
  </r>
  <r>
    <x v="12"/>
    <s v="Tennessee College of Applied Technology at Murfreesboro"/>
    <m/>
    <n v="221102"/>
    <x v="10"/>
    <s v="sem"/>
    <s v="sem"/>
    <m/>
    <m/>
    <m/>
    <m/>
    <m/>
    <m/>
    <m/>
    <m/>
    <n v="0"/>
    <n v="0"/>
    <n v="0"/>
    <n v="0"/>
    <m/>
    <m/>
    <n v="0"/>
    <n v="0"/>
    <m/>
    <m/>
    <n v="167418"/>
    <n v="143327"/>
    <n v="140534"/>
    <n v="134120"/>
    <n v="161752"/>
    <n v="187154"/>
    <n v="469704"/>
    <n v="521.89333333333332"/>
    <n v="464601"/>
    <n v="516.22333333333336"/>
    <m/>
    <m/>
    <n v="0"/>
    <n v="0"/>
  </r>
  <r>
    <x v="12"/>
    <s v="Tennessee College of Applied Technology at Nashville"/>
    <m/>
    <n v="248925"/>
    <x v="10"/>
    <s v="sem"/>
    <s v="sem"/>
    <m/>
    <m/>
    <m/>
    <m/>
    <m/>
    <m/>
    <m/>
    <m/>
    <n v="0"/>
    <n v="0"/>
    <n v="0"/>
    <n v="0"/>
    <m/>
    <m/>
    <n v="0"/>
    <n v="0"/>
    <m/>
    <m/>
    <n v="266519"/>
    <n v="246257"/>
    <n v="227413"/>
    <n v="215487"/>
    <n v="283912"/>
    <n v="303664"/>
    <n v="777844"/>
    <n v="864.27111111111117"/>
    <n v="765408"/>
    <n v="850.45333333333338"/>
    <m/>
    <m/>
    <n v="0"/>
    <n v="0"/>
  </r>
  <r>
    <x v="12"/>
    <s v="Tennessee College of Applied Technology at Newbern"/>
    <m/>
    <n v="221236"/>
    <x v="10"/>
    <s v="sem"/>
    <s v="sem"/>
    <m/>
    <m/>
    <m/>
    <m/>
    <m/>
    <m/>
    <m/>
    <m/>
    <n v="0"/>
    <n v="0"/>
    <n v="0"/>
    <n v="0"/>
    <m/>
    <m/>
    <n v="0"/>
    <n v="0"/>
    <m/>
    <m/>
    <n v="83614"/>
    <n v="92693"/>
    <n v="64109"/>
    <n v="70688"/>
    <n v="100706"/>
    <n v="108325"/>
    <n v="248429"/>
    <n v="276.03222222222223"/>
    <n v="271706"/>
    <n v="301.89555555555557"/>
    <m/>
    <m/>
    <n v="0"/>
    <n v="0"/>
  </r>
  <r>
    <x v="12"/>
    <s v="Tennessee College of Applied Technology at Oneida"/>
    <m/>
    <n v="221582"/>
    <x v="10"/>
    <s v="sem"/>
    <s v="sem"/>
    <m/>
    <m/>
    <m/>
    <m/>
    <m/>
    <m/>
    <m/>
    <m/>
    <n v="0"/>
    <n v="0"/>
    <n v="0"/>
    <n v="0"/>
    <m/>
    <m/>
    <n v="0"/>
    <n v="0"/>
    <m/>
    <m/>
    <n v="68907"/>
    <n v="71099"/>
    <n v="50254"/>
    <n v="42811"/>
    <n v="81444"/>
    <n v="86315"/>
    <n v="200605"/>
    <n v="222.89444444444445"/>
    <n v="200225"/>
    <n v="222.47222222222223"/>
    <m/>
    <m/>
    <n v="0"/>
    <n v="0"/>
  </r>
  <r>
    <x v="12"/>
    <s v="Tennessee College of Applied Technology at Paris"/>
    <m/>
    <n v="221281"/>
    <x v="10"/>
    <s v="sem"/>
    <s v="sem"/>
    <m/>
    <m/>
    <m/>
    <m/>
    <m/>
    <m/>
    <m/>
    <m/>
    <n v="0"/>
    <n v="0"/>
    <n v="0"/>
    <n v="0"/>
    <m/>
    <m/>
    <n v="0"/>
    <n v="0"/>
    <m/>
    <m/>
    <n v="91007"/>
    <n v="105414"/>
    <n v="88555"/>
    <n v="94003"/>
    <n v="109851"/>
    <n v="112821"/>
    <n v="289413"/>
    <n v="321.57"/>
    <n v="312238"/>
    <n v="346.93111111111114"/>
    <m/>
    <m/>
    <n v="0"/>
    <n v="0"/>
  </r>
  <r>
    <x v="12"/>
    <s v="Tennessee College of Applied Technology at Pulaski"/>
    <m/>
    <n v="221333"/>
    <x v="10"/>
    <s v="sem"/>
    <s v="sem"/>
    <m/>
    <m/>
    <m/>
    <m/>
    <m/>
    <m/>
    <m/>
    <m/>
    <n v="0"/>
    <n v="0"/>
    <n v="0"/>
    <n v="0"/>
    <m/>
    <m/>
    <n v="0"/>
    <n v="0"/>
    <m/>
    <m/>
    <n v="151997"/>
    <n v="185331"/>
    <n v="65009"/>
    <n v="65511"/>
    <n v="161970"/>
    <n v="200058"/>
    <n v="378976"/>
    <n v="421.08444444444444"/>
    <n v="450900"/>
    <n v="501"/>
    <m/>
    <m/>
    <n v="0"/>
    <n v="0"/>
  </r>
  <r>
    <x v="12"/>
    <s v="Tennessee College of Applied Technology at Ripley"/>
    <m/>
    <n v="221388"/>
    <x v="10"/>
    <s v="sem"/>
    <s v="sem"/>
    <m/>
    <m/>
    <m/>
    <m/>
    <m/>
    <m/>
    <m/>
    <m/>
    <n v="0"/>
    <n v="0"/>
    <n v="0"/>
    <n v="0"/>
    <m/>
    <m/>
    <n v="0"/>
    <n v="0"/>
    <m/>
    <m/>
    <n v="47330"/>
    <n v="47310"/>
    <n v="38312"/>
    <n v="37265"/>
    <n v="49070"/>
    <n v="65356"/>
    <n v="134712"/>
    <n v="149.68"/>
    <n v="149931"/>
    <n v="166.59"/>
    <m/>
    <m/>
    <n v="0"/>
    <n v="0"/>
  </r>
  <r>
    <x v="12"/>
    <s v="Tennessee College of Applied Technology at Shelbyville"/>
    <m/>
    <n v="221494"/>
    <x v="10"/>
    <s v="sem"/>
    <s v="sem"/>
    <m/>
    <m/>
    <m/>
    <m/>
    <m/>
    <m/>
    <m/>
    <m/>
    <n v="0"/>
    <n v="0"/>
    <n v="0"/>
    <n v="0"/>
    <m/>
    <m/>
    <n v="0"/>
    <n v="0"/>
    <m/>
    <m/>
    <n v="155479"/>
    <n v="144774"/>
    <n v="138119"/>
    <n v="127632"/>
    <n v="158922"/>
    <n v="193339"/>
    <n v="452520"/>
    <n v="502.8"/>
    <n v="465745"/>
    <n v="517.49444444444441"/>
    <m/>
    <m/>
    <n v="0"/>
    <n v="0"/>
  </r>
  <r>
    <x v="12"/>
    <s v="Tennessee College of Applied Technology at Whiteville"/>
    <m/>
    <n v="221634"/>
    <x v="10"/>
    <s v="sem"/>
    <s v="sem"/>
    <m/>
    <m/>
    <m/>
    <m/>
    <m/>
    <m/>
    <m/>
    <m/>
    <n v="0"/>
    <n v="0"/>
    <n v="0"/>
    <n v="0"/>
    <m/>
    <m/>
    <n v="0"/>
    <n v="0"/>
    <m/>
    <m/>
    <n v="54880"/>
    <n v="55602"/>
    <n v="49077"/>
    <n v="53933"/>
    <n v="65867"/>
    <n v="77826"/>
    <n v="169824"/>
    <n v="188.69333333333333"/>
    <n v="187361"/>
    <n v="208.17888888888888"/>
    <m/>
    <m/>
    <n v="0"/>
    <n v="0"/>
  </r>
  <r>
    <x v="13"/>
    <s v="Texas A&amp;M University "/>
    <m/>
    <n v="228723"/>
    <x v="0"/>
    <s v="sem"/>
    <m/>
    <m/>
    <m/>
    <n v="513864"/>
    <n v="548158"/>
    <n v="70283"/>
    <n v="73891"/>
    <n v="584774"/>
    <n v="604505"/>
    <n v="1168921"/>
    <n v="38964.033333333333"/>
    <n v="1226554"/>
    <n v="40885.133333333331"/>
    <n v="0"/>
    <n v="0"/>
    <n v="1168921"/>
    <n v="1226554"/>
    <m/>
    <m/>
    <m/>
    <m/>
    <m/>
    <m/>
    <m/>
    <m/>
    <n v="0"/>
    <n v="0"/>
    <n v="0"/>
    <n v="0"/>
    <m/>
    <m/>
    <n v="0"/>
    <n v="0"/>
  </r>
  <r>
    <x v="13"/>
    <s v="Texas Tech University "/>
    <m/>
    <n v="229115"/>
    <x v="0"/>
    <s v="sem"/>
    <m/>
    <m/>
    <m/>
    <n v="316742"/>
    <n v="332367"/>
    <n v="61247"/>
    <n v="59892"/>
    <n v="366465"/>
    <n v="372141"/>
    <n v="744454"/>
    <n v="24815.133333333335"/>
    <n v="764400"/>
    <n v="25480"/>
    <n v="78"/>
    <n v="123"/>
    <n v="744454"/>
    <n v="764400"/>
    <m/>
    <m/>
    <m/>
    <m/>
    <m/>
    <m/>
    <m/>
    <m/>
    <n v="0"/>
    <n v="0"/>
    <n v="0"/>
    <n v="0"/>
    <m/>
    <m/>
    <n v="0"/>
    <n v="0"/>
  </r>
  <r>
    <x v="13"/>
    <s v="University of Houston"/>
    <m/>
    <n v="225511"/>
    <x v="0"/>
    <s v="sem"/>
    <m/>
    <m/>
    <m/>
    <n v="345641"/>
    <n v="368766"/>
    <n v="58233"/>
    <n v="60860"/>
    <n v="390856"/>
    <n v="413450"/>
    <n v="794730"/>
    <n v="26491"/>
    <n v="843076"/>
    <n v="28102.533333333333"/>
    <n v="16"/>
    <n v="14"/>
    <n v="794730"/>
    <n v="843076"/>
    <m/>
    <m/>
    <m/>
    <m/>
    <m/>
    <m/>
    <m/>
    <m/>
    <n v="0"/>
    <n v="0"/>
    <n v="0"/>
    <n v="0"/>
    <m/>
    <m/>
    <n v="0"/>
    <n v="0"/>
  </r>
  <r>
    <x v="13"/>
    <s v="University of North Texas"/>
    <m/>
    <n v="227216"/>
    <x v="0"/>
    <s v="sem"/>
    <m/>
    <m/>
    <m/>
    <n v="330288"/>
    <n v="339523"/>
    <n v="65392"/>
    <n v="68298"/>
    <n v="366598"/>
    <n v="382797"/>
    <n v="762278"/>
    <n v="25409.266666666666"/>
    <n v="790618"/>
    <n v="26353.933333333334"/>
    <n v="0"/>
    <n v="0"/>
    <n v="762278"/>
    <n v="790618"/>
    <m/>
    <m/>
    <m/>
    <m/>
    <m/>
    <m/>
    <m/>
    <m/>
    <n v="0"/>
    <n v="0"/>
    <n v="0"/>
    <n v="0"/>
    <m/>
    <m/>
    <n v="0"/>
    <n v="0"/>
  </r>
  <r>
    <x v="13"/>
    <s v="University of Texas at Arlington"/>
    <m/>
    <n v="228769"/>
    <x v="0"/>
    <s v="sem"/>
    <m/>
    <m/>
    <m/>
    <n v="272265"/>
    <n v="274782"/>
    <n v="85769"/>
    <n v="87781"/>
    <n v="266101"/>
    <n v="267683"/>
    <n v="624135"/>
    <n v="20804.5"/>
    <n v="630246"/>
    <n v="21008.2"/>
    <n v="1121"/>
    <n v="788"/>
    <n v="624135"/>
    <n v="630246"/>
    <m/>
    <m/>
    <m/>
    <m/>
    <m/>
    <m/>
    <m/>
    <m/>
    <n v="0"/>
    <n v="0"/>
    <n v="0"/>
    <n v="0"/>
    <m/>
    <m/>
    <n v="0"/>
    <n v="0"/>
  </r>
  <r>
    <x v="13"/>
    <s v="University of Texas at Austin"/>
    <m/>
    <n v="228778"/>
    <x v="0"/>
    <s v="sem"/>
    <m/>
    <m/>
    <m/>
    <n v="496760"/>
    <n v="487116"/>
    <n v="55391"/>
    <n v="48350"/>
    <n v="521921"/>
    <n v="524591"/>
    <n v="1074072"/>
    <n v="35802.400000000001"/>
    <n v="1060057"/>
    <n v="35335.23333333333"/>
    <n v="0"/>
    <n v="0"/>
    <n v="1074072"/>
    <n v="1060057"/>
    <m/>
    <m/>
    <m/>
    <m/>
    <m/>
    <m/>
    <m/>
    <m/>
    <n v="0"/>
    <n v="0"/>
    <n v="0"/>
    <n v="0"/>
    <m/>
    <m/>
    <n v="0"/>
    <n v="0"/>
  </r>
  <r>
    <x v="13"/>
    <s v="University of Texas at Dallas"/>
    <m/>
    <n v="228787"/>
    <x v="0"/>
    <s v="sem"/>
    <m/>
    <m/>
    <m/>
    <n v="154409"/>
    <n v="170592"/>
    <n v="22544"/>
    <n v="24204"/>
    <n v="183763"/>
    <n v="200257"/>
    <n v="360716"/>
    <n v="12023.866666666667"/>
    <n v="395053"/>
    <n v="13168.433333333332"/>
    <n v="0"/>
    <n v="0"/>
    <n v="360716"/>
    <n v="395053"/>
    <m/>
    <m/>
    <m/>
    <m/>
    <m/>
    <m/>
    <m/>
    <m/>
    <n v="0"/>
    <n v="0"/>
    <n v="0"/>
    <n v="0"/>
    <m/>
    <m/>
    <n v="0"/>
    <n v="0"/>
  </r>
  <r>
    <x v="13"/>
    <s v="Texas Woman's University"/>
    <m/>
    <n v="229179"/>
    <x v="1"/>
    <s v="sem"/>
    <m/>
    <m/>
    <m/>
    <n v="102228"/>
    <n v="98748"/>
    <n v="23471"/>
    <n v="22119"/>
    <n v="112149"/>
    <n v="113726"/>
    <n v="237848"/>
    <n v="7928.2666666666664"/>
    <n v="234593"/>
    <n v="7819.7666666666664"/>
    <n v="2592"/>
    <n v="4519"/>
    <n v="237848"/>
    <n v="234593"/>
    <m/>
    <m/>
    <m/>
    <m/>
    <m/>
    <m/>
    <m/>
    <m/>
    <n v="0"/>
    <n v="0"/>
    <n v="0"/>
    <n v="0"/>
    <m/>
    <m/>
    <n v="0"/>
    <n v="0"/>
  </r>
  <r>
    <x v="13"/>
    <s v="University of Texas at El Paso"/>
    <m/>
    <n v="228796"/>
    <x v="1"/>
    <s v="sem"/>
    <m/>
    <m/>
    <m/>
    <n v="202354"/>
    <n v="205495"/>
    <n v="49681"/>
    <n v="54255"/>
    <n v="219023"/>
    <n v="221904"/>
    <n v="471058"/>
    <n v="15701.933333333332"/>
    <n v="481654"/>
    <n v="16055.133333333333"/>
    <n v="0"/>
    <n v="0"/>
    <n v="471058"/>
    <n v="481654"/>
    <m/>
    <m/>
    <m/>
    <m/>
    <m/>
    <m/>
    <m/>
    <m/>
    <n v="0"/>
    <n v="0"/>
    <n v="0"/>
    <n v="0"/>
    <m/>
    <m/>
    <n v="0"/>
    <n v="0"/>
  </r>
  <r>
    <x v="13"/>
    <s v="University of Texas at San Antonio"/>
    <s v="Met the criteria for Four-Year 1 in 2014-15 and 2015-16."/>
    <n v="229027"/>
    <x v="1"/>
    <s v="sem"/>
    <m/>
    <m/>
    <m/>
    <n v="259274"/>
    <n v="261805"/>
    <n v="50034"/>
    <n v="46168"/>
    <n v="293467"/>
    <n v="303123"/>
    <n v="602775"/>
    <n v="20092.5"/>
    <n v="611096"/>
    <n v="20369.866666666665"/>
    <n v="96"/>
    <n v="117"/>
    <n v="602775"/>
    <n v="611096"/>
    <m/>
    <m/>
    <m/>
    <m/>
    <m/>
    <m/>
    <m/>
    <m/>
    <n v="0"/>
    <n v="0"/>
    <n v="0"/>
    <n v="0"/>
    <m/>
    <m/>
    <n v="0"/>
    <n v="0"/>
  </r>
  <r>
    <x v="13"/>
    <s v="Angelo State University"/>
    <m/>
    <n v="222831"/>
    <x v="2"/>
    <s v="sem"/>
    <m/>
    <m/>
    <m/>
    <n v="60293"/>
    <n v="60364"/>
    <n v="11780"/>
    <n v="12627"/>
    <n v="68601"/>
    <n v="76236"/>
    <n v="140674"/>
    <n v="4689.1333333333332"/>
    <n v="149227"/>
    <n v="4974.2333333333336"/>
    <n v="520"/>
    <n v="8599"/>
    <n v="140674"/>
    <n v="149227"/>
    <m/>
    <m/>
    <m/>
    <m/>
    <m/>
    <m/>
    <m/>
    <m/>
    <n v="0"/>
    <n v="0"/>
    <n v="0"/>
    <n v="0"/>
    <m/>
    <m/>
    <n v="0"/>
    <n v="0"/>
  </r>
  <r>
    <x v="13"/>
    <s v="Lamar University"/>
    <m/>
    <n v="226091"/>
    <x v="2"/>
    <s v="sem"/>
    <m/>
    <m/>
    <m/>
    <n v="99091"/>
    <n v="95009"/>
    <n v="28532"/>
    <n v="26862"/>
    <n v="100441"/>
    <n v="98987"/>
    <n v="228064"/>
    <n v="7602.1333333333332"/>
    <n v="220858"/>
    <n v="7361.9333333333334"/>
    <n v="1685"/>
    <n v="1547"/>
    <n v="228064"/>
    <n v="220858"/>
    <m/>
    <m/>
    <m/>
    <m/>
    <m/>
    <m/>
    <m/>
    <m/>
    <n v="0"/>
    <n v="0"/>
    <n v="0"/>
    <n v="0"/>
    <m/>
    <m/>
    <n v="0"/>
    <n v="0"/>
  </r>
  <r>
    <x v="13"/>
    <s v="Midwestern State University"/>
    <m/>
    <n v="226833"/>
    <x v="2"/>
    <s v="sem"/>
    <m/>
    <m/>
    <m/>
    <n v="54786"/>
    <n v="55615"/>
    <n v="12146"/>
    <n v="11510"/>
    <n v="59341"/>
    <n v="61160"/>
    <n v="126273"/>
    <n v="4209.1000000000004"/>
    <n v="128285"/>
    <n v="4276.166666666667"/>
    <n v="147"/>
    <n v="70"/>
    <n v="126273"/>
    <n v="128285"/>
    <m/>
    <m/>
    <m/>
    <m/>
    <m/>
    <m/>
    <m/>
    <m/>
    <n v="0"/>
    <n v="0"/>
    <n v="0"/>
    <n v="0"/>
    <m/>
    <m/>
    <n v="0"/>
    <n v="0"/>
  </r>
  <r>
    <x v="13"/>
    <s v="Prairie View A&amp;M University"/>
    <m/>
    <n v="227526"/>
    <x v="2"/>
    <s v="sem"/>
    <m/>
    <m/>
    <m/>
    <n v="82136"/>
    <n v="84837"/>
    <n v="15465"/>
    <n v="14222"/>
    <n v="90602"/>
    <n v="92084"/>
    <n v="188203"/>
    <n v="6273.4333333333334"/>
    <n v="191143"/>
    <n v="6371.4333333333334"/>
    <n v="0"/>
    <n v="0"/>
    <n v="188203"/>
    <n v="191143"/>
    <m/>
    <m/>
    <m/>
    <m/>
    <m/>
    <m/>
    <m/>
    <m/>
    <n v="0"/>
    <n v="0"/>
    <n v="0"/>
    <n v="0"/>
    <m/>
    <m/>
    <n v="0"/>
    <n v="0"/>
  </r>
  <r>
    <x v="13"/>
    <s v="Sam Houston State University "/>
    <m/>
    <n v="227881"/>
    <x v="2"/>
    <s v="sem"/>
    <m/>
    <m/>
    <m/>
    <n v="188374"/>
    <n v="195411"/>
    <n v="38229"/>
    <n v="41247"/>
    <n v="209275"/>
    <n v="218326"/>
    <n v="435878"/>
    <n v="14529.266666666666"/>
    <n v="454984"/>
    <n v="15166.133333333333"/>
    <n v="0"/>
    <n v="0"/>
    <n v="435878"/>
    <n v="454984"/>
    <m/>
    <m/>
    <m/>
    <m/>
    <m/>
    <m/>
    <m/>
    <m/>
    <n v="0"/>
    <n v="0"/>
    <n v="0"/>
    <n v="0"/>
    <m/>
    <m/>
    <n v="0"/>
    <n v="0"/>
  </r>
  <r>
    <x v="13"/>
    <s v="Stephen F. Austin State University"/>
    <m/>
    <n v="228431"/>
    <x v="2"/>
    <s v="sem"/>
    <m/>
    <m/>
    <m/>
    <n v="125540"/>
    <n v="124227"/>
    <n v="28153"/>
    <n v="24581"/>
    <n v="137156"/>
    <n v="136325"/>
    <n v="290849"/>
    <n v="9694.9666666666672"/>
    <n v="285133"/>
    <n v="9504.4333333333325"/>
    <n v="2837"/>
    <n v="3064"/>
    <n v="290849"/>
    <n v="285133"/>
    <m/>
    <m/>
    <m/>
    <m/>
    <m/>
    <m/>
    <m/>
    <m/>
    <n v="0"/>
    <n v="0"/>
    <n v="0"/>
    <n v="0"/>
    <m/>
    <m/>
    <n v="0"/>
    <n v="0"/>
  </r>
  <r>
    <x v="13"/>
    <s v="Sul Ross State University "/>
    <m/>
    <n v="228501"/>
    <x v="2"/>
    <s v="sem"/>
    <m/>
    <m/>
    <m/>
    <n v="14136"/>
    <n v="14245"/>
    <n v="2441"/>
    <n v="2710"/>
    <n v="16172"/>
    <n v="16422"/>
    <n v="32749"/>
    <n v="1091.6333333333334"/>
    <n v="33377"/>
    <n v="1112.5666666666666"/>
    <n v="775"/>
    <n v="1048"/>
    <n v="32749"/>
    <n v="33377"/>
    <m/>
    <m/>
    <m/>
    <m/>
    <m/>
    <m/>
    <m/>
    <m/>
    <n v="0"/>
    <n v="0"/>
    <n v="0"/>
    <n v="0"/>
    <m/>
    <m/>
    <n v="0"/>
    <n v="0"/>
  </r>
  <r>
    <x v="13"/>
    <s v="Tarleton State University"/>
    <m/>
    <n v="228529"/>
    <x v="2"/>
    <s v="sem"/>
    <m/>
    <m/>
    <m/>
    <n v="107454"/>
    <n v="113621"/>
    <n v="24831"/>
    <n v="25735"/>
    <n v="124214"/>
    <n v="129140"/>
    <n v="256499"/>
    <n v="8549.9666666666672"/>
    <n v="268496"/>
    <n v="8949.8666666666668"/>
    <n v="0"/>
    <n v="0"/>
    <n v="256499"/>
    <n v="268496"/>
    <m/>
    <m/>
    <m/>
    <m/>
    <m/>
    <m/>
    <m/>
    <m/>
    <n v="0"/>
    <n v="0"/>
    <n v="0"/>
    <n v="0"/>
    <m/>
    <m/>
    <n v="0"/>
    <n v="0"/>
  </r>
  <r>
    <x v="13"/>
    <s v="Texas A&amp;M International University"/>
    <m/>
    <n v="226152"/>
    <x v="2"/>
    <s v="sem"/>
    <m/>
    <m/>
    <m/>
    <n v="62338"/>
    <n v="65958"/>
    <n v="14077"/>
    <n v="13590"/>
    <n v="71243"/>
    <n v="72854"/>
    <n v="147658"/>
    <n v="4921.9333333333334"/>
    <n v="152402"/>
    <n v="5080.0666666666666"/>
    <n v="8382"/>
    <n v="9991"/>
    <n v="147658"/>
    <n v="152402"/>
    <m/>
    <m/>
    <m/>
    <m/>
    <m/>
    <m/>
    <m/>
    <m/>
    <n v="0"/>
    <n v="0"/>
    <n v="0"/>
    <n v="0"/>
    <m/>
    <m/>
    <n v="0"/>
    <n v="0"/>
  </r>
  <r>
    <x v="13"/>
    <s v="Texas A&amp;M University-Commerce"/>
    <m/>
    <n v="224554"/>
    <x v="2"/>
    <s v="sem"/>
    <m/>
    <m/>
    <m/>
    <n v="71899"/>
    <n v="77628"/>
    <n v="13857"/>
    <n v="16537"/>
    <n v="82754"/>
    <n v="87259"/>
    <n v="168510"/>
    <n v="5617"/>
    <n v="181424"/>
    <n v="6047.4666666666662"/>
    <n v="2033"/>
    <n v="2886"/>
    <n v="168510"/>
    <n v="181424"/>
    <m/>
    <m/>
    <m/>
    <m/>
    <m/>
    <m/>
    <m/>
    <m/>
    <n v="0"/>
    <n v="0"/>
    <n v="0"/>
    <n v="0"/>
    <m/>
    <m/>
    <n v="0"/>
    <n v="0"/>
  </r>
  <r>
    <x v="13"/>
    <s v="Texas A&amp;M University-Corpus Christi "/>
    <m/>
    <n v="224147"/>
    <x v="2"/>
    <s v="sem"/>
    <m/>
    <m/>
    <m/>
    <n v="101971"/>
    <n v="101328"/>
    <n v="22460"/>
    <n v="22664"/>
    <n v="109854"/>
    <n v="113195"/>
    <n v="234285"/>
    <n v="7809.5"/>
    <n v="237187"/>
    <n v="7906.2333333333336"/>
    <n v="1013"/>
    <n v="957"/>
    <n v="234285"/>
    <n v="237187"/>
    <m/>
    <m/>
    <m/>
    <m/>
    <m/>
    <m/>
    <m/>
    <m/>
    <n v="0"/>
    <n v="0"/>
    <n v="0"/>
    <n v="0"/>
    <m/>
    <m/>
    <n v="0"/>
    <n v="0"/>
  </r>
  <r>
    <x v="13"/>
    <s v="Texas A&amp;M University-Kingsville"/>
    <m/>
    <n v="228705"/>
    <x v="2"/>
    <s v="sem"/>
    <m/>
    <m/>
    <m/>
    <n v="69418"/>
    <n v="68966"/>
    <n v="10951"/>
    <n v="10936"/>
    <n v="75415"/>
    <n v="78870"/>
    <n v="155784"/>
    <n v="5192.8"/>
    <n v="158772"/>
    <n v="5292.4"/>
    <n v="8272"/>
    <n v="10481"/>
    <n v="155784"/>
    <n v="158772"/>
    <m/>
    <m/>
    <m/>
    <m/>
    <m/>
    <m/>
    <m/>
    <m/>
    <n v="0"/>
    <n v="0"/>
    <n v="0"/>
    <n v="0"/>
    <m/>
    <m/>
    <n v="0"/>
    <n v="0"/>
  </r>
  <r>
    <x v="13"/>
    <s v="Texas Southern University "/>
    <m/>
    <n v="229063"/>
    <x v="2"/>
    <s v="sem"/>
    <m/>
    <m/>
    <m/>
    <n v="73602"/>
    <n v="77417"/>
    <n v="10264"/>
    <n v="9683"/>
    <n v="91031"/>
    <n v="91511"/>
    <n v="174897"/>
    <n v="5829.9"/>
    <n v="178611"/>
    <n v="5953.7"/>
    <n v="138"/>
    <n v="102"/>
    <n v="174897"/>
    <n v="178611"/>
    <m/>
    <m/>
    <m/>
    <m/>
    <m/>
    <m/>
    <m/>
    <m/>
    <n v="0"/>
    <n v="0"/>
    <n v="0"/>
    <n v="0"/>
    <m/>
    <m/>
    <n v="0"/>
    <n v="0"/>
  </r>
  <r>
    <x v="13"/>
    <s v="Texas State University"/>
    <s v="Met the criteria for Four-Year 2 in 2014-15 and 2015-16."/>
    <n v="228459"/>
    <x v="2"/>
    <s v="sem"/>
    <m/>
    <m/>
    <m/>
    <n v="353377"/>
    <n v="364827"/>
    <n v="61560"/>
    <n v="61323"/>
    <n v="399703"/>
    <n v="415617"/>
    <n v="814640"/>
    <n v="27154.666666666668"/>
    <n v="841767"/>
    <n v="28058.9"/>
    <n v="0"/>
    <n v="0"/>
    <n v="814640"/>
    <n v="841767"/>
    <m/>
    <m/>
    <m/>
    <m/>
    <m/>
    <m/>
    <m/>
    <m/>
    <n v="0"/>
    <n v="0"/>
    <n v="0"/>
    <n v="0"/>
    <m/>
    <m/>
    <n v="0"/>
    <n v="0"/>
  </r>
  <r>
    <x v="13"/>
    <s v="University of Houston-Clear Lake "/>
    <m/>
    <n v="225414"/>
    <x v="2"/>
    <s v="sem"/>
    <m/>
    <m/>
    <m/>
    <n v="43742"/>
    <n v="48929"/>
    <n v="13570"/>
    <n v="13306"/>
    <n v="50107"/>
    <n v="54490"/>
    <n v="107419"/>
    <n v="3580.6333333333332"/>
    <n v="116725"/>
    <n v="3890.8333333333335"/>
    <n v="0"/>
    <n v="0"/>
    <n v="107419"/>
    <n v="116725"/>
    <m/>
    <m/>
    <m/>
    <m/>
    <m/>
    <m/>
    <m/>
    <m/>
    <n v="0"/>
    <n v="0"/>
    <n v="0"/>
    <n v="0"/>
    <m/>
    <m/>
    <n v="0"/>
    <n v="0"/>
  </r>
  <r>
    <x v="13"/>
    <s v="University of Texas at Tyler"/>
    <m/>
    <n v="228802"/>
    <x v="2"/>
    <s v="sem"/>
    <m/>
    <m/>
    <m/>
    <n v="59355"/>
    <n v="63918"/>
    <n v="10707"/>
    <n v="12981"/>
    <n v="67147"/>
    <n v="72898"/>
    <n v="137209"/>
    <n v="4573.6333333333332"/>
    <n v="149797"/>
    <n v="4993.2333333333336"/>
    <n v="447"/>
    <n v="1378"/>
    <n v="137209"/>
    <n v="149797"/>
    <m/>
    <m/>
    <m/>
    <m/>
    <m/>
    <m/>
    <m/>
    <m/>
    <n v="0"/>
    <n v="0"/>
    <n v="0"/>
    <n v="0"/>
    <m/>
    <m/>
    <n v="0"/>
    <n v="0"/>
  </r>
  <r>
    <x v="13"/>
    <s v="University of Texas of the Permian Basin"/>
    <m/>
    <n v="229018"/>
    <x v="2"/>
    <s v="sem"/>
    <m/>
    <m/>
    <m/>
    <n v="41720"/>
    <n v="44272"/>
    <n v="11704"/>
    <n v="16192"/>
    <n v="46915"/>
    <n v="45547"/>
    <n v="100339"/>
    <n v="3344.6333333333332"/>
    <n v="106011"/>
    <n v="3533.7"/>
    <n v="10085"/>
    <n v="11981"/>
    <n v="100339"/>
    <n v="106011"/>
    <m/>
    <m/>
    <m/>
    <m/>
    <m/>
    <m/>
    <m/>
    <m/>
    <n v="0"/>
    <n v="0"/>
    <n v="0"/>
    <n v="0"/>
    <m/>
    <m/>
    <n v="0"/>
    <n v="0"/>
  </r>
  <r>
    <x v="13"/>
    <s v="University of Texas - Rio Grande Valley"/>
    <m/>
    <n v="227368"/>
    <x v="2"/>
    <s v="sem"/>
    <m/>
    <m/>
    <m/>
    <n v="264307"/>
    <n v="273257"/>
    <n v="71345"/>
    <n v="78120"/>
    <n v="288565"/>
    <n v="286363"/>
    <n v="624217"/>
    <n v="20807.233333333334"/>
    <n v="637740"/>
    <n v="21258"/>
    <n v="10149"/>
    <n v="11448"/>
    <n v="624217"/>
    <n v="637740"/>
    <m/>
    <m/>
    <m/>
    <m/>
    <m/>
    <m/>
    <m/>
    <m/>
    <n v="0"/>
    <n v="0"/>
    <n v="0"/>
    <n v="0"/>
    <m/>
    <m/>
    <n v="0"/>
    <n v="0"/>
  </r>
  <r>
    <x v="13"/>
    <s v="West Texas A&amp;M University"/>
    <m/>
    <n v="229814"/>
    <x v="2"/>
    <s v="sem"/>
    <m/>
    <m/>
    <m/>
    <n v="81189"/>
    <n v="81349"/>
    <n v="13179"/>
    <n v="12960"/>
    <n v="91053"/>
    <n v="92135"/>
    <n v="185421"/>
    <n v="6180.7"/>
    <n v="186444"/>
    <n v="6214.8"/>
    <n v="0"/>
    <n v="0"/>
    <n v="185421"/>
    <n v="186444"/>
    <m/>
    <m/>
    <m/>
    <m/>
    <m/>
    <m/>
    <m/>
    <m/>
    <n v="0"/>
    <n v="0"/>
    <n v="0"/>
    <n v="0"/>
    <m/>
    <m/>
    <n v="0"/>
    <n v="0"/>
  </r>
  <r>
    <x v="13"/>
    <s v="Texas A &amp; M University - Central Texas"/>
    <m/>
    <n v="483036"/>
    <x v="3"/>
    <s v="sem"/>
    <m/>
    <m/>
    <m/>
    <n v="14875"/>
    <n v="16280"/>
    <n v="8677"/>
    <n v="8415"/>
    <n v="13128"/>
    <n v="14870"/>
    <n v="36680"/>
    <n v="1222.6666666666667"/>
    <n v="39565"/>
    <n v="1318.8333333333333"/>
    <n v="0"/>
    <n v="0"/>
    <n v="36680"/>
    <n v="39565"/>
    <m/>
    <m/>
    <m/>
    <m/>
    <m/>
    <m/>
    <m/>
    <m/>
    <n v="0"/>
    <n v="0"/>
    <n v="0"/>
    <n v="0"/>
    <m/>
    <m/>
    <n v="0"/>
    <n v="0"/>
  </r>
  <r>
    <x v="13"/>
    <s v="Texas A&amp;M -Texarkana"/>
    <m/>
    <n v="224545"/>
    <x v="3"/>
    <s v="sem"/>
    <m/>
    <m/>
    <m/>
    <n v="13233"/>
    <n v="14364"/>
    <n v="4521"/>
    <n v="3853"/>
    <n v="14920"/>
    <n v="15300"/>
    <n v="32674"/>
    <n v="1089.1333333333334"/>
    <n v="33517"/>
    <n v="1117.2333333333333"/>
    <n v="0"/>
    <n v="0"/>
    <n v="32674"/>
    <n v="33517"/>
    <m/>
    <m/>
    <m/>
    <m/>
    <m/>
    <m/>
    <m/>
    <m/>
    <n v="0"/>
    <n v="0"/>
    <n v="0"/>
    <n v="0"/>
    <m/>
    <m/>
    <n v="0"/>
    <n v="0"/>
  </r>
  <r>
    <x v="13"/>
    <s v="University of Houston-Victoria"/>
    <m/>
    <n v="225502"/>
    <x v="3"/>
    <s v="sem"/>
    <m/>
    <m/>
    <m/>
    <n v="27382"/>
    <n v="29113"/>
    <n v="9113"/>
    <n v="9353"/>
    <n v="30036"/>
    <n v="29500"/>
    <n v="66531"/>
    <n v="2217.6999999999998"/>
    <n v="67966"/>
    <n v="2265.5333333333333"/>
    <n v="0"/>
    <n v="0"/>
    <n v="66531"/>
    <n v="67966"/>
    <m/>
    <m/>
    <m/>
    <m/>
    <m/>
    <m/>
    <m/>
    <m/>
    <n v="0"/>
    <n v="0"/>
    <n v="0"/>
    <n v="0"/>
    <m/>
    <m/>
    <n v="0"/>
    <n v="0"/>
  </r>
  <r>
    <x v="13"/>
    <s v="Sul Ross State University-Rio Grande College"/>
    <m/>
    <s v="228501B"/>
    <x v="4"/>
    <s v="sem"/>
    <m/>
    <m/>
    <m/>
    <n v="5108"/>
    <n v="5742"/>
    <n v="1674"/>
    <n v="3054"/>
    <n v="5577"/>
    <n v="6137"/>
    <n v="12359"/>
    <n v="411.96666666666664"/>
    <n v="14933"/>
    <n v="497.76666666666665"/>
    <n v="0"/>
    <n v="0"/>
    <n v="12359"/>
    <n v="14933"/>
    <m/>
    <m/>
    <m/>
    <m/>
    <m/>
    <m/>
    <m/>
    <m/>
    <n v="0"/>
    <n v="0"/>
    <n v="0"/>
    <n v="0"/>
    <m/>
    <m/>
    <n v="0"/>
    <n v="0"/>
  </r>
  <r>
    <x v="13"/>
    <s v="Texas A &amp; M University - San Antonio"/>
    <m/>
    <n v="870501"/>
    <x v="4"/>
    <s v="sem"/>
    <m/>
    <m/>
    <m/>
    <n v="30168"/>
    <n v="30102"/>
    <n v="8208"/>
    <n v="9204"/>
    <n v="31231"/>
    <n v="33293"/>
    <n v="69607"/>
    <n v="2320.2333333333331"/>
    <n v="72599"/>
    <n v="2419.9666666666667"/>
    <n v="0"/>
    <n v="0"/>
    <n v="69607"/>
    <n v="72599"/>
    <m/>
    <m/>
    <m/>
    <m/>
    <m/>
    <m/>
    <m/>
    <m/>
    <n v="0"/>
    <n v="0"/>
    <n v="0"/>
    <n v="0"/>
    <m/>
    <m/>
    <n v="0"/>
    <n v="0"/>
  </r>
  <r>
    <x v="13"/>
    <s v="University of Houston-Downtown"/>
    <m/>
    <n v="225432"/>
    <x v="4"/>
    <s v="sem"/>
    <m/>
    <m/>
    <m/>
    <n v="119746"/>
    <n v="119835"/>
    <n v="31907"/>
    <n v="30859"/>
    <n v="129384"/>
    <n v="121104"/>
    <n v="281037"/>
    <n v="9367.9"/>
    <n v="271798"/>
    <n v="9059.9333333333325"/>
    <n v="638"/>
    <n v="841"/>
    <n v="281037"/>
    <n v="271798"/>
    <m/>
    <m/>
    <m/>
    <m/>
    <m/>
    <m/>
    <m/>
    <m/>
    <n v="0"/>
    <n v="0"/>
    <n v="0"/>
    <n v="0"/>
    <m/>
    <m/>
    <n v="0"/>
    <n v="0"/>
  </r>
  <r>
    <x v="13"/>
    <s v="Texas A&amp;M University at Galveston"/>
    <s v="Met the criteria for Four-Year 5 in 2014-15 and 2015-16."/>
    <n v="228714"/>
    <x v="5"/>
    <s v="sem"/>
    <m/>
    <m/>
    <m/>
    <n v="26114"/>
    <n v="27892"/>
    <n v="4804"/>
    <n v="4984"/>
    <n v="29602"/>
    <n v="29566"/>
    <n v="60520"/>
    <n v="2017.3333333333333"/>
    <n v="62442"/>
    <n v="2081.4"/>
    <n v="0"/>
    <n v="0"/>
    <n v="60520"/>
    <n v="62442"/>
    <m/>
    <m/>
    <m/>
    <m/>
    <m/>
    <m/>
    <m/>
    <m/>
    <n v="0"/>
    <n v="0"/>
    <n v="0"/>
    <n v="0"/>
    <m/>
    <m/>
    <n v="0"/>
    <n v="0"/>
  </r>
  <r>
    <x v="13"/>
    <s v="Brazosport College "/>
    <m/>
    <n v="223506"/>
    <x v="11"/>
    <s v="sem"/>
    <m/>
    <n v="30477"/>
    <n v="29871"/>
    <n v="10046"/>
    <n v="10028"/>
    <n v="3253"/>
    <n v="3968"/>
    <n v="31172"/>
    <n v="30818"/>
    <n v="74948"/>
    <n v="2498.2666666666669"/>
    <n v="74685"/>
    <n v="2489.5"/>
    <n v="9490"/>
    <n v="11058"/>
    <n v="74948"/>
    <n v="74685"/>
    <n v="8933"/>
    <n v="7034"/>
    <n v="6995"/>
    <n v="9257"/>
    <n v="6001"/>
    <n v="5883"/>
    <n v="4739"/>
    <n v="7615"/>
    <n v="26668"/>
    <n v="29.63111111111111"/>
    <n v="29789"/>
    <n v="33.098888888888887"/>
    <m/>
    <m/>
    <n v="0"/>
    <n v="0"/>
  </r>
  <r>
    <x v="13"/>
    <s v="Midland College "/>
    <m/>
    <n v="226806"/>
    <x v="11"/>
    <s v="sem"/>
    <m/>
    <n v="42475"/>
    <n v="42765"/>
    <n v="11795"/>
    <n v="13035"/>
    <n v="9112"/>
    <n v="9233"/>
    <n v="38689"/>
    <n v="42475"/>
    <n v="102071"/>
    <n v="3402.3666666666668"/>
    <n v="107508"/>
    <n v="3583.6"/>
    <n v="5592"/>
    <n v="10716"/>
    <n v="102071"/>
    <n v="107508"/>
    <n v="61834"/>
    <n v="47429"/>
    <n v="49783"/>
    <n v="40021"/>
    <n v="65899"/>
    <n v="55056"/>
    <n v="64072"/>
    <n v="49700"/>
    <n v="241588"/>
    <n v="268.43111111111114"/>
    <n v="192206"/>
    <n v="213.56222222222223"/>
    <m/>
    <m/>
    <n v="0"/>
    <n v="0"/>
  </r>
  <r>
    <x v="13"/>
    <s v="South Texas College"/>
    <m/>
    <n v="409315"/>
    <x v="11"/>
    <s v="sem"/>
    <m/>
    <n v="248566"/>
    <n v="247175"/>
    <n v="45014"/>
    <n v="48822"/>
    <n v="32000"/>
    <n v="35647"/>
    <n v="250656"/>
    <n v="271880"/>
    <n v="576236"/>
    <n v="19207.866666666665"/>
    <n v="603524"/>
    <n v="20117.466666666667"/>
    <n v="159824"/>
    <n v="183431"/>
    <n v="576236"/>
    <n v="603524"/>
    <n v="100667"/>
    <n v="136782"/>
    <n v="156490"/>
    <n v="102854"/>
    <n v="89829"/>
    <n v="102282"/>
    <n v="388630"/>
    <n v="431892"/>
    <n v="735616"/>
    <n v="817.35111111111109"/>
    <n v="773810"/>
    <n v="859.78888888888889"/>
    <m/>
    <m/>
    <n v="0"/>
    <n v="0"/>
  </r>
  <r>
    <x v="13"/>
    <s v="Amarillo College "/>
    <m/>
    <n v="222576"/>
    <x v="7"/>
    <s v="sem"/>
    <m/>
    <n v="78683"/>
    <n v="77487"/>
    <n v="21093"/>
    <n v="20982"/>
    <n v="0"/>
    <n v="0"/>
    <n v="76377"/>
    <n v="73768"/>
    <n v="176153"/>
    <n v="5871.7666666666664"/>
    <n v="172237"/>
    <n v="5741.2333333333336"/>
    <n v="20995"/>
    <n v="23204"/>
    <n v="176153"/>
    <n v="172237"/>
    <n v="122083"/>
    <n v="92533"/>
    <n v="132916"/>
    <n v="132243"/>
    <n v="112352"/>
    <n v="108166"/>
    <n v="137218"/>
    <n v="131129"/>
    <n v="504569"/>
    <n v="560.63222222222225"/>
    <n v="464071"/>
    <n v="515.6344444444444"/>
    <m/>
    <m/>
    <n v="0"/>
    <n v="0"/>
  </r>
  <r>
    <x v="13"/>
    <s v="Austin Community College "/>
    <m/>
    <n v="222992"/>
    <x v="7"/>
    <s v="sem"/>
    <m/>
    <n v="294441"/>
    <n v="298769"/>
    <n v="157929"/>
    <n v="156806"/>
    <n v="0"/>
    <n v="0"/>
    <n v="275405"/>
    <n v="279347"/>
    <n v="727775"/>
    <n v="24259.166666666668"/>
    <n v="734922"/>
    <n v="24497.4"/>
    <n v="60305"/>
    <n v="66324"/>
    <n v="727775"/>
    <n v="734922"/>
    <n v="154583"/>
    <n v="118359"/>
    <n v="77184"/>
    <n v="77575"/>
    <n v="158838"/>
    <n v="193385"/>
    <n v="95381"/>
    <n v="127573"/>
    <n v="485986"/>
    <n v="539.98444444444442"/>
    <n v="516892"/>
    <n v="574.32444444444445"/>
    <m/>
    <m/>
    <n v="0"/>
    <n v="0"/>
  </r>
  <r>
    <x v="13"/>
    <s v="Blinn College "/>
    <m/>
    <n v="223427"/>
    <x v="7"/>
    <s v="sem"/>
    <m/>
    <n v="172976"/>
    <n v="180570"/>
    <n v="36288"/>
    <n v="36960"/>
    <n v="17710"/>
    <n v="16697"/>
    <n v="188064"/>
    <n v="192492"/>
    <n v="415038"/>
    <n v="13834.6"/>
    <n v="426719"/>
    <n v="14223.966666666667"/>
    <n v="15054"/>
    <n v="14855"/>
    <n v="415038"/>
    <n v="426719"/>
    <n v="26264"/>
    <n v="50604"/>
    <n v="32974"/>
    <n v="46312"/>
    <n v="35338"/>
    <n v="37280"/>
    <n v="54335"/>
    <n v="28340"/>
    <n v="148911"/>
    <n v="165.45666666666668"/>
    <n v="162536"/>
    <n v="180.59555555555556"/>
    <m/>
    <m/>
    <n v="0"/>
    <n v="0"/>
  </r>
  <r>
    <x v="13"/>
    <s v="Brookhaven College  (DCCCD)"/>
    <m/>
    <n v="223524"/>
    <x v="7"/>
    <s v="sem"/>
    <m/>
    <n v="77664"/>
    <n v="75078"/>
    <n v="44488"/>
    <n v="48072"/>
    <n v="0"/>
    <n v="0"/>
    <n v="63012"/>
    <n v="65049"/>
    <n v="185164"/>
    <n v="6172.1333333333332"/>
    <n v="188199"/>
    <n v="6273.3"/>
    <n v="10725"/>
    <n v="11358"/>
    <n v="185164"/>
    <n v="188199"/>
    <n v="47875"/>
    <n v="45900"/>
    <n v="47612"/>
    <n v="49887"/>
    <n v="55297"/>
    <n v="61753"/>
    <n v="70277"/>
    <n v="72283"/>
    <n v="221061"/>
    <n v="245.62333333333333"/>
    <n v="229823"/>
    <n v="255.35888888888888"/>
    <m/>
    <m/>
    <n v="0"/>
    <n v="0"/>
  </r>
  <r>
    <x v="13"/>
    <s v="Central Texas College "/>
    <m/>
    <n v="223816"/>
    <x v="7"/>
    <s v="sem"/>
    <m/>
    <n v="109845"/>
    <n v="112824"/>
    <n v="71716"/>
    <n v="60545"/>
    <n v="2755"/>
    <n v="7292"/>
    <n v="88708"/>
    <n v="80869"/>
    <n v="273024"/>
    <n v="9100.7999999999993"/>
    <n v="261530"/>
    <n v="8717.6666666666661"/>
    <n v="16065"/>
    <n v="16164"/>
    <n v="273024"/>
    <n v="261530"/>
    <n v="55046"/>
    <n v="90859"/>
    <n v="70884"/>
    <n v="88222"/>
    <n v="71294"/>
    <n v="100807"/>
    <n v="86363"/>
    <n v="88136"/>
    <n v="283587"/>
    <n v="315.09666666666669"/>
    <n v="368024"/>
    <n v="408.91555555555556"/>
    <m/>
    <m/>
    <n v="0"/>
    <n v="0"/>
  </r>
  <r>
    <x v="13"/>
    <s v="Collin County Community College District"/>
    <m/>
    <n v="247834"/>
    <x v="7"/>
    <s v="sem"/>
    <m/>
    <n v="222394"/>
    <n v="220760"/>
    <n v="45826"/>
    <n v="62130"/>
    <n v="39430"/>
    <n v="0"/>
    <n v="231752"/>
    <n v="254521"/>
    <n v="539402"/>
    <n v="17980.066666666666"/>
    <n v="537411"/>
    <n v="17913.7"/>
    <n v="26725"/>
    <n v="31907"/>
    <n v="539402"/>
    <n v="537411"/>
    <n v="139918"/>
    <n v="156530"/>
    <n v="135402"/>
    <n v="108651"/>
    <n v="125410"/>
    <n v="140827"/>
    <n v="209134"/>
    <n v="226331"/>
    <n v="609864"/>
    <n v="677.62666666666667"/>
    <n v="632339"/>
    <n v="702.59888888888884"/>
    <m/>
    <m/>
    <n v="0"/>
    <n v="0"/>
  </r>
  <r>
    <x v="13"/>
    <s v="Del Mar College "/>
    <m/>
    <n v="224350"/>
    <x v="7"/>
    <s v="sem"/>
    <m/>
    <n v="78742"/>
    <n v="78898"/>
    <n v="20910"/>
    <n v="21794"/>
    <n v="9453"/>
    <n v="8751"/>
    <n v="82965"/>
    <n v="86258"/>
    <n v="192070"/>
    <n v="6402.333333333333"/>
    <n v="195701"/>
    <n v="6523.3666666666668"/>
    <n v="17656"/>
    <n v="22882"/>
    <n v="192070"/>
    <n v="195701"/>
    <n v="134321"/>
    <n v="130032"/>
    <n v="82829"/>
    <n v="89582"/>
    <n v="80002"/>
    <n v="68392"/>
    <n v="126364"/>
    <n v="340330"/>
    <n v="423516"/>
    <n v="470.57333333333332"/>
    <n v="628336"/>
    <n v="698.15111111111116"/>
    <m/>
    <m/>
    <n v="0"/>
    <n v="0"/>
  </r>
  <r>
    <x v="13"/>
    <s v="Eastfield College  (DCCCD)"/>
    <m/>
    <n v="224572"/>
    <x v="7"/>
    <s v="sem"/>
    <m/>
    <n v="98909"/>
    <n v="104046"/>
    <n v="55019"/>
    <n v="54829"/>
    <n v="0"/>
    <n v="0"/>
    <n v="82649"/>
    <n v="77686"/>
    <n v="236577"/>
    <n v="7885.9"/>
    <n v="236561"/>
    <n v="7885.3666666666668"/>
    <n v="22506"/>
    <n v="26052"/>
    <n v="236577"/>
    <n v="236561"/>
    <n v="54466"/>
    <n v="63715"/>
    <n v="53127"/>
    <n v="73818"/>
    <n v="58732"/>
    <n v="77246"/>
    <n v="83441"/>
    <n v="77972"/>
    <n v="249766"/>
    <n v="277.51777777777778"/>
    <n v="292751"/>
    <n v="325.2788888888889"/>
    <m/>
    <m/>
    <n v="0"/>
    <n v="0"/>
  </r>
  <r>
    <x v="13"/>
    <s v="El Centro College  (DCCCD)"/>
    <m/>
    <n v="224615"/>
    <x v="7"/>
    <s v="sem"/>
    <m/>
    <n v="74012"/>
    <n v="69440"/>
    <n v="25758"/>
    <n v="26077"/>
    <n v="0"/>
    <n v="0"/>
    <n v="63911"/>
    <n v="60371"/>
    <n v="163681"/>
    <n v="5456.0333333333338"/>
    <n v="155888"/>
    <n v="5196.2666666666664"/>
    <n v="12409"/>
    <n v="15090"/>
    <n v="163681"/>
    <n v="155888"/>
    <n v="286422"/>
    <n v="291136"/>
    <n v="309904"/>
    <n v="329586"/>
    <n v="249699"/>
    <n v="275549"/>
    <n v="294052"/>
    <n v="294081"/>
    <n v="1140077"/>
    <n v="1266.7522222222221"/>
    <n v="1190352"/>
    <n v="1322.6133333333332"/>
    <m/>
    <m/>
    <n v="0"/>
    <n v="0"/>
  </r>
  <r>
    <x v="13"/>
    <s v="El Paso County Community College District"/>
    <m/>
    <n v="224642"/>
    <x v="7"/>
    <s v="sem"/>
    <m/>
    <n v="229906"/>
    <n v="223941"/>
    <n v="56515"/>
    <n v="52906"/>
    <n v="0"/>
    <n v="0"/>
    <n v="243557"/>
    <n v="239078"/>
    <n v="529978"/>
    <n v="17665.933333333334"/>
    <n v="515925"/>
    <n v="17197.5"/>
    <n v="63137"/>
    <n v="74850"/>
    <n v="529978"/>
    <n v="515925"/>
    <n v="106392"/>
    <n v="108159"/>
    <n v="106368"/>
    <n v="103110"/>
    <n v="104162"/>
    <n v="120682"/>
    <n v="133083"/>
    <n v="132866"/>
    <n v="450005"/>
    <n v="500.00555555555553"/>
    <n v="464817"/>
    <n v="516.46333333333337"/>
    <m/>
    <m/>
    <n v="0"/>
    <n v="0"/>
  </r>
  <r>
    <x v="13"/>
    <s v="Houston Community College"/>
    <m/>
    <n v="225423"/>
    <x v="7"/>
    <s v="sem"/>
    <m/>
    <n v="469431"/>
    <n v="485439"/>
    <n v="265714"/>
    <n v="274483"/>
    <n v="0"/>
    <n v="0"/>
    <n v="355376"/>
    <n v="347588"/>
    <n v="1090521"/>
    <n v="36350.699999999997"/>
    <n v="1107510"/>
    <n v="36917"/>
    <n v="68884"/>
    <n v="72303"/>
    <n v="1090521"/>
    <n v="1107510"/>
    <n v="544076"/>
    <n v="627990"/>
    <n v="422407"/>
    <n v="486298"/>
    <n v="401685"/>
    <n v="439365"/>
    <n v="734509"/>
    <n v="760044"/>
    <n v="2102677"/>
    <n v="2336.3077777777776"/>
    <n v="2313697"/>
    <n v="2570.7744444444443"/>
    <m/>
    <m/>
    <n v="0"/>
    <n v="0"/>
  </r>
  <r>
    <x v="13"/>
    <s v="Kilgore College "/>
    <s v="Reclassified: Met the criteria for Two-Year 2 in 2013-14, 2014-15, and 2015-16."/>
    <n v="226019"/>
    <x v="6"/>
    <s v="sem"/>
    <m/>
    <n v="53214"/>
    <n v="48648"/>
    <n v="9682"/>
    <n v="8222"/>
    <n v="4654"/>
    <n v="3596"/>
    <n v="55116"/>
    <n v="51106"/>
    <n v="122666"/>
    <n v="4088.8666666666668"/>
    <n v="111572"/>
    <n v="3719.0666666666666"/>
    <n v="10223"/>
    <n v="10155"/>
    <n v="122666"/>
    <n v="111572"/>
    <n v="129968"/>
    <n v="137223"/>
    <n v="125494"/>
    <n v="123916"/>
    <n v="137340"/>
    <n v="155975"/>
    <n v="117676"/>
    <n v="93064"/>
    <n v="510478"/>
    <n v="567.19777777777779"/>
    <n v="510178"/>
    <n v="566.86444444444442"/>
    <m/>
    <m/>
    <n v="0"/>
    <n v="0"/>
  </r>
  <r>
    <x v="13"/>
    <s v="Laredo Community College "/>
    <m/>
    <n v="226134"/>
    <x v="7"/>
    <s v="sem"/>
    <m/>
    <n v="67677"/>
    <n v="65528"/>
    <n v="12840"/>
    <n v="12366"/>
    <n v="3936"/>
    <n v="4017"/>
    <n v="71207"/>
    <n v="68759"/>
    <n v="155660"/>
    <n v="5188.666666666667"/>
    <n v="150670"/>
    <n v="5022.333333333333"/>
    <n v="7936"/>
    <n v="9109"/>
    <n v="155660"/>
    <n v="150670"/>
    <n v="17416"/>
    <n v="22645"/>
    <n v="20396"/>
    <n v="27573"/>
    <n v="22574"/>
    <n v="27472"/>
    <n v="18956"/>
    <n v="17610"/>
    <n v="79342"/>
    <n v="88.157777777777781"/>
    <n v="95300"/>
    <n v="105.88888888888889"/>
    <m/>
    <m/>
    <n v="0"/>
    <n v="0"/>
  </r>
  <r>
    <x v="13"/>
    <s v="Lone Star College System District"/>
    <m/>
    <n v="227182"/>
    <x v="7"/>
    <s v="sem"/>
    <m/>
    <n v="526847"/>
    <n v="526670"/>
    <n v="247451"/>
    <n v="257257"/>
    <n v="0"/>
    <n v="0"/>
    <n v="484283"/>
    <n v="484207"/>
    <n v="1258581"/>
    <n v="41952.7"/>
    <n v="1268134"/>
    <n v="42271.133333333331"/>
    <n v="92883"/>
    <n v="113657"/>
    <n v="1258581"/>
    <n v="1268134"/>
    <n v="116390"/>
    <n v="147976"/>
    <n v="115399"/>
    <n v="150855"/>
    <n v="107093"/>
    <n v="116489"/>
    <n v="171524"/>
    <n v="179314"/>
    <n v="510406"/>
    <n v="567.11777777777775"/>
    <n v="594634"/>
    <n v="660.70444444444445"/>
    <m/>
    <m/>
    <n v="0"/>
    <n v="0"/>
  </r>
  <r>
    <x v="13"/>
    <s v="McLennan Community College "/>
    <m/>
    <n v="226578"/>
    <x v="7"/>
    <s v="sem"/>
    <m/>
    <n v="76488"/>
    <n v="73925"/>
    <n v="17501"/>
    <n v="17671"/>
    <n v="9455"/>
    <n v="9913"/>
    <n v="76749"/>
    <n v="75271"/>
    <n v="180193"/>
    <n v="6006.4333333333334"/>
    <n v="176780"/>
    <n v="5892.666666666667"/>
    <n v="9648"/>
    <n v="11567"/>
    <n v="180193"/>
    <n v="176780"/>
    <n v="47756"/>
    <n v="45371"/>
    <n v="33175"/>
    <n v="26415"/>
    <n v="56084"/>
    <n v="54811"/>
    <n v="42841"/>
    <n v="58285"/>
    <n v="179856"/>
    <n v="199.84"/>
    <n v="184882"/>
    <n v="205.42444444444445"/>
    <m/>
    <m/>
    <n v="0"/>
    <n v="0"/>
  </r>
  <r>
    <x v="13"/>
    <s v="Navarro College "/>
    <m/>
    <n v="227146"/>
    <x v="7"/>
    <s v="sem"/>
    <m/>
    <n v="95036"/>
    <n v="89473"/>
    <n v="19208"/>
    <n v="20694"/>
    <n v="7293"/>
    <n v="6298"/>
    <n v="91846"/>
    <n v="85634"/>
    <n v="213383"/>
    <n v="7112.7666666666664"/>
    <n v="202099"/>
    <n v="6736.6333333333332"/>
    <n v="30362"/>
    <n v="34270"/>
    <n v="213383"/>
    <n v="202099"/>
    <n v="44496"/>
    <n v="38819"/>
    <n v="47013"/>
    <n v="46989"/>
    <n v="51231"/>
    <n v="35110"/>
    <n v="53473"/>
    <n v="58321"/>
    <n v="196213"/>
    <n v="218.01444444444445"/>
    <n v="179239"/>
    <n v="199.15444444444444"/>
    <m/>
    <m/>
    <n v="0"/>
    <n v="0"/>
  </r>
  <r>
    <x v="13"/>
    <s v="North Central Texas Community College"/>
    <m/>
    <n v="224110"/>
    <x v="7"/>
    <s v="sem"/>
    <m/>
    <n v="80363"/>
    <n v="78630"/>
    <n v="24674"/>
    <n v="24398"/>
    <n v="0"/>
    <n v="0"/>
    <n v="83580"/>
    <n v="76457"/>
    <n v="188617"/>
    <n v="6287.2333333333336"/>
    <n v="179485"/>
    <n v="5982.833333333333"/>
    <n v="17801"/>
    <n v="16147"/>
    <n v="188617"/>
    <n v="179485"/>
    <n v="25462"/>
    <n v="17319"/>
    <n v="13858"/>
    <n v="7251"/>
    <n v="22816"/>
    <n v="10154"/>
    <n v="28863"/>
    <n v="19576"/>
    <n v="90999"/>
    <n v="101.11"/>
    <n v="54300"/>
    <n v="60.333333333333336"/>
    <m/>
    <m/>
    <n v="0"/>
    <n v="0"/>
  </r>
  <r>
    <x v="13"/>
    <s v="North Lake College  (DCCCD)"/>
    <m/>
    <n v="227191"/>
    <x v="7"/>
    <s v="sem"/>
    <m/>
    <n v="71263"/>
    <n v="68132"/>
    <n v="43865"/>
    <n v="42220"/>
    <n v="0"/>
    <n v="0"/>
    <n v="60791"/>
    <n v="57340"/>
    <n v="175919"/>
    <n v="5863.9666666666662"/>
    <n v="167692"/>
    <n v="5589.7333333333336"/>
    <n v="9413"/>
    <n v="9762"/>
    <n v="175919"/>
    <n v="167692"/>
    <n v="126657"/>
    <n v="133503"/>
    <n v="59743"/>
    <n v="132114"/>
    <n v="77419"/>
    <n v="103195"/>
    <n v="183545"/>
    <n v="216893"/>
    <n v="447364"/>
    <n v="497.07111111111112"/>
    <n v="585705"/>
    <n v="650.7833333333333"/>
    <m/>
    <m/>
    <n v="0"/>
    <n v="0"/>
  </r>
  <r>
    <x v="13"/>
    <s v="Northwest Vista College (ACCD)"/>
    <m/>
    <n v="420398"/>
    <x v="7"/>
    <s v="sem"/>
    <m/>
    <n v="121246"/>
    <n v="121549"/>
    <n v="40838"/>
    <n v="42171"/>
    <n v="0"/>
    <n v="0"/>
    <n v="119242"/>
    <n v="126459"/>
    <n v="281326"/>
    <n v="9377.5333333333328"/>
    <n v="290179"/>
    <n v="9672.6333333333332"/>
    <n v="25779"/>
    <n v="29434"/>
    <n v="281326"/>
    <n v="290179"/>
    <n v="11580"/>
    <n v="13052"/>
    <n v="20611"/>
    <n v="22794"/>
    <n v="18893"/>
    <n v="22328"/>
    <n v="19323"/>
    <n v="16037"/>
    <n v="70407"/>
    <n v="78.23"/>
    <n v="74211"/>
    <n v="82.456666666666663"/>
    <m/>
    <m/>
    <n v="0"/>
    <n v="0"/>
  </r>
  <r>
    <x v="13"/>
    <s v="Palo Alto College  (ACCD)"/>
    <s v="Met the criteria for Two-Year 2 in 2014-15 and 2015-16."/>
    <n v="246354"/>
    <x v="7"/>
    <s v="sem"/>
    <m/>
    <n v="62622"/>
    <n v="62146"/>
    <n v="26685"/>
    <n v="27960"/>
    <n v="0"/>
    <n v="0"/>
    <n v="56204"/>
    <n v="56708"/>
    <n v="145511"/>
    <n v="4850.3666666666668"/>
    <n v="146814"/>
    <n v="4893.8"/>
    <n v="14575"/>
    <n v="15970"/>
    <n v="145511"/>
    <n v="146814"/>
    <n v="35859"/>
    <n v="8340"/>
    <n v="39324"/>
    <n v="9478"/>
    <n v="39426"/>
    <n v="2832"/>
    <n v="17034"/>
    <n v="16524"/>
    <n v="131643"/>
    <n v="146.27000000000001"/>
    <n v="37174"/>
    <n v="41.304444444444442"/>
    <m/>
    <m/>
    <n v="0"/>
    <n v="0"/>
  </r>
  <r>
    <x v="13"/>
    <s v="Richland College  (DCCCD)"/>
    <m/>
    <n v="227766"/>
    <x v="7"/>
    <s v="sem"/>
    <m/>
    <n v="135958"/>
    <n v="135377"/>
    <n v="76165"/>
    <n v="74807"/>
    <n v="0"/>
    <n v="0"/>
    <n v="110908"/>
    <n v="112141"/>
    <n v="323031"/>
    <n v="10767.7"/>
    <n v="322325"/>
    <n v="10744.166666666666"/>
    <n v="35938"/>
    <n v="37140"/>
    <n v="323031"/>
    <n v="322325"/>
    <n v="126204"/>
    <n v="133327"/>
    <n v="147080"/>
    <n v="158354"/>
    <n v="140590"/>
    <n v="150596"/>
    <n v="176506"/>
    <n v="196736"/>
    <n v="590380"/>
    <n v="655.97777777777776"/>
    <n v="639013"/>
    <n v="710.01444444444439"/>
    <m/>
    <m/>
    <n v="0"/>
    <n v="0"/>
  </r>
  <r>
    <x v="13"/>
    <s v="San Antonio College (ACCD)"/>
    <m/>
    <n v="227924"/>
    <x v="7"/>
    <s v="sem"/>
    <m/>
    <n v="183914"/>
    <n v="167140"/>
    <n v="68187"/>
    <n v="64441"/>
    <n v="0"/>
    <n v="0"/>
    <n v="152037"/>
    <n v="136780"/>
    <n v="404138"/>
    <n v="13471.266666666666"/>
    <n v="368361"/>
    <n v="12278.7"/>
    <n v="28000"/>
    <n v="29763"/>
    <n v="404138"/>
    <n v="368361"/>
    <n v="40761"/>
    <n v="64687"/>
    <n v="55164"/>
    <n v="58639"/>
    <n v="69059"/>
    <n v="55450"/>
    <n v="73909"/>
    <n v="48012"/>
    <n v="238893"/>
    <n v="265.43666666666667"/>
    <n v="226788"/>
    <n v="251.98666666666668"/>
    <m/>
    <m/>
    <n v="0"/>
    <n v="0"/>
  </r>
  <r>
    <x v="13"/>
    <s v="San Jacinto College"/>
    <m/>
    <n v="227979"/>
    <x v="7"/>
    <s v="sem"/>
    <m/>
    <n v="237007"/>
    <n v="232986"/>
    <n v="102176"/>
    <n v="107137"/>
    <n v="0"/>
    <n v="0"/>
    <n v="222313"/>
    <n v="219630"/>
    <n v="561496"/>
    <n v="18716.533333333333"/>
    <n v="559753"/>
    <n v="18658.433333333334"/>
    <n v="33098"/>
    <n v="39056"/>
    <n v="561496"/>
    <n v="559753"/>
    <n v="86583"/>
    <n v="100816"/>
    <n v="55285"/>
    <n v="68733"/>
    <n v="72295"/>
    <n v="114969"/>
    <n v="108311"/>
    <n v="101482"/>
    <n v="322474"/>
    <n v="358.30444444444447"/>
    <n v="386000"/>
    <n v="428.88888888888891"/>
    <m/>
    <m/>
    <n v="0"/>
    <n v="0"/>
  </r>
  <r>
    <x v="13"/>
    <s v="South Plains College "/>
    <m/>
    <n v="228158"/>
    <x v="7"/>
    <s v="sem"/>
    <m/>
    <n v="85873"/>
    <n v="86540"/>
    <n v="13697"/>
    <n v="13479"/>
    <n v="6882"/>
    <n v="6696"/>
    <n v="93572"/>
    <n v="90191"/>
    <n v="200024"/>
    <n v="6667.4666666666662"/>
    <n v="196906"/>
    <n v="6563.5333333333338"/>
    <n v="18078"/>
    <n v="16574"/>
    <n v="200024"/>
    <n v="196906"/>
    <n v="42860"/>
    <n v="54026"/>
    <n v="59755"/>
    <n v="62626"/>
    <n v="51848"/>
    <n v="54780"/>
    <n v="65397"/>
    <n v="71749"/>
    <n v="219860"/>
    <n v="244.28888888888889"/>
    <n v="243181"/>
    <n v="270.20111111111112"/>
    <m/>
    <m/>
    <n v="0"/>
    <n v="0"/>
  </r>
  <r>
    <x v="13"/>
    <s v="St. Philip's College  (ACCD)"/>
    <m/>
    <n v="227854"/>
    <x v="7"/>
    <s v="sem"/>
    <m/>
    <n v="75400"/>
    <n v="80150"/>
    <n v="31386"/>
    <n v="34872"/>
    <n v="0"/>
    <n v="0"/>
    <n v="67031"/>
    <n v="69848"/>
    <n v="173817"/>
    <n v="5793.9"/>
    <n v="184870"/>
    <n v="6162.333333333333"/>
    <n v="18269"/>
    <n v="26669"/>
    <n v="173817"/>
    <n v="184870"/>
    <n v="18274"/>
    <n v="35755"/>
    <n v="22232"/>
    <n v="33708"/>
    <n v="20209"/>
    <n v="32559"/>
    <n v="27477"/>
    <n v="28255"/>
    <n v="88192"/>
    <n v="97.99111111111111"/>
    <n v="130277"/>
    <n v="144.75222222222223"/>
    <m/>
    <m/>
    <n v="0"/>
    <n v="0"/>
  </r>
  <r>
    <x v="13"/>
    <s v="Tarrant County College"/>
    <m/>
    <n v="228547"/>
    <x v="7"/>
    <s v="sem"/>
    <m/>
    <n v="393671"/>
    <n v="388247"/>
    <n v="210796"/>
    <n v="199216"/>
    <n v="0"/>
    <n v="0"/>
    <n v="362706"/>
    <n v="364906"/>
    <n v="967173"/>
    <n v="32239.1"/>
    <n v="952369"/>
    <n v="31745.633333333335"/>
    <n v="61116"/>
    <n v="49687"/>
    <n v="967173"/>
    <n v="952369"/>
    <n v="157768"/>
    <n v="200454"/>
    <n v="241323"/>
    <n v="190411"/>
    <n v="177499"/>
    <n v="186594"/>
    <n v="239440"/>
    <n v="225357"/>
    <n v="816030"/>
    <n v="906.7"/>
    <n v="802816"/>
    <n v="892.01777777777772"/>
    <m/>
    <m/>
    <n v="0"/>
    <n v="0"/>
  </r>
  <r>
    <x v="13"/>
    <s v="Trinity Valley Community College"/>
    <m/>
    <n v="225308"/>
    <x v="7"/>
    <s v="sem"/>
    <m/>
    <n v="60952"/>
    <n v="58850"/>
    <n v="14005"/>
    <n v="12876"/>
    <n v="11834"/>
    <n v="11288"/>
    <n v="61545"/>
    <n v="58858"/>
    <n v="148336"/>
    <n v="4944.5333333333338"/>
    <n v="141872"/>
    <n v="4729.0666666666666"/>
    <n v="16675"/>
    <n v="22796"/>
    <n v="148336"/>
    <n v="141872"/>
    <n v="36919"/>
    <n v="73122"/>
    <n v="39048"/>
    <n v="41052"/>
    <n v="83453"/>
    <n v="82730"/>
    <n v="70648"/>
    <n v="65378"/>
    <n v="230068"/>
    <n v="255.63111111111112"/>
    <n v="262282"/>
    <n v="291.42444444444442"/>
    <m/>
    <m/>
    <n v="0"/>
    <n v="0"/>
  </r>
  <r>
    <x v="13"/>
    <s v="Tyler Junior College "/>
    <m/>
    <n v="229355"/>
    <x v="7"/>
    <s v="sem"/>
    <m/>
    <n v="103420"/>
    <n v="103583"/>
    <n v="27472"/>
    <n v="25643"/>
    <n v="7383"/>
    <n v="7056"/>
    <n v="99722"/>
    <n v="96088"/>
    <n v="237997"/>
    <n v="7933.2333333333336"/>
    <n v="232370"/>
    <n v="7745.666666666667"/>
    <n v="18728"/>
    <n v="19804"/>
    <n v="237997"/>
    <n v="232370"/>
    <n v="55961"/>
    <n v="58370"/>
    <n v="55932"/>
    <n v="31229"/>
    <n v="60819"/>
    <n v="44245"/>
    <n v="54138"/>
    <n v="46697"/>
    <n v="226850"/>
    <n v="252.05555555555554"/>
    <n v="180541"/>
    <n v="200.60111111111112"/>
    <m/>
    <m/>
    <n v="0"/>
    <n v="0"/>
  </r>
  <r>
    <x v="13"/>
    <s v="Alvin Community College "/>
    <m/>
    <n v="222567"/>
    <x v="6"/>
    <s v="sem"/>
    <m/>
    <n v="40060"/>
    <n v="39806"/>
    <n v="18000"/>
    <n v="17370"/>
    <n v="0"/>
    <n v="0"/>
    <n v="39950"/>
    <n v="40333"/>
    <n v="98010"/>
    <n v="3267"/>
    <n v="97509"/>
    <n v="3250.3"/>
    <n v="15234"/>
    <n v="16792"/>
    <n v="98010"/>
    <n v="97509"/>
    <n v="25126"/>
    <n v="32476"/>
    <n v="27785"/>
    <n v="30660"/>
    <n v="23173"/>
    <n v="35120"/>
    <n v="37041"/>
    <n v="23917"/>
    <n v="113125"/>
    <n v="125.69444444444444"/>
    <n v="122173"/>
    <n v="135.74777777777777"/>
    <m/>
    <m/>
    <n v="0"/>
    <n v="0"/>
  </r>
  <r>
    <x v="13"/>
    <s v="Angelina College "/>
    <m/>
    <n v="222822"/>
    <x v="6"/>
    <s v="sem"/>
    <m/>
    <n v="42311"/>
    <n v="40585"/>
    <n v="7862"/>
    <n v="7499"/>
    <n v="4053"/>
    <n v="4345"/>
    <n v="43565"/>
    <n v="42371"/>
    <n v="97791"/>
    <n v="3259.7"/>
    <n v="94800"/>
    <n v="3160"/>
    <n v="14979"/>
    <n v="15867"/>
    <n v="97791"/>
    <n v="94800"/>
    <n v="46903"/>
    <n v="80767"/>
    <n v="46789"/>
    <n v="16796"/>
    <n v="79345"/>
    <n v="81471"/>
    <n v="42710"/>
    <n v="43712"/>
    <n v="215747"/>
    <n v="239.7188888888889"/>
    <n v="222746"/>
    <n v="247.49555555555557"/>
    <m/>
    <m/>
    <n v="0"/>
    <n v="0"/>
  </r>
  <r>
    <x v="13"/>
    <s v="Cedar Valley College  (DCCCD)"/>
    <m/>
    <n v="223773"/>
    <x v="6"/>
    <s v="sem"/>
    <m/>
    <n v="44312"/>
    <n v="43999"/>
    <n v="22875"/>
    <n v="25497"/>
    <n v="0"/>
    <n v="0"/>
    <n v="36712"/>
    <n v="37118"/>
    <n v="103899"/>
    <n v="3463.3"/>
    <n v="106614"/>
    <n v="3553.8"/>
    <n v="14767"/>
    <n v="17439"/>
    <n v="103899"/>
    <n v="106614"/>
    <n v="25955"/>
    <n v="42851"/>
    <n v="36752"/>
    <n v="48234"/>
    <n v="42779"/>
    <n v="33029"/>
    <n v="37631"/>
    <n v="68273"/>
    <n v="143117"/>
    <n v="159.01888888888888"/>
    <n v="192387"/>
    <n v="213.76333333333332"/>
    <m/>
    <m/>
    <n v="0"/>
    <n v="0"/>
  </r>
  <r>
    <x v="13"/>
    <s v="Cisco Junior College"/>
    <m/>
    <n v="223898"/>
    <x v="6"/>
    <s v="sem"/>
    <m/>
    <n v="33568"/>
    <n v="32444"/>
    <n v="5885"/>
    <n v="5614"/>
    <n v="1885"/>
    <n v="1801"/>
    <n v="33765"/>
    <n v="31207"/>
    <n v="75103"/>
    <n v="2503.4333333333334"/>
    <n v="71066"/>
    <n v="2368.8666666666668"/>
    <n v="7846"/>
    <n v="8040"/>
    <n v="75103"/>
    <n v="71066"/>
    <n v="2040"/>
    <n v="1968"/>
    <n v="7352"/>
    <n v="4224"/>
    <n v="6652"/>
    <n v="2700"/>
    <n v="3672"/>
    <n v="7620"/>
    <n v="19716"/>
    <n v="21.906666666666666"/>
    <n v="16512"/>
    <n v="18.346666666666668"/>
    <m/>
    <m/>
    <n v="0"/>
    <n v="0"/>
  </r>
  <r>
    <x v="13"/>
    <s v="Coastal Bend College"/>
    <m/>
    <n v="223320"/>
    <x v="6"/>
    <s v="sem"/>
    <m/>
    <n v="29193"/>
    <n v="31051"/>
    <n v="7157"/>
    <n v="6445"/>
    <n v="2010"/>
    <n v="3212"/>
    <n v="32315"/>
    <n v="35280"/>
    <n v="70675"/>
    <n v="2355.8333333333335"/>
    <n v="75988"/>
    <n v="2532.9333333333334"/>
    <n v="9371"/>
    <n v="13740"/>
    <n v="70675"/>
    <n v="75988"/>
    <n v="42425"/>
    <n v="30553"/>
    <n v="85443"/>
    <n v="47851"/>
    <n v="60195"/>
    <n v="42918"/>
    <n v="29058"/>
    <n v="62204"/>
    <n v="217121"/>
    <n v="241.24555555555557"/>
    <n v="183526"/>
    <n v="203.91777777777779"/>
    <m/>
    <m/>
    <n v="0"/>
    <n v="0"/>
  </r>
  <r>
    <x v="13"/>
    <s v="College of the Mainland"/>
    <m/>
    <n v="226408"/>
    <x v="6"/>
    <s v="sem"/>
    <m/>
    <n v="33329"/>
    <n v="32025"/>
    <n v="8494"/>
    <n v="7189"/>
    <n v="6762"/>
    <n v="6237"/>
    <n v="30577"/>
    <n v="30814"/>
    <n v="79162"/>
    <n v="2638.7333333333331"/>
    <n v="76265"/>
    <n v="2542.1666666666665"/>
    <n v="14087"/>
    <n v="14165"/>
    <n v="79162"/>
    <n v="76265"/>
    <n v="27232"/>
    <n v="46317"/>
    <n v="29172"/>
    <n v="23915"/>
    <n v="34974"/>
    <n v="34422"/>
    <n v="28486"/>
    <n v="19956"/>
    <n v="119864"/>
    <n v="133.18222222222221"/>
    <n v="124610"/>
    <n v="138.45555555555555"/>
    <m/>
    <m/>
    <n v="0"/>
    <n v="0"/>
  </r>
  <r>
    <x v="13"/>
    <s v="Grayson County College "/>
    <m/>
    <n v="225070"/>
    <x v="6"/>
    <s v="sem"/>
    <m/>
    <n v="43095"/>
    <n v="40085"/>
    <n v="9040"/>
    <n v="7662"/>
    <n v="2461"/>
    <n v="2816"/>
    <n v="43465"/>
    <n v="41111"/>
    <n v="98061"/>
    <n v="3268.7"/>
    <n v="91674"/>
    <n v="3055.8"/>
    <n v="7499"/>
    <n v="8366"/>
    <n v="98061"/>
    <n v="91674"/>
    <n v="15078"/>
    <n v="14929"/>
    <n v="16341"/>
    <n v="15581"/>
    <n v="17411"/>
    <n v="11852"/>
    <n v="17244"/>
    <n v="17688"/>
    <n v="66074"/>
    <n v="73.415555555555557"/>
    <n v="60050"/>
    <n v="66.722222222222229"/>
    <m/>
    <m/>
    <n v="0"/>
    <n v="0"/>
  </r>
  <r>
    <x v="13"/>
    <s v="Hill College"/>
    <m/>
    <n v="225371"/>
    <x v="6"/>
    <s v="sem"/>
    <m/>
    <n v="37823"/>
    <n v="34973"/>
    <n v="9797"/>
    <n v="7866"/>
    <n v="2389"/>
    <n v="2511"/>
    <n v="36019"/>
    <n v="34261"/>
    <n v="86028"/>
    <n v="2867.6"/>
    <n v="79611"/>
    <n v="2653.7"/>
    <n v="8995"/>
    <n v="10006"/>
    <n v="86028"/>
    <n v="79611"/>
    <n v="27226"/>
    <n v="33517"/>
    <n v="17008"/>
    <n v="25684"/>
    <n v="24594"/>
    <n v="16214"/>
    <n v="31001"/>
    <n v="25314"/>
    <n v="99829"/>
    <n v="110.92111111111112"/>
    <n v="100729"/>
    <n v="111.92111111111112"/>
    <m/>
    <m/>
    <n v="0"/>
    <n v="0"/>
  </r>
  <r>
    <x v="13"/>
    <s v="Howard College (HCJCD)"/>
    <m/>
    <n v="225520"/>
    <x v="6"/>
    <s v="sem"/>
    <m/>
    <n v="30120"/>
    <n v="26056"/>
    <n v="3224"/>
    <n v="3688"/>
    <n v="1703"/>
    <n v="1600"/>
    <n v="29394"/>
    <n v="29553"/>
    <n v="64441"/>
    <n v="2148.0333333333333"/>
    <n v="60897"/>
    <n v="2029.9"/>
    <n v="16398"/>
    <n v="17667"/>
    <n v="64441"/>
    <n v="60897"/>
    <n v="173459"/>
    <n v="130658"/>
    <n v="172296"/>
    <n v="128260"/>
    <n v="152628"/>
    <n v="140947"/>
    <n v="166857"/>
    <n v="131190"/>
    <n v="665240"/>
    <n v="739.15555555555557"/>
    <n v="531055"/>
    <n v="590.06111111111113"/>
    <m/>
    <m/>
    <n v="0"/>
    <n v="0"/>
  </r>
  <r>
    <x v="13"/>
    <s v="Lamar Institute of Technology"/>
    <m/>
    <n v="441760"/>
    <x v="6"/>
    <s v="sem"/>
    <m/>
    <n v="26622"/>
    <n v="25250"/>
    <n v="5044"/>
    <n v="5287"/>
    <n v="0"/>
    <n v="0"/>
    <n v="27306"/>
    <n v="28508"/>
    <n v="58972"/>
    <n v="1965.7333333333333"/>
    <n v="59045"/>
    <n v="1968.1666666666667"/>
    <n v="1150"/>
    <n v="594"/>
    <n v="58972"/>
    <n v="59045"/>
    <n v="25782"/>
    <n v="32443"/>
    <n v="36757"/>
    <n v="36368"/>
    <n v="31080"/>
    <n v="39479"/>
    <n v="35028"/>
    <n v="43894"/>
    <n v="128647"/>
    <n v="142.9411111111111"/>
    <n v="152184"/>
    <n v="169.09333333333333"/>
    <m/>
    <m/>
    <n v="0"/>
    <n v="0"/>
  </r>
  <r>
    <x v="13"/>
    <s v="Lamar State College-Port Arthur"/>
    <s v="Met the criteria for Two-Year 3 in 2014-15 and 2015-16."/>
    <n v="226116"/>
    <x v="6"/>
    <s v="sem"/>
    <m/>
    <n v="19388"/>
    <n v="17861"/>
    <n v="6567"/>
    <n v="3677"/>
    <n v="1524"/>
    <n v="1033"/>
    <n v="18864"/>
    <n v="16406"/>
    <n v="46343"/>
    <n v="1544.7666666666667"/>
    <n v="38977"/>
    <n v="1299.2333333333333"/>
    <n v="1872"/>
    <n v="2044"/>
    <n v="46343"/>
    <n v="38977"/>
    <n v="68928"/>
    <n v="37069"/>
    <n v="60032"/>
    <n v="111008"/>
    <n v="76256"/>
    <n v="33150"/>
    <n v="124928"/>
    <n v="116712"/>
    <n v="330144"/>
    <n v="366.82666666666665"/>
    <n v="297939"/>
    <n v="331.04333333333335"/>
    <m/>
    <m/>
    <n v="0"/>
    <n v="0"/>
  </r>
  <r>
    <x v="13"/>
    <s v="Lee College "/>
    <m/>
    <n v="226204"/>
    <x v="6"/>
    <s v="sem"/>
    <m/>
    <n v="52220"/>
    <n v="54083"/>
    <n v="24424"/>
    <n v="24513"/>
    <n v="3533"/>
    <n v="3064"/>
    <n v="50800"/>
    <n v="48328"/>
    <n v="130977"/>
    <n v="4365.8999999999996"/>
    <n v="129988"/>
    <n v="4332.9333333333334"/>
    <n v="11123"/>
    <n v="13945"/>
    <n v="130977"/>
    <n v="129988"/>
    <n v="18609"/>
    <n v="10710"/>
    <n v="13393"/>
    <n v="12122"/>
    <n v="19059"/>
    <n v="12554"/>
    <n v="20261"/>
    <n v="29938"/>
    <n v="71322"/>
    <n v="79.24666666666667"/>
    <n v="65324"/>
    <n v="72.582222222222228"/>
    <m/>
    <m/>
    <n v="0"/>
    <n v="0"/>
  </r>
  <r>
    <x v="13"/>
    <s v="Mountain View College  (DCCCD)"/>
    <m/>
    <n v="226930"/>
    <x v="6"/>
    <s v="sem"/>
    <m/>
    <n v="56097"/>
    <n v="54614"/>
    <n v="28643"/>
    <n v="32096"/>
    <n v="0"/>
    <n v="0"/>
    <n v="54517"/>
    <n v="57131"/>
    <n v="139257"/>
    <n v="4641.8999999999996"/>
    <n v="143841"/>
    <n v="4794.7"/>
    <n v="12634"/>
    <n v="17760"/>
    <n v="139257"/>
    <n v="143841"/>
    <n v="21784"/>
    <n v="26871"/>
    <n v="28211"/>
    <n v="30151"/>
    <n v="42045"/>
    <n v="49020"/>
    <n v="30349"/>
    <n v="30892"/>
    <n v="122389"/>
    <n v="135.98777777777778"/>
    <n v="136934"/>
    <n v="152.14888888888888"/>
    <m/>
    <m/>
    <n v="0"/>
    <n v="0"/>
  </r>
  <r>
    <x v="13"/>
    <s v="Northeast Texas Community College "/>
    <s v="Met the criteria for Two-Year 3 in 2015-16."/>
    <n v="227225"/>
    <x v="6"/>
    <s v="sem"/>
    <m/>
    <n v="29311"/>
    <n v="26425"/>
    <n v="5979"/>
    <n v="4506"/>
    <n v="0"/>
    <n v="0"/>
    <n v="32001"/>
    <n v="25978"/>
    <n v="67291"/>
    <n v="2243.0333333333333"/>
    <n v="56909"/>
    <n v="1896.9666666666667"/>
    <n v="5944"/>
    <n v="3415"/>
    <n v="67291"/>
    <n v="56909"/>
    <n v="5095"/>
    <n v="6237"/>
    <n v="7031"/>
    <n v="13063"/>
    <n v="7314"/>
    <n v="9845"/>
    <n v="6495"/>
    <n v="15802"/>
    <n v="25935"/>
    <n v="28.816666666666666"/>
    <n v="44947"/>
    <n v="49.941111111111113"/>
    <m/>
    <m/>
    <n v="0"/>
    <n v="0"/>
  </r>
  <r>
    <x v="13"/>
    <s v="Odessa College "/>
    <m/>
    <n v="227304"/>
    <x v="6"/>
    <s v="sem"/>
    <m/>
    <n v="39704"/>
    <n v="40295"/>
    <n v="8125"/>
    <n v="18956"/>
    <n v="4646"/>
    <n v="5126"/>
    <n v="29408"/>
    <n v="45361"/>
    <n v="81883"/>
    <n v="2729.4333333333334"/>
    <n v="109738"/>
    <n v="3657.9333333333334"/>
    <n v="12581"/>
    <n v="15099"/>
    <n v="81883"/>
    <n v="109738"/>
    <n v="69379"/>
    <n v="95680"/>
    <n v="81241"/>
    <n v="58820"/>
    <n v="81996"/>
    <n v="81181"/>
    <n v="85151"/>
    <n v="81454"/>
    <n v="317767"/>
    <n v="353.07444444444445"/>
    <n v="317135"/>
    <n v="352.37222222222221"/>
    <m/>
    <m/>
    <n v="0"/>
    <n v="0"/>
  </r>
  <r>
    <x v="13"/>
    <s v="Paris Junior College"/>
    <m/>
    <n v="227401"/>
    <x v="6"/>
    <s v="sem"/>
    <m/>
    <n v="46875"/>
    <n v="44847"/>
    <n v="11566"/>
    <n v="10828"/>
    <n v="5215"/>
    <n v="4807"/>
    <n v="48445"/>
    <n v="45945"/>
    <n v="112101"/>
    <n v="3736.7"/>
    <n v="106427"/>
    <n v="3547.5666666666666"/>
    <n v="13594"/>
    <n v="15088"/>
    <n v="112101"/>
    <n v="106427"/>
    <n v="19094"/>
    <n v="29825"/>
    <n v="14202"/>
    <n v="22497"/>
    <n v="30820"/>
    <n v="10301"/>
    <n v="15846"/>
    <n v="46343"/>
    <n v="79962"/>
    <n v="88.846666666666664"/>
    <n v="108966"/>
    <n v="121.07333333333334"/>
    <m/>
    <m/>
    <n v="0"/>
    <n v="0"/>
  </r>
  <r>
    <x v="13"/>
    <s v="Southwest Texas Junior College "/>
    <m/>
    <n v="228316"/>
    <x v="6"/>
    <s v="sem"/>
    <m/>
    <n v="42155"/>
    <n v="42948"/>
    <n v="6168"/>
    <n v="6668"/>
    <n v="3410"/>
    <n v="4139"/>
    <n v="46853"/>
    <n v="46902"/>
    <n v="98586"/>
    <n v="3286.2"/>
    <n v="100657"/>
    <n v="3355.2333333333331"/>
    <n v="16418"/>
    <n v="17172"/>
    <n v="98586"/>
    <n v="100657"/>
    <n v="22928"/>
    <n v="10052"/>
    <n v="17733"/>
    <n v="15014"/>
    <n v="31768"/>
    <n v="40085"/>
    <n v="18258"/>
    <n v="10304"/>
    <n v="90687"/>
    <n v="100.76333333333334"/>
    <n v="75455"/>
    <n v="83.838888888888889"/>
    <m/>
    <m/>
    <n v="0"/>
    <n v="0"/>
  </r>
  <r>
    <x v="13"/>
    <s v="Temple College "/>
    <m/>
    <n v="228608"/>
    <x v="6"/>
    <s v="sem"/>
    <m/>
    <n v="47324"/>
    <n v="44901"/>
    <n v="12927"/>
    <n v="12076"/>
    <n v="0"/>
    <n v="0"/>
    <n v="48338"/>
    <n v="46935"/>
    <n v="108589"/>
    <n v="3619.6333333333332"/>
    <n v="103912"/>
    <n v="3463.7333333333331"/>
    <n v="12723"/>
    <n v="13259"/>
    <n v="108589"/>
    <n v="103912"/>
    <n v="17938"/>
    <n v="20324"/>
    <n v="29383"/>
    <n v="22900"/>
    <n v="36789"/>
    <n v="19955"/>
    <n v="48065"/>
    <n v="37995"/>
    <n v="132175"/>
    <n v="146.86111111111111"/>
    <n v="101174"/>
    <n v="112.41555555555556"/>
    <m/>
    <m/>
    <n v="0"/>
    <n v="0"/>
  </r>
  <r>
    <x v="13"/>
    <s v="Texarkana College "/>
    <m/>
    <n v="228699"/>
    <x v="6"/>
    <s v="sem"/>
    <m/>
    <n v="33284"/>
    <n v="31878"/>
    <n v="7559"/>
    <n v="6844"/>
    <n v="0"/>
    <n v="0"/>
    <n v="37412"/>
    <n v="37406"/>
    <n v="78255"/>
    <n v="2608.5"/>
    <n v="76128"/>
    <n v="2537.6"/>
    <n v="12234"/>
    <n v="13993"/>
    <n v="78255"/>
    <n v="76128"/>
    <n v="78331"/>
    <n v="82945"/>
    <n v="72495"/>
    <n v="77155"/>
    <n v="70611"/>
    <n v="70724"/>
    <n v="82088"/>
    <n v="93032"/>
    <n v="303525"/>
    <n v="337.25"/>
    <n v="323856"/>
    <n v="359.84"/>
    <m/>
    <m/>
    <n v="0"/>
    <n v="0"/>
  </r>
  <r>
    <x v="13"/>
    <s v="Texas Southmost College "/>
    <m/>
    <n v="229072"/>
    <x v="6"/>
    <s v="sem"/>
    <m/>
    <n v="31913"/>
    <n v="34144"/>
    <n v="3630"/>
    <n v="2395"/>
    <n v="1566"/>
    <n v="2533"/>
    <n v="31221"/>
    <n v="31235"/>
    <n v="68330"/>
    <n v="2277.6666666666665"/>
    <n v="70307"/>
    <n v="2343.5666666666666"/>
    <n v="8434"/>
    <n v="10397"/>
    <n v="68330"/>
    <n v="70307"/>
    <n v="18206"/>
    <n v="33532"/>
    <n v="10314"/>
    <n v="10040"/>
    <n v="13261"/>
    <n v="13840"/>
    <n v="10289"/>
    <n v="13080"/>
    <n v="52070"/>
    <n v="57.855555555555554"/>
    <n v="70492"/>
    <n v="78.324444444444438"/>
    <m/>
    <m/>
    <n v="0"/>
    <n v="0"/>
  </r>
  <r>
    <x v="13"/>
    <s v="Texas State Technical College-Harlingen "/>
    <m/>
    <n v="229319"/>
    <x v="6"/>
    <s v="sem"/>
    <m/>
    <n v="47499"/>
    <n v="43512"/>
    <n v="24954"/>
    <n v="24557"/>
    <n v="0"/>
    <n v="0"/>
    <n v="48953"/>
    <n v="43519"/>
    <n v="121406"/>
    <n v="4046.8666666666668"/>
    <n v="111588"/>
    <n v="3719.6"/>
    <n v="11878"/>
    <n v="12502"/>
    <n v="121406"/>
    <n v="111588"/>
    <n v="17315"/>
    <n v="29972"/>
    <n v="34400"/>
    <n v="55465"/>
    <n v="26702"/>
    <n v="34193"/>
    <n v="43128"/>
    <n v="30247"/>
    <n v="121545"/>
    <n v="135.05000000000001"/>
    <n v="149877"/>
    <n v="166.53"/>
    <m/>
    <m/>
    <n v="0"/>
    <n v="0"/>
  </r>
  <r>
    <x v="13"/>
    <s v="Texas State Technical College-Waco"/>
    <m/>
    <n v="228680"/>
    <x v="6"/>
    <s v="sem"/>
    <m/>
    <n v="42113"/>
    <n v="40694"/>
    <n v="30321"/>
    <n v="29051"/>
    <n v="0"/>
    <n v="0"/>
    <n v="45027"/>
    <n v="41289"/>
    <n v="117461"/>
    <n v="3915.3666666666668"/>
    <n v="111034"/>
    <n v="3701.1333333333332"/>
    <n v="2593"/>
    <n v="3614"/>
    <n v="117461"/>
    <n v="111034"/>
    <n v="0"/>
    <n v="3980"/>
    <n v="0"/>
    <n v="3800"/>
    <n v="408"/>
    <n v="1128"/>
    <n v="0"/>
    <n v="0"/>
    <n v="408"/>
    <n v="0.45333333333333331"/>
    <n v="8908"/>
    <n v="9.8977777777777778"/>
    <m/>
    <m/>
    <n v="0"/>
    <n v="0"/>
  </r>
  <r>
    <x v="13"/>
    <s v="Vernon College "/>
    <m/>
    <n v="229504"/>
    <x v="6"/>
    <s v="sem"/>
    <m/>
    <n v="27731"/>
    <n v="25202"/>
    <n v="3583"/>
    <n v="2997"/>
    <n v="4988"/>
    <n v="4565"/>
    <n v="26535"/>
    <n v="25557"/>
    <n v="62837"/>
    <n v="2094.5666666666666"/>
    <n v="58321"/>
    <n v="1944.0333333333333"/>
    <n v="3930"/>
    <n v="4375"/>
    <n v="62837"/>
    <n v="58321"/>
    <n v="69618"/>
    <n v="65312"/>
    <n v="49850"/>
    <n v="50689"/>
    <n v="27881"/>
    <n v="35088"/>
    <n v="87970"/>
    <n v="89631"/>
    <n v="235319"/>
    <n v="261.46555555555557"/>
    <n v="240720"/>
    <n v="267.46666666666664"/>
    <m/>
    <m/>
    <n v="0"/>
    <n v="0"/>
  </r>
  <r>
    <x v="13"/>
    <s v="Victoria College "/>
    <m/>
    <n v="229540"/>
    <x v="6"/>
    <s v="sem"/>
    <m/>
    <n v="32050"/>
    <n v="29339"/>
    <n v="9265"/>
    <n v="9092"/>
    <n v="0"/>
    <n v="0"/>
    <n v="32589"/>
    <n v="32053"/>
    <n v="73904"/>
    <n v="2463.4666666666667"/>
    <n v="70484"/>
    <n v="2349.4666666666667"/>
    <n v="5789"/>
    <n v="6117"/>
    <n v="73904"/>
    <n v="70484"/>
    <n v="38823"/>
    <n v="50333"/>
    <n v="34281"/>
    <n v="19263"/>
    <n v="35281"/>
    <n v="38952"/>
    <n v="56510"/>
    <n v="63824"/>
    <n v="164895"/>
    <n v="183.21666666666667"/>
    <n v="172372"/>
    <n v="191.52444444444444"/>
    <m/>
    <m/>
    <n v="0"/>
    <n v="0"/>
  </r>
  <r>
    <x v="13"/>
    <s v="Weatherford College "/>
    <m/>
    <n v="229799"/>
    <x v="6"/>
    <s v="sem"/>
    <m/>
    <n v="48945"/>
    <n v="46464"/>
    <n v="7942"/>
    <n v="7626"/>
    <n v="5092"/>
    <n v="4464"/>
    <n v="51040"/>
    <n v="48854"/>
    <n v="113019"/>
    <n v="3767.3"/>
    <n v="107408"/>
    <n v="3580.2666666666669"/>
    <n v="8832"/>
    <n v="10827"/>
    <n v="113019"/>
    <n v="107408"/>
    <n v="76554"/>
    <n v="149568"/>
    <n v="31758"/>
    <n v="30466"/>
    <n v="26585"/>
    <n v="42369"/>
    <n v="181025"/>
    <n v="211390"/>
    <n v="315922"/>
    <n v="351.02444444444444"/>
    <n v="433793"/>
    <n v="481.99222222222221"/>
    <m/>
    <m/>
    <n v="0"/>
    <n v="0"/>
  </r>
  <r>
    <x v="13"/>
    <s v="Wharton County Junior College "/>
    <m/>
    <n v="229841"/>
    <x v="6"/>
    <s v="sem"/>
    <m/>
    <n v="61620"/>
    <n v="59698"/>
    <n v="12969"/>
    <n v="13036"/>
    <n v="6456"/>
    <n v="6056"/>
    <n v="64010"/>
    <n v="65723"/>
    <n v="145055"/>
    <n v="4835.166666666667"/>
    <n v="144513"/>
    <n v="4817.1000000000004"/>
    <n v="9463"/>
    <n v="9399"/>
    <n v="145055"/>
    <n v="144513"/>
    <n v="13299"/>
    <n v="13943"/>
    <n v="9329"/>
    <n v="7840"/>
    <n v="11456"/>
    <n v="12724"/>
    <n v="13163"/>
    <n v="10761"/>
    <n v="47247"/>
    <n v="52.49666666666667"/>
    <n v="45268"/>
    <n v="50.297777777777775"/>
    <m/>
    <m/>
    <n v="0"/>
    <n v="0"/>
  </r>
  <r>
    <x v="13"/>
    <s v="Clarendon College "/>
    <m/>
    <n v="223922"/>
    <x v="8"/>
    <s v="sem"/>
    <m/>
    <n v="12269"/>
    <n v="11211"/>
    <n v="2838"/>
    <n v="2541"/>
    <n v="933"/>
    <n v="738"/>
    <n v="12405"/>
    <n v="12907"/>
    <n v="28445"/>
    <n v="948.16666666666663"/>
    <n v="27397"/>
    <n v="913.23333333333335"/>
    <n v="3463"/>
    <n v="4439"/>
    <n v="28445"/>
    <n v="27397"/>
    <n v="6322"/>
    <n v="5898"/>
    <n v="8536"/>
    <n v="6427"/>
    <n v="1862"/>
    <n v="1572"/>
    <n v="1680"/>
    <n v="6862"/>
    <n v="18400"/>
    <n v="20.444444444444443"/>
    <n v="20759"/>
    <n v="23.065555555555555"/>
    <m/>
    <m/>
    <n v="0"/>
    <n v="0"/>
  </r>
  <r>
    <x v="13"/>
    <s v="Frank Phillips College "/>
    <m/>
    <n v="224891"/>
    <x v="8"/>
    <s v="sem"/>
    <m/>
    <n v="9846"/>
    <n v="11655"/>
    <n v="1417"/>
    <n v="1641"/>
    <n v="466"/>
    <n v="618"/>
    <n v="11920"/>
    <n v="12372"/>
    <n v="23649"/>
    <n v="788.3"/>
    <n v="26286"/>
    <n v="876.2"/>
    <n v="6178"/>
    <n v="7957"/>
    <n v="23649"/>
    <n v="26286"/>
    <n v="17211"/>
    <n v="33357"/>
    <n v="25554"/>
    <n v="28725"/>
    <n v="18564"/>
    <n v="25851"/>
    <n v="39926"/>
    <n v="15387"/>
    <n v="101255"/>
    <n v="112.50555555555556"/>
    <n v="103320"/>
    <n v="114.8"/>
    <m/>
    <m/>
    <n v="0"/>
    <n v="0"/>
  </r>
  <r>
    <x v="13"/>
    <s v="Galveston College "/>
    <m/>
    <n v="224961"/>
    <x v="8"/>
    <s v="sem"/>
    <m/>
    <n v="18777"/>
    <n v="17400"/>
    <n v="4576"/>
    <n v="4252"/>
    <n v="3327"/>
    <n v="3435"/>
    <n v="16505"/>
    <n v="16412"/>
    <n v="43185"/>
    <n v="1439.5"/>
    <n v="41499"/>
    <n v="1383.3"/>
    <n v="2834"/>
    <n v="3458"/>
    <n v="43185"/>
    <n v="41499"/>
    <n v="3018"/>
    <n v="7520"/>
    <n v="2463"/>
    <n v="3704"/>
    <n v="3380"/>
    <n v="3984"/>
    <n v="7767"/>
    <n v="16315"/>
    <n v="16628"/>
    <n v="18.475555555555555"/>
    <n v="31523"/>
    <n v="35.025555555555556"/>
    <m/>
    <m/>
    <n v="0"/>
    <n v="0"/>
  </r>
  <r>
    <x v="13"/>
    <s v="Lamar State College-Orange"/>
    <m/>
    <n v="226107"/>
    <x v="8"/>
    <s v="sem"/>
    <m/>
    <n v="19767"/>
    <n v="19087"/>
    <n v="5787"/>
    <n v="5696"/>
    <n v="0"/>
    <n v="0"/>
    <n v="21206"/>
    <n v="21101"/>
    <n v="46760"/>
    <n v="1558.6666666666667"/>
    <n v="45884"/>
    <n v="1529.4666666666667"/>
    <n v="3996"/>
    <n v="3825"/>
    <n v="46760"/>
    <n v="45884"/>
    <n v="2026"/>
    <n v="11059"/>
    <n v="1348"/>
    <n v="4067"/>
    <n v="6133"/>
    <n v="4764"/>
    <n v="4483"/>
    <n v="6916"/>
    <n v="13990"/>
    <n v="15.544444444444444"/>
    <n v="26806"/>
    <n v="29.784444444444443"/>
    <m/>
    <m/>
    <n v="0"/>
    <n v="0"/>
  </r>
  <r>
    <x v="13"/>
    <s v="Northeast Lakeview College (ACCD)"/>
    <m/>
    <s v="???"/>
    <x v="8"/>
    <s v="sem"/>
    <m/>
    <n v="12135"/>
    <n v="15964"/>
    <n v="3961"/>
    <n v="7755"/>
    <n v="0"/>
    <n v="0"/>
    <n v="11970"/>
    <n v="19402"/>
    <n v="28066"/>
    <n v="935.5333333333333"/>
    <n v="43121"/>
    <n v="1437.3666666666666"/>
    <n v="0"/>
    <n v="24"/>
    <n v="28066"/>
    <n v="43121"/>
    <n v="11472"/>
    <n v="1808"/>
    <n v="24592"/>
    <n v="552"/>
    <n v="2776"/>
    <n v="6528"/>
    <n v="4296"/>
    <n v="2680"/>
    <n v="43136"/>
    <n v="47.928888888888892"/>
    <n v="11568"/>
    <n v="12.853333333333333"/>
    <m/>
    <m/>
    <n v="0"/>
    <n v="0"/>
  </r>
  <r>
    <x v="13"/>
    <s v="Panola College"/>
    <m/>
    <n v="227386"/>
    <x v="8"/>
    <s v="sem"/>
    <m/>
    <n v="24376"/>
    <n v="24672"/>
    <n v="3818"/>
    <n v="2848"/>
    <n v="1259"/>
    <n v="1766"/>
    <n v="26415"/>
    <n v="27379"/>
    <n v="55868"/>
    <n v="1862.2666666666667"/>
    <n v="56665"/>
    <n v="1888.8333333333333"/>
    <n v="5073"/>
    <n v="6149"/>
    <n v="55868"/>
    <n v="56665"/>
    <n v="12599"/>
    <n v="13245"/>
    <n v="9374"/>
    <n v="7942"/>
    <n v="11055"/>
    <n v="12179"/>
    <n v="15209"/>
    <n v="7868"/>
    <n v="48237"/>
    <n v="53.596666666666664"/>
    <n v="41234"/>
    <n v="45.815555555555555"/>
    <m/>
    <m/>
    <n v="0"/>
    <n v="0"/>
  </r>
  <r>
    <x v="13"/>
    <s v="Ranger College "/>
    <m/>
    <n v="227687"/>
    <x v="8"/>
    <s v="sem"/>
    <m/>
    <n v="16760"/>
    <n v="19111"/>
    <n v="3768"/>
    <n v="3510"/>
    <n v="1136"/>
    <n v="1060"/>
    <n v="21241"/>
    <n v="20731"/>
    <n v="42905"/>
    <n v="1430.1666666666667"/>
    <n v="44412"/>
    <n v="1480.4"/>
    <n v="7156"/>
    <n v="8345"/>
    <n v="42905"/>
    <n v="44412"/>
    <n v="9036"/>
    <n v="8711"/>
    <n v="9486"/>
    <n v="24916"/>
    <n v="12086"/>
    <n v="12542"/>
    <n v="9090"/>
    <n v="10075"/>
    <n v="39698"/>
    <n v="44.108888888888892"/>
    <n v="56244"/>
    <n v="62.493333333333332"/>
    <m/>
    <m/>
    <n v="0"/>
    <n v="0"/>
  </r>
  <r>
    <x v="13"/>
    <s v="Southwest Collegiate Institute for the Deaf (HCJCD)"/>
    <m/>
    <n v="382911"/>
    <x v="8"/>
    <s v="sem"/>
    <m/>
    <n v="1361"/>
    <n v="1121"/>
    <n v="60"/>
    <n v="0"/>
    <n v="0"/>
    <n v="0"/>
    <n v="1314"/>
    <n v="1219"/>
    <n v="2735"/>
    <n v="91.166666666666671"/>
    <n v="2340"/>
    <n v="78"/>
    <n v="0"/>
    <n v="0"/>
    <n v="2735"/>
    <n v="2340"/>
    <m/>
    <m/>
    <m/>
    <m/>
    <m/>
    <m/>
    <m/>
    <m/>
    <n v="0"/>
    <n v="0"/>
    <n v="0"/>
    <n v="0"/>
    <m/>
    <m/>
    <n v="0"/>
    <n v="0"/>
  </r>
  <r>
    <x v="13"/>
    <s v="Texas State Technical College-Marshall"/>
    <m/>
    <n v="408394"/>
    <x v="8"/>
    <s v="sem"/>
    <m/>
    <n v="6889"/>
    <n v="6613"/>
    <n v="4220"/>
    <n v="4029"/>
    <n v="0"/>
    <n v="0"/>
    <n v="7948"/>
    <n v="7917"/>
    <n v="19057"/>
    <n v="635.23333333333335"/>
    <n v="18559"/>
    <n v="618.63333333333333"/>
    <n v="1945"/>
    <n v="1829"/>
    <n v="19057"/>
    <n v="18559"/>
    <n v="3449"/>
    <n v="7368"/>
    <n v="4568"/>
    <n v="6032"/>
    <n v="3477"/>
    <n v="7408"/>
    <n v="5976"/>
    <n v="4312"/>
    <n v="17470"/>
    <n v="19.411111111111111"/>
    <n v="25120"/>
    <n v="27.911111111111111"/>
    <m/>
    <m/>
    <n v="0"/>
    <n v="0"/>
  </r>
  <r>
    <x v="13"/>
    <s v="Texas State Technical College-West Texas"/>
    <m/>
    <n v="229328"/>
    <x v="8"/>
    <s v="sem"/>
    <m/>
    <n v="10147"/>
    <n v="10066"/>
    <n v="7300"/>
    <n v="6532"/>
    <n v="0"/>
    <n v="0"/>
    <n v="11736"/>
    <n v="10833"/>
    <n v="29183"/>
    <n v="972.76666666666665"/>
    <n v="27431"/>
    <n v="914.36666666666667"/>
    <n v="2315"/>
    <n v="2817"/>
    <n v="29183"/>
    <n v="27431"/>
    <n v="2120"/>
    <n v="1513"/>
    <n v="4608"/>
    <n v="1547"/>
    <n v="2964"/>
    <n v="945"/>
    <n v="3124"/>
    <n v="1752"/>
    <n v="12816"/>
    <n v="14.24"/>
    <n v="5757"/>
    <n v="6.3966666666666665"/>
    <m/>
    <m/>
    <n v="0"/>
    <n v="0"/>
  </r>
  <r>
    <x v="13"/>
    <s v="Western Texas College "/>
    <m/>
    <n v="229832"/>
    <x v="8"/>
    <s v="sem"/>
    <m/>
    <n v="16599"/>
    <n v="16396"/>
    <n v="6619"/>
    <n v="7275"/>
    <n v="2551"/>
    <n v="2918"/>
    <n v="17477"/>
    <n v="16972"/>
    <n v="43246"/>
    <n v="1441.5333333333333"/>
    <n v="43561"/>
    <n v="1452.0333333333333"/>
    <n v="7467"/>
    <n v="8621"/>
    <n v="43246"/>
    <n v="43561"/>
    <n v="21153"/>
    <n v="12853"/>
    <n v="33667"/>
    <n v="25382"/>
    <n v="13009"/>
    <n v="11821"/>
    <n v="28465"/>
    <n v="29433"/>
    <n v="96294"/>
    <n v="106.99333333333334"/>
    <n v="79489"/>
    <n v="88.321111111111108"/>
    <m/>
    <m/>
    <n v="0"/>
    <n v="0"/>
  </r>
  <r>
    <x v="13"/>
    <s v="Alamo Community College District (ACCD)"/>
    <m/>
    <m/>
    <x v="12"/>
    <s v="sem"/>
    <m/>
    <n v="455317"/>
    <n v="446949"/>
    <n v="171057"/>
    <n v="177199"/>
    <n v="0"/>
    <n v="0"/>
    <n v="406484"/>
    <n v="409197"/>
    <n v="1032858"/>
    <n v="34428.6"/>
    <n v="1033345"/>
    <n v="34444.833333333336"/>
    <n v="86623"/>
    <n v="101860"/>
    <n v="1032858"/>
    <n v="1033345"/>
    <n v="117946"/>
    <n v="123642"/>
    <n v="161923"/>
    <n v="125171"/>
    <n v="150363"/>
    <n v="119697"/>
    <n v="142039"/>
    <n v="111508"/>
    <n v="572271"/>
    <n v="635.85666666666668"/>
    <n v="480018"/>
    <n v="533.35333333333335"/>
    <m/>
    <m/>
    <n v="0"/>
    <n v="0"/>
  </r>
  <r>
    <x v="13"/>
    <s v="Dallas County Community College District (DCCD)"/>
    <m/>
    <m/>
    <x v="12"/>
    <s v="sem"/>
    <m/>
    <n v="558215"/>
    <n v="550686"/>
    <n v="296813"/>
    <n v="303598"/>
    <n v="0"/>
    <n v="0"/>
    <n v="472500"/>
    <n v="466836"/>
    <n v="1327528"/>
    <n v="44250.933333333334"/>
    <n v="1321120"/>
    <n v="44037.333333333336"/>
    <n v="118392"/>
    <n v="134601"/>
    <n v="1327528"/>
    <n v="1321120"/>
    <n v="689363"/>
    <n v="737303"/>
    <n v="682429"/>
    <n v="822144"/>
    <n v="666561"/>
    <n v="750388"/>
    <n v="875801"/>
    <n v="957130"/>
    <n v="2914154"/>
    <n v="3237.9488888888891"/>
    <n v="3266965"/>
    <n v="3629.9611111111112"/>
    <m/>
    <m/>
    <n v="0"/>
    <n v="0"/>
  </r>
  <r>
    <x v="13"/>
    <s v="Howard County Community/Junior College District (HCJCD)"/>
    <m/>
    <m/>
    <x v="12"/>
    <s v="sem"/>
    <m/>
    <n v="31481"/>
    <n v="27177"/>
    <n v="3284"/>
    <n v="3688"/>
    <n v="1703"/>
    <n v="1600"/>
    <n v="30708"/>
    <n v="30772"/>
    <n v="67176"/>
    <n v="2239.1999999999998"/>
    <n v="63237"/>
    <n v="2107.9"/>
    <n v="16398"/>
    <n v="17667"/>
    <n v="67176"/>
    <n v="63237"/>
    <n v="173459"/>
    <n v="130658"/>
    <n v="172296"/>
    <n v="128260"/>
    <n v="152628"/>
    <n v="140947"/>
    <n v="166857"/>
    <n v="131190"/>
    <n v="665240"/>
    <n v="739.15555555555557"/>
    <n v="531055"/>
    <n v="590.06111111111113"/>
    <m/>
    <m/>
    <n v="0"/>
    <n v="0"/>
  </r>
  <r>
    <x v="13"/>
    <s v="University of North Texas at Dallas"/>
    <s v="New fall 2009. No degrees yet granted."/>
    <n v="443711"/>
    <x v="13"/>
    <s v="sem"/>
    <m/>
    <m/>
    <n v="0"/>
    <n v="14983"/>
    <n v="17970"/>
    <n v="3456"/>
    <n v="5282"/>
    <n v="18913"/>
    <n v="20795"/>
    <n v="37352"/>
    <n v="1245.0666666666666"/>
    <n v="44047"/>
    <n v="1468.2333333333333"/>
    <m/>
    <n v="0"/>
    <n v="0"/>
    <n v="44047"/>
    <m/>
    <m/>
    <m/>
    <m/>
    <m/>
    <m/>
    <m/>
    <m/>
    <n v="0"/>
    <n v="0"/>
    <n v="0"/>
    <n v="0"/>
    <m/>
    <m/>
    <n v="0"/>
    <n v="0"/>
  </r>
  <r>
    <x v="13"/>
    <s v="University of North Texas at Dallas College of Law"/>
    <s v="New Fall 2014?"/>
    <m/>
    <x v="13"/>
    <s v="sem"/>
    <m/>
    <m/>
    <n v="0"/>
    <n v="0"/>
    <n v="0"/>
    <n v="0"/>
    <n v="0"/>
    <n v="0"/>
    <n v="0"/>
    <n v="0"/>
    <n v="0"/>
    <n v="0"/>
    <n v="0"/>
    <m/>
    <n v="0"/>
    <n v="0"/>
    <n v="0"/>
    <m/>
    <m/>
    <m/>
    <m/>
    <m/>
    <m/>
    <m/>
    <m/>
    <n v="0"/>
    <n v="0"/>
    <n v="0"/>
    <n v="0"/>
    <m/>
    <m/>
    <n v="0"/>
    <n v="0"/>
  </r>
  <r>
    <x v="13"/>
    <s v="Alamo Community College District (ACCD)"/>
    <m/>
    <m/>
    <x v="14"/>
    <s v="sem"/>
    <m/>
    <n v="443182"/>
    <n v="430985"/>
    <n v="167096"/>
    <n v="169444"/>
    <n v="0"/>
    <n v="0"/>
    <n v="394514"/>
    <n v="389795"/>
    <n v="1004792"/>
    <n v="33493.066666666666"/>
    <n v="990224"/>
    <n v="33007.466666666667"/>
    <n v="86623"/>
    <n v="101836"/>
    <n v="1004792"/>
    <n v="990224"/>
    <n v="106474"/>
    <n v="121834"/>
    <n v="137331"/>
    <n v="124619"/>
    <n v="147587"/>
    <n v="113169"/>
    <n v="137743"/>
    <n v="108828"/>
    <n v="529135"/>
    <n v="587.92777777777781"/>
    <n v="468450"/>
    <n v="520.5"/>
    <m/>
    <m/>
    <n v="0"/>
    <n v="0"/>
  </r>
  <r>
    <x v="13"/>
    <s v="Dallas County Community College District (DCCD)"/>
    <m/>
    <m/>
    <x v="14"/>
    <s v="sem"/>
    <m/>
    <n v="457806"/>
    <n v="452073"/>
    <n v="245295"/>
    <n v="246005"/>
    <n v="0"/>
    <n v="0"/>
    <n v="381271"/>
    <n v="372587"/>
    <n v="1084372"/>
    <n v="36145.73333333333"/>
    <n v="1070665"/>
    <n v="35688.833333333336"/>
    <n v="90991"/>
    <n v="99402"/>
    <n v="1084372"/>
    <n v="1070665"/>
    <n v="641624"/>
    <n v="667581"/>
    <n v="617466"/>
    <n v="743759"/>
    <n v="581737"/>
    <n v="668339"/>
    <n v="807821"/>
    <n v="857965"/>
    <n v="2648648"/>
    <n v="2942.9422222222224"/>
    <n v="2937644"/>
    <n v="3264.048888888889"/>
    <m/>
    <m/>
    <n v="0"/>
    <n v="0"/>
  </r>
  <r>
    <x v="13"/>
    <s v="Dallas County Community College District (DCCD)"/>
    <m/>
    <m/>
    <x v="15"/>
    <s v="sem"/>
    <m/>
    <n v="100409"/>
    <n v="98613"/>
    <n v="51518"/>
    <n v="57593"/>
    <n v="0"/>
    <n v="0"/>
    <n v="91229"/>
    <n v="94249"/>
    <n v="243156"/>
    <n v="8105.2"/>
    <n v="250455"/>
    <n v="8348.5"/>
    <n v="27401"/>
    <n v="35199"/>
    <n v="243156"/>
    <n v="250455"/>
    <n v="47739"/>
    <n v="69722"/>
    <n v="64963"/>
    <n v="78385"/>
    <n v="84824"/>
    <n v="82049"/>
    <n v="67980"/>
    <n v="99165"/>
    <n v="265506"/>
    <n v="295.00666666666666"/>
    <n v="329321"/>
    <n v="365.91222222222223"/>
    <m/>
    <m/>
    <n v="0"/>
    <n v="0"/>
  </r>
  <r>
    <x v="13"/>
    <s v="Howard County Community/Junior College District (HCJCD)"/>
    <m/>
    <m/>
    <x v="15"/>
    <s v="sem"/>
    <m/>
    <n v="30120"/>
    <n v="26056"/>
    <n v="3224"/>
    <n v="3688"/>
    <n v="1703"/>
    <n v="1600"/>
    <n v="29394"/>
    <n v="29553"/>
    <n v="64441"/>
    <n v="2148.0333333333333"/>
    <n v="60897"/>
    <n v="2029.9"/>
    <n v="16398"/>
    <n v="17667"/>
    <n v="64441"/>
    <n v="60897"/>
    <n v="173459"/>
    <n v="130658"/>
    <n v="172296"/>
    <n v="128260"/>
    <n v="152628"/>
    <n v="140947"/>
    <n v="166857"/>
    <n v="131190"/>
    <n v="665240"/>
    <n v="739.15555555555557"/>
    <n v="531055"/>
    <n v="590.06111111111113"/>
    <m/>
    <m/>
    <n v="0"/>
    <n v="0"/>
  </r>
  <r>
    <x v="13"/>
    <s v="Alamo Community College District (ACCD)"/>
    <m/>
    <m/>
    <x v="16"/>
    <s v="sem"/>
    <m/>
    <n v="12135"/>
    <n v="15964"/>
    <n v="3961"/>
    <n v="7755"/>
    <n v="0"/>
    <n v="0"/>
    <n v="11970"/>
    <n v="19402"/>
    <n v="28066"/>
    <n v="935.5333333333333"/>
    <n v="43121"/>
    <n v="1437.3666666666666"/>
    <n v="0"/>
    <n v="24"/>
    <n v="28066"/>
    <n v="43121"/>
    <n v="11472"/>
    <n v="1808"/>
    <n v="24592"/>
    <n v="552"/>
    <n v="2776"/>
    <n v="6528"/>
    <n v="4296"/>
    <n v="2680"/>
    <n v="43136"/>
    <n v="47.928888888888892"/>
    <n v="11568"/>
    <n v="12.853333333333333"/>
    <m/>
    <m/>
    <n v="0"/>
    <n v="0"/>
  </r>
  <r>
    <x v="13"/>
    <s v="Howard County Community/Junior College District (HCJCD)"/>
    <m/>
    <m/>
    <x v="16"/>
    <s v="sem"/>
    <m/>
    <n v="1361"/>
    <n v="1121"/>
    <n v="60"/>
    <n v="0"/>
    <n v="0"/>
    <n v="0"/>
    <n v="1314"/>
    <n v="1219"/>
    <n v="2735"/>
    <n v="91.166666666666671"/>
    <n v="2340"/>
    <n v="78"/>
    <n v="0"/>
    <n v="0"/>
    <n v="2735"/>
    <n v="2340"/>
    <n v="0"/>
    <n v="0"/>
    <n v="0"/>
    <n v="0"/>
    <n v="0"/>
    <n v="0"/>
    <n v="0"/>
    <n v="0"/>
    <n v="0"/>
    <n v="0"/>
    <n v="0"/>
    <n v="0"/>
    <m/>
    <m/>
    <n v="0"/>
    <n v="0"/>
  </r>
  <r>
    <x v="14"/>
    <s v="George Mason University "/>
    <m/>
    <n v="232186"/>
    <x v="0"/>
    <s v="sem"/>
    <s v="sem"/>
    <m/>
    <m/>
    <n v="272424.5"/>
    <n v="284102"/>
    <n v="56207"/>
    <n v="53435"/>
    <n v="292154"/>
    <n v="302855.5"/>
    <n v="620785.5"/>
    <n v="20692.849999999999"/>
    <n v="640392.5"/>
    <n v="21346.416666666668"/>
    <n v="20297"/>
    <n v="16141"/>
    <n v="620785.5"/>
    <n v="640392.5"/>
    <m/>
    <m/>
    <m/>
    <m/>
    <m/>
    <m/>
    <m/>
    <m/>
    <n v="0"/>
    <n v="0"/>
    <n v="0"/>
    <n v="0"/>
    <m/>
    <m/>
    <n v="0"/>
    <n v="0"/>
  </r>
  <r>
    <x v="14"/>
    <s v="Old Dominion University "/>
    <m/>
    <n v="232982"/>
    <x v="0"/>
    <s v="sem"/>
    <s v="sem"/>
    <m/>
    <m/>
    <n v="222539"/>
    <n v="224529"/>
    <n v="55961"/>
    <n v="55397"/>
    <n v="244833"/>
    <n v="245454"/>
    <n v="523333"/>
    <n v="17444.433333333334"/>
    <n v="525380"/>
    <n v="17512.666666666668"/>
    <n v="91"/>
    <n v="66"/>
    <n v="523333"/>
    <n v="525380"/>
    <m/>
    <m/>
    <m/>
    <m/>
    <m/>
    <m/>
    <m/>
    <m/>
    <n v="0"/>
    <n v="0"/>
    <n v="0"/>
    <n v="0"/>
    <m/>
    <m/>
    <n v="0"/>
    <n v="0"/>
  </r>
  <r>
    <x v="14"/>
    <s v="University of Virginia"/>
    <m/>
    <n v="234076"/>
    <x v="0"/>
    <s v="sem"/>
    <s v="sem"/>
    <m/>
    <m/>
    <n v="225049"/>
    <n v="230413"/>
    <n v="22994"/>
    <n v="18270"/>
    <n v="235424.5"/>
    <n v="239828.5"/>
    <n v="483467.5"/>
    <n v="16115.583333333334"/>
    <n v="488511.5"/>
    <n v="16283.716666666667"/>
    <n v="0"/>
    <n v="0"/>
    <n v="483467.5"/>
    <n v="488511.5"/>
    <m/>
    <m/>
    <m/>
    <m/>
    <m/>
    <m/>
    <m/>
    <m/>
    <n v="0"/>
    <n v="0"/>
    <n v="0"/>
    <n v="0"/>
    <m/>
    <m/>
    <n v="0"/>
    <n v="0"/>
  </r>
  <r>
    <x v="14"/>
    <s v="Virginia Tech "/>
    <m/>
    <n v="233921"/>
    <x v="0"/>
    <s v="sem"/>
    <s v="sem"/>
    <m/>
    <m/>
    <n v="351407"/>
    <n v="359738"/>
    <n v="37073"/>
    <n v="33893"/>
    <n v="372913"/>
    <n v="389183"/>
    <n v="761393"/>
    <n v="25379.766666666666"/>
    <n v="782814"/>
    <n v="26093.8"/>
    <n v="0"/>
    <n v="0"/>
    <n v="761393"/>
    <n v="782814"/>
    <m/>
    <m/>
    <m/>
    <m/>
    <m/>
    <m/>
    <m/>
    <m/>
    <n v="0"/>
    <n v="0"/>
    <n v="0"/>
    <n v="0"/>
    <m/>
    <m/>
    <n v="0"/>
    <n v="0"/>
  </r>
  <r>
    <x v="14"/>
    <s v="College of William &amp; Mary"/>
    <m/>
    <n v="231624"/>
    <x v="1"/>
    <s v="sem"/>
    <s v="sem"/>
    <m/>
    <m/>
    <n v="85670.9"/>
    <n v="86903.6"/>
    <n v="8731"/>
    <n v="8631"/>
    <n v="90434.9"/>
    <n v="90795.3"/>
    <n v="184836.8"/>
    <n v="6161.2266666666665"/>
    <n v="186329.90000000002"/>
    <n v="6210.9966666666678"/>
    <n v="0"/>
    <n v="0"/>
    <n v="184836.8"/>
    <n v="186329.90000000002"/>
    <m/>
    <m/>
    <m/>
    <m/>
    <m/>
    <m/>
    <m/>
    <m/>
    <n v="0"/>
    <n v="0"/>
    <n v="0"/>
    <n v="0"/>
    <m/>
    <m/>
    <n v="0"/>
    <n v="0"/>
  </r>
  <r>
    <x v="14"/>
    <s v="Virginia Commonwealth University"/>
    <s v="Reclassified: Met the criteria for Four-Year 1 in 2013-14, 2014-15, and 2015-16."/>
    <n v="234030"/>
    <x v="0"/>
    <s v="sem"/>
    <s v="sem"/>
    <m/>
    <m/>
    <n v="291502.5"/>
    <n v="298822"/>
    <n v="39733.5"/>
    <n v="39960.5"/>
    <n v="324721.5"/>
    <n v="322337.5"/>
    <n v="655957.5"/>
    <n v="21865.25"/>
    <n v="661120"/>
    <n v="22037.333333333332"/>
    <n v="8094"/>
    <n v="7673"/>
    <n v="655957.5"/>
    <n v="661120"/>
    <m/>
    <m/>
    <m/>
    <m/>
    <m/>
    <m/>
    <m/>
    <m/>
    <n v="0"/>
    <n v="0"/>
    <n v="0"/>
    <n v="0"/>
    <m/>
    <m/>
    <n v="0"/>
    <n v="0"/>
  </r>
  <r>
    <x v="14"/>
    <s v="James Madison University"/>
    <m/>
    <n v="232423"/>
    <x v="2"/>
    <s v="sem"/>
    <s v="sem"/>
    <m/>
    <m/>
    <n v="256541"/>
    <n v="261923"/>
    <n v="26912"/>
    <n v="27605"/>
    <n v="279066"/>
    <n v="283191"/>
    <n v="562519"/>
    <n v="18750.633333333335"/>
    <n v="572719"/>
    <n v="19090.633333333335"/>
    <n v="7004"/>
    <n v="6114"/>
    <n v="562519"/>
    <n v="572719"/>
    <m/>
    <m/>
    <m/>
    <m/>
    <m/>
    <m/>
    <m/>
    <m/>
    <n v="0"/>
    <n v="0"/>
    <n v="0"/>
    <n v="0"/>
    <m/>
    <m/>
    <n v="0"/>
    <n v="0"/>
  </r>
  <r>
    <x v="14"/>
    <s v="Longwood University "/>
    <m/>
    <n v="232566"/>
    <x v="2"/>
    <s v="sem"/>
    <s v="sem"/>
    <m/>
    <m/>
    <n v="60247"/>
    <n v="61851"/>
    <n v="9292"/>
    <n v="9954"/>
    <n v="63570.5"/>
    <n v="63561"/>
    <n v="133109.5"/>
    <n v="4436.9833333333336"/>
    <n v="135366"/>
    <n v="4512.2"/>
    <n v="726"/>
    <n v="1346"/>
    <n v="133109.5"/>
    <n v="135366"/>
    <m/>
    <m/>
    <m/>
    <m/>
    <m/>
    <m/>
    <m/>
    <m/>
    <n v="0"/>
    <n v="0"/>
    <n v="0"/>
    <n v="0"/>
    <m/>
    <m/>
    <n v="0"/>
    <n v="0"/>
  </r>
  <r>
    <x v="14"/>
    <s v="Norfolk State University "/>
    <m/>
    <n v="232937"/>
    <x v="2"/>
    <s v="sem"/>
    <s v="sem"/>
    <m/>
    <m/>
    <n v="73813"/>
    <n v="65661"/>
    <n v="8921"/>
    <n v="7911"/>
    <n v="73460"/>
    <n v="61923"/>
    <n v="156194"/>
    <n v="5206.4666666666662"/>
    <n v="135495"/>
    <n v="4516.5"/>
    <n v="555"/>
    <n v="433"/>
    <n v="156194"/>
    <n v="135495"/>
    <m/>
    <m/>
    <m/>
    <m/>
    <m/>
    <m/>
    <m/>
    <m/>
    <n v="0"/>
    <n v="0"/>
    <n v="0"/>
    <n v="0"/>
    <m/>
    <m/>
    <n v="0"/>
    <n v="0"/>
  </r>
  <r>
    <x v="14"/>
    <s v="Radford University"/>
    <m/>
    <n v="233277"/>
    <x v="2"/>
    <s v="sem"/>
    <s v="sem"/>
    <m/>
    <m/>
    <n v="122233"/>
    <n v="121297"/>
    <n v="10991"/>
    <n v="11066"/>
    <n v="130858"/>
    <n v="130137"/>
    <n v="264082"/>
    <n v="8802.7333333333336"/>
    <n v="262500"/>
    <n v="8750"/>
    <n v="0"/>
    <n v="0"/>
    <n v="264082"/>
    <n v="262500"/>
    <m/>
    <m/>
    <m/>
    <m/>
    <m/>
    <m/>
    <m/>
    <m/>
    <n v="0"/>
    <n v="0"/>
    <n v="0"/>
    <n v="0"/>
    <m/>
    <m/>
    <n v="0"/>
    <n v="0"/>
  </r>
  <r>
    <x v="14"/>
    <s v="University of Mary Washington "/>
    <m/>
    <n v="232681"/>
    <x v="2"/>
    <s v="sem"/>
    <s v="sem"/>
    <m/>
    <m/>
    <n v="57011"/>
    <n v="54910"/>
    <n v="5119"/>
    <n v="4690"/>
    <n v="58124"/>
    <n v="59702"/>
    <n v="120254"/>
    <n v="4008.4666666666667"/>
    <n v="119302"/>
    <n v="3976.7333333333331"/>
    <n v="29"/>
    <n v="54"/>
    <n v="120254"/>
    <n v="119302"/>
    <m/>
    <m/>
    <m/>
    <m/>
    <m/>
    <m/>
    <m/>
    <m/>
    <n v="0"/>
    <n v="0"/>
    <n v="0"/>
    <n v="0"/>
    <m/>
    <m/>
    <n v="0"/>
    <n v="0"/>
  </r>
  <r>
    <x v="14"/>
    <s v="Virginia State University "/>
    <m/>
    <n v="234155"/>
    <x v="2"/>
    <s v="sem"/>
    <s v="sem"/>
    <m/>
    <m/>
    <n v="68689"/>
    <n v="63192"/>
    <n v="3925"/>
    <n v="3465"/>
    <n v="68390"/>
    <n v="66136"/>
    <n v="141004"/>
    <n v="4700.1333333333332"/>
    <n v="132793"/>
    <n v="4426.4333333333334"/>
    <n v="0"/>
    <n v="0"/>
    <n v="141004"/>
    <n v="132793"/>
    <m/>
    <m/>
    <m/>
    <m/>
    <m/>
    <m/>
    <m/>
    <m/>
    <n v="0"/>
    <n v="0"/>
    <n v="0"/>
    <n v="0"/>
    <m/>
    <m/>
    <n v="0"/>
    <n v="0"/>
  </r>
  <r>
    <x v="14"/>
    <s v="Christopher Newport University"/>
    <m/>
    <n v="231712"/>
    <x v="4"/>
    <s v="sem"/>
    <s v="sem"/>
    <m/>
    <m/>
    <n v="71413"/>
    <n v="71331"/>
    <n v="1170"/>
    <n v="1203"/>
    <n v="75781"/>
    <n v="75257"/>
    <n v="148364"/>
    <n v="4945.4666666666662"/>
    <n v="147791"/>
    <n v="4926.3666666666668"/>
    <n v="0"/>
    <n v="57"/>
    <n v="148364"/>
    <n v="147791"/>
    <m/>
    <m/>
    <m/>
    <m/>
    <m/>
    <m/>
    <m/>
    <m/>
    <n v="0"/>
    <n v="0"/>
    <n v="0"/>
    <n v="0"/>
    <m/>
    <m/>
    <n v="0"/>
    <n v="0"/>
  </r>
  <r>
    <x v="14"/>
    <s v="University of Virginia's College at Wise "/>
    <m/>
    <n v="233897"/>
    <x v="5"/>
    <s v="sem"/>
    <s v="sem"/>
    <m/>
    <m/>
    <n v="24407"/>
    <n v="23496"/>
    <n v="4086"/>
    <n v="5708"/>
    <n v="24192"/>
    <n v="22802"/>
    <n v="52685"/>
    <n v="1756.1666666666667"/>
    <n v="52006"/>
    <n v="1733.5333333333333"/>
    <n v="358"/>
    <n v="449"/>
    <n v="52685"/>
    <n v="52006"/>
    <m/>
    <m/>
    <m/>
    <m/>
    <m/>
    <m/>
    <m/>
    <m/>
    <n v="0"/>
    <n v="0"/>
    <n v="0"/>
    <n v="0"/>
    <m/>
    <m/>
    <n v="0"/>
    <n v="0"/>
  </r>
  <r>
    <x v="14"/>
    <s v="J.S. Reynolds Community College"/>
    <m/>
    <n v="232414"/>
    <x v="7"/>
    <s v="sem"/>
    <s v="sem"/>
    <m/>
    <m/>
    <n v="96404"/>
    <n v="92271"/>
    <n v="37720"/>
    <n v="33671"/>
    <n v="98123"/>
    <n v="90084"/>
    <n v="232247"/>
    <n v="7741.5666666666666"/>
    <n v="216026"/>
    <n v="7200.8666666666668"/>
    <n v="14538"/>
    <n v="16807"/>
    <n v="232247"/>
    <n v="216026"/>
    <m/>
    <m/>
    <m/>
    <m/>
    <m/>
    <m/>
    <m/>
    <m/>
    <n v="0"/>
    <n v="0"/>
    <n v="0"/>
    <n v="0"/>
    <m/>
    <m/>
    <n v="0"/>
    <n v="0"/>
  </r>
  <r>
    <x v="14"/>
    <s v="John Tyler Community College"/>
    <m/>
    <n v="232450"/>
    <x v="7"/>
    <s v="sem"/>
    <s v="sem"/>
    <m/>
    <m/>
    <n v="73977"/>
    <n v="70008"/>
    <n v="18736"/>
    <n v="18698"/>
    <n v="77598"/>
    <n v="76688"/>
    <n v="170311"/>
    <n v="5677.0333333333338"/>
    <n v="165394"/>
    <n v="5513.1333333333332"/>
    <n v="41495"/>
    <n v="45125"/>
    <n v="170311"/>
    <n v="165394"/>
    <m/>
    <m/>
    <m/>
    <m/>
    <m/>
    <m/>
    <m/>
    <m/>
    <n v="0"/>
    <n v="0"/>
    <n v="0"/>
    <n v="0"/>
    <m/>
    <m/>
    <n v="0"/>
    <n v="0"/>
  </r>
  <r>
    <x v="14"/>
    <s v="Northern Virginia Community College "/>
    <m/>
    <n v="232946"/>
    <x v="7"/>
    <s v="sem"/>
    <s v="sem"/>
    <m/>
    <m/>
    <n v="440660"/>
    <n v="426055.5"/>
    <n v="162747"/>
    <n v="157192"/>
    <n v="454333"/>
    <n v="453988"/>
    <n v="1057740"/>
    <n v="35258"/>
    <n v="1037235.5"/>
    <n v="34574.51666666667"/>
    <n v="43911"/>
    <n v="62676"/>
    <n v="1057740"/>
    <n v="1037235.5"/>
    <m/>
    <m/>
    <m/>
    <m/>
    <m/>
    <m/>
    <m/>
    <m/>
    <n v="0"/>
    <n v="0"/>
    <n v="0"/>
    <n v="0"/>
    <m/>
    <m/>
    <n v="0"/>
    <n v="0"/>
  </r>
  <r>
    <x v="14"/>
    <s v="Thomas Nelson Community College "/>
    <m/>
    <n v="233754"/>
    <x v="7"/>
    <s v="sem"/>
    <s v="sem"/>
    <m/>
    <m/>
    <n v="89127"/>
    <n v="81747"/>
    <n v="26534"/>
    <n v="23591"/>
    <n v="90057"/>
    <n v="81214"/>
    <n v="205718"/>
    <n v="6857.2666666666664"/>
    <n v="186552"/>
    <n v="6218.4"/>
    <n v="22530"/>
    <n v="18578"/>
    <n v="205718"/>
    <n v="186552"/>
    <m/>
    <m/>
    <m/>
    <m/>
    <m/>
    <m/>
    <m/>
    <m/>
    <n v="0"/>
    <n v="0"/>
    <n v="0"/>
    <n v="0"/>
    <m/>
    <m/>
    <n v="0"/>
    <n v="0"/>
  </r>
  <r>
    <x v="14"/>
    <s v="Tidewater Community College "/>
    <m/>
    <n v="233772"/>
    <x v="7"/>
    <s v="sem"/>
    <s v="sem"/>
    <m/>
    <m/>
    <n v="248791"/>
    <n v="233794"/>
    <n v="86595"/>
    <n v="75337"/>
    <n v="251049"/>
    <n v="233258"/>
    <n v="586435"/>
    <n v="19547.833333333332"/>
    <n v="542389"/>
    <n v="18079.633333333335"/>
    <n v="21098"/>
    <n v="23955"/>
    <n v="586435"/>
    <n v="542389"/>
    <m/>
    <m/>
    <m/>
    <m/>
    <m/>
    <m/>
    <m/>
    <m/>
    <n v="0"/>
    <n v="0"/>
    <n v="0"/>
    <n v="0"/>
    <m/>
    <m/>
    <n v="0"/>
    <n v="0"/>
  </r>
  <r>
    <x v="14"/>
    <s v="Blue Ridge Community College "/>
    <m/>
    <n v="231536"/>
    <x v="6"/>
    <s v="sem"/>
    <s v="sem"/>
    <m/>
    <m/>
    <n v="36903"/>
    <n v="35738"/>
    <n v="9539"/>
    <n v="9397"/>
    <n v="39988"/>
    <n v="36911"/>
    <n v="86430"/>
    <n v="2881"/>
    <n v="82046"/>
    <n v="2734.8666666666668"/>
    <n v="11235"/>
    <n v="11167"/>
    <n v="86430"/>
    <n v="82046"/>
    <m/>
    <m/>
    <m/>
    <m/>
    <m/>
    <m/>
    <m/>
    <m/>
    <n v="0"/>
    <n v="0"/>
    <n v="0"/>
    <n v="0"/>
    <m/>
    <m/>
    <n v="0"/>
    <n v="0"/>
  </r>
  <r>
    <x v="14"/>
    <s v="Central Virginia Community College "/>
    <m/>
    <n v="231697"/>
    <x v="6"/>
    <s v="sem"/>
    <s v="sem"/>
    <m/>
    <m/>
    <n v="33466"/>
    <n v="33880"/>
    <n v="8977"/>
    <n v="7373"/>
    <n v="37092"/>
    <n v="36608"/>
    <n v="79535"/>
    <n v="2651.1666666666665"/>
    <n v="77861"/>
    <n v="2595.3666666666668"/>
    <n v="33466"/>
    <n v="35848"/>
    <n v="79535"/>
    <n v="77861"/>
    <m/>
    <m/>
    <m/>
    <m/>
    <m/>
    <m/>
    <m/>
    <m/>
    <n v="0"/>
    <n v="0"/>
    <n v="0"/>
    <n v="0"/>
    <m/>
    <m/>
    <n v="0"/>
    <n v="0"/>
  </r>
  <r>
    <x v="14"/>
    <s v="Danville Community College "/>
    <m/>
    <n v="231882"/>
    <x v="6"/>
    <s v="sem"/>
    <s v="sem"/>
    <m/>
    <m/>
    <n v="33112"/>
    <n v="29759"/>
    <n v="9107"/>
    <n v="7890"/>
    <n v="33549"/>
    <n v="31445"/>
    <n v="75768"/>
    <n v="2525.6"/>
    <n v="69094"/>
    <n v="2303.1333333333332"/>
    <n v="27796"/>
    <n v="30058"/>
    <n v="75768"/>
    <n v="69094"/>
    <m/>
    <m/>
    <m/>
    <m/>
    <m/>
    <m/>
    <m/>
    <m/>
    <n v="0"/>
    <n v="0"/>
    <n v="0"/>
    <n v="0"/>
    <m/>
    <m/>
    <n v="0"/>
    <n v="0"/>
  </r>
  <r>
    <x v="14"/>
    <s v="Germanna Community College"/>
    <m/>
    <n v="232195"/>
    <x v="6"/>
    <s v="sem"/>
    <s v="sem"/>
    <m/>
    <m/>
    <n v="56433"/>
    <n v="57447"/>
    <n v="15753"/>
    <n v="16103"/>
    <n v="61553"/>
    <n v="59548"/>
    <n v="133739"/>
    <n v="4457.9666666666662"/>
    <n v="133098"/>
    <n v="4436.6000000000004"/>
    <n v="18605"/>
    <n v="21287"/>
    <n v="133739"/>
    <n v="133098"/>
    <m/>
    <m/>
    <m/>
    <m/>
    <m/>
    <m/>
    <m/>
    <m/>
    <n v="0"/>
    <n v="0"/>
    <n v="0"/>
    <n v="0"/>
    <m/>
    <m/>
    <n v="0"/>
    <n v="0"/>
  </r>
  <r>
    <x v="14"/>
    <s v="Lord Fairfax Community College"/>
    <m/>
    <n v="232575"/>
    <x v="6"/>
    <s v="sem"/>
    <s v="sem"/>
    <m/>
    <m/>
    <n v="50516"/>
    <n v="50535"/>
    <n v="13058"/>
    <n v="12607"/>
    <n v="57209"/>
    <n v="57424"/>
    <n v="120783"/>
    <n v="4026.1"/>
    <n v="120566"/>
    <n v="4018.8666666666668"/>
    <n v="48801"/>
    <n v="54418"/>
    <n v="120783"/>
    <n v="120566"/>
    <m/>
    <m/>
    <m/>
    <m/>
    <m/>
    <m/>
    <m/>
    <m/>
    <n v="0"/>
    <n v="0"/>
    <n v="0"/>
    <n v="0"/>
    <m/>
    <m/>
    <n v="0"/>
    <n v="0"/>
  </r>
  <r>
    <x v="14"/>
    <s v="Mountain Empire Community College"/>
    <s v="Reclassified: Met the criteria for Two-Year 3 in 2013-14, 2014-15, and 2015-16. "/>
    <n v="232788"/>
    <x v="8"/>
    <s v="sem"/>
    <s v="sem"/>
    <m/>
    <m/>
    <n v="22956"/>
    <n v="22336"/>
    <n v="5773"/>
    <n v="5391"/>
    <n v="24627"/>
    <n v="25394"/>
    <n v="53356"/>
    <n v="1778.5333333333333"/>
    <n v="53121"/>
    <n v="1770.7"/>
    <n v="22783"/>
    <n v="23769"/>
    <n v="53356"/>
    <n v="53121"/>
    <m/>
    <m/>
    <m/>
    <m/>
    <m/>
    <m/>
    <m/>
    <m/>
    <n v="0"/>
    <n v="0"/>
    <n v="0"/>
    <n v="0"/>
    <m/>
    <m/>
    <n v="0"/>
    <n v="0"/>
  </r>
  <r>
    <x v="14"/>
    <s v="New River Community College "/>
    <m/>
    <n v="232867"/>
    <x v="6"/>
    <s v="sem"/>
    <s v="sem"/>
    <m/>
    <m/>
    <n v="37043"/>
    <n v="38000"/>
    <n v="7946"/>
    <n v="6990"/>
    <n v="41645"/>
    <n v="40612"/>
    <n v="86634"/>
    <n v="2887.8"/>
    <n v="85602"/>
    <n v="2853.4"/>
    <n v="30204"/>
    <n v="32411"/>
    <n v="86634"/>
    <n v="85602"/>
    <m/>
    <m/>
    <m/>
    <m/>
    <m/>
    <m/>
    <m/>
    <m/>
    <n v="0"/>
    <n v="0"/>
    <n v="0"/>
    <n v="0"/>
    <m/>
    <m/>
    <n v="0"/>
    <n v="0"/>
  </r>
  <r>
    <x v="14"/>
    <s v="Patrick Henry Community College "/>
    <s v="Met the criteria for Two-Year 3 in 2015-16. "/>
    <n v="233019"/>
    <x v="6"/>
    <s v="sem"/>
    <s v="sem"/>
    <m/>
    <m/>
    <n v="28314"/>
    <n v="26551"/>
    <n v="5983"/>
    <n v="5567"/>
    <n v="29455"/>
    <n v="26748"/>
    <n v="63752"/>
    <n v="2125.0666666666666"/>
    <n v="58866"/>
    <n v="1962.2"/>
    <n v="30295"/>
    <n v="28079"/>
    <n v="63752"/>
    <n v="58866"/>
    <m/>
    <m/>
    <m/>
    <m/>
    <m/>
    <m/>
    <m/>
    <m/>
    <n v="0"/>
    <n v="0"/>
    <n v="0"/>
    <n v="0"/>
    <m/>
    <m/>
    <n v="0"/>
    <n v="0"/>
  </r>
  <r>
    <x v="14"/>
    <s v="Piedmont Virginia Community College "/>
    <m/>
    <n v="233116"/>
    <x v="6"/>
    <s v="sem"/>
    <s v="sem"/>
    <m/>
    <m/>
    <n v="38681"/>
    <n v="37878"/>
    <n v="10404"/>
    <n v="10353"/>
    <n v="41850"/>
    <n v="41071"/>
    <n v="90935"/>
    <n v="3031.1666666666665"/>
    <n v="89302"/>
    <n v="2976.7333333333331"/>
    <n v="28698"/>
    <n v="31786"/>
    <n v="90935"/>
    <n v="89302"/>
    <m/>
    <m/>
    <m/>
    <m/>
    <m/>
    <m/>
    <m/>
    <m/>
    <n v="0"/>
    <n v="0"/>
    <n v="0"/>
    <n v="0"/>
    <m/>
    <m/>
    <n v="0"/>
    <n v="0"/>
  </r>
  <r>
    <x v="14"/>
    <s v="Southside Virginia Community College"/>
    <m/>
    <n v="233639"/>
    <x v="6"/>
    <s v="sem"/>
    <s v="sem"/>
    <m/>
    <m/>
    <n v="43529"/>
    <n v="40879"/>
    <n v="11900"/>
    <n v="9566"/>
    <n v="47465"/>
    <n v="39757"/>
    <n v="102894"/>
    <n v="3429.8"/>
    <n v="90202"/>
    <n v="3006.7333333333331"/>
    <n v="70023"/>
    <n v="67449"/>
    <n v="102894"/>
    <n v="90202"/>
    <m/>
    <m/>
    <m/>
    <m/>
    <m/>
    <m/>
    <m/>
    <m/>
    <n v="0"/>
    <n v="0"/>
    <n v="0"/>
    <n v="0"/>
    <m/>
    <m/>
    <n v="0"/>
    <n v="0"/>
  </r>
  <r>
    <x v="14"/>
    <s v="Virginia Western Community College "/>
    <m/>
    <n v="233949"/>
    <x v="6"/>
    <s v="sem"/>
    <s v="sem"/>
    <m/>
    <m/>
    <n v="66512"/>
    <n v="65732"/>
    <n v="16111"/>
    <n v="15306"/>
    <n v="67796"/>
    <n v="62563"/>
    <n v="150419"/>
    <n v="5013.9666666666662"/>
    <n v="143601"/>
    <n v="4786.7"/>
    <n v="55258"/>
    <n v="57799"/>
    <n v="150419"/>
    <n v="143601"/>
    <m/>
    <m/>
    <m/>
    <m/>
    <m/>
    <m/>
    <m/>
    <m/>
    <n v="0"/>
    <n v="0"/>
    <n v="0"/>
    <n v="0"/>
    <m/>
    <m/>
    <n v="0"/>
    <n v="0"/>
  </r>
  <r>
    <x v="14"/>
    <s v="Wytheville Community College "/>
    <s v="Met the criteria for Two-Year 3 in 2015-16. "/>
    <n v="234377"/>
    <x v="6"/>
    <s v="sem"/>
    <s v="sem"/>
    <m/>
    <m/>
    <n v="25596"/>
    <n v="24696"/>
    <n v="6751"/>
    <n v="6381"/>
    <n v="27819"/>
    <n v="24555"/>
    <n v="60166"/>
    <n v="2005.5333333333333"/>
    <n v="55632"/>
    <n v="1854.4"/>
    <n v="27198"/>
    <n v="27441"/>
    <n v="60166"/>
    <n v="55632"/>
    <m/>
    <m/>
    <m/>
    <m/>
    <m/>
    <m/>
    <m/>
    <m/>
    <n v="0"/>
    <n v="0"/>
    <n v="0"/>
    <n v="0"/>
    <m/>
    <m/>
    <n v="0"/>
    <n v="0"/>
  </r>
  <r>
    <x v="14"/>
    <s v="D.S. Lancaster Community College "/>
    <m/>
    <n v="231873"/>
    <x v="8"/>
    <s v="sem"/>
    <s v="sem"/>
    <m/>
    <m/>
    <n v="9576"/>
    <n v="9947"/>
    <n v="1532"/>
    <n v="1449"/>
    <n v="10282"/>
    <n v="10286"/>
    <n v="21390"/>
    <n v="713"/>
    <n v="21682"/>
    <n v="722.73333333333335"/>
    <n v="8321"/>
    <n v="9335"/>
    <n v="21390"/>
    <n v="21682"/>
    <m/>
    <m/>
    <m/>
    <m/>
    <m/>
    <m/>
    <m/>
    <m/>
    <n v="0"/>
    <n v="0"/>
    <n v="0"/>
    <n v="0"/>
    <m/>
    <m/>
    <n v="0"/>
    <n v="0"/>
  </r>
  <r>
    <x v="14"/>
    <s v="Eastern Shore Community College"/>
    <m/>
    <n v="232052"/>
    <x v="8"/>
    <s v="sem"/>
    <s v="sem"/>
    <m/>
    <m/>
    <n v="6992"/>
    <n v="6843"/>
    <n v="1057"/>
    <n v="893"/>
    <n v="6933"/>
    <n v="6041"/>
    <n v="14982"/>
    <n v="499.4"/>
    <n v="13777"/>
    <n v="459.23333333333335"/>
    <n v="5469"/>
    <n v="5505"/>
    <n v="14982"/>
    <n v="13777"/>
    <m/>
    <m/>
    <m/>
    <m/>
    <m/>
    <m/>
    <m/>
    <m/>
    <n v="0"/>
    <n v="0"/>
    <n v="0"/>
    <n v="0"/>
    <m/>
    <m/>
    <n v="0"/>
    <n v="0"/>
  </r>
  <r>
    <x v="14"/>
    <s v="Paul D. Camp Community College"/>
    <m/>
    <n v="233037"/>
    <x v="8"/>
    <s v="sem"/>
    <s v="sem"/>
    <m/>
    <m/>
    <n v="10428"/>
    <n v="9679"/>
    <n v="3952"/>
    <n v="3586"/>
    <n v="10135"/>
    <n v="11021"/>
    <n v="24515"/>
    <n v="817.16666666666663"/>
    <n v="24286"/>
    <n v="809.5333333333333"/>
    <n v="9401"/>
    <n v="11633"/>
    <n v="24515"/>
    <n v="24286"/>
    <m/>
    <m/>
    <m/>
    <m/>
    <m/>
    <m/>
    <m/>
    <m/>
    <n v="0"/>
    <n v="0"/>
    <n v="0"/>
    <n v="0"/>
    <m/>
    <m/>
    <n v="0"/>
    <n v="0"/>
  </r>
  <r>
    <x v="14"/>
    <s v="Rappahannock Community College"/>
    <m/>
    <n v="233310"/>
    <x v="8"/>
    <s v="sem"/>
    <s v="sem"/>
    <m/>
    <m/>
    <n v="23464"/>
    <n v="23232"/>
    <n v="6011"/>
    <n v="4973"/>
    <n v="27243"/>
    <n v="27753"/>
    <n v="56718"/>
    <n v="1890.6"/>
    <n v="55958"/>
    <n v="1865.2666666666667"/>
    <n v="43989"/>
    <n v="46129"/>
    <n v="56718"/>
    <n v="55958"/>
    <m/>
    <m/>
    <m/>
    <m/>
    <m/>
    <m/>
    <m/>
    <m/>
    <n v="0"/>
    <n v="0"/>
    <n v="0"/>
    <n v="0"/>
    <m/>
    <m/>
    <n v="0"/>
    <n v="0"/>
  </r>
  <r>
    <x v="14"/>
    <s v="Richard Bland College "/>
    <m/>
    <n v="233338"/>
    <x v="8"/>
    <s v="sem"/>
    <s v="sem"/>
    <m/>
    <m/>
    <n v="13687"/>
    <n v="13926"/>
    <n v="2057"/>
    <n v="1145"/>
    <n v="16232"/>
    <n v="19238"/>
    <n v="31976"/>
    <n v="1065.8666666666666"/>
    <n v="34309"/>
    <n v="1143.6333333333334"/>
    <n v="6453"/>
    <n v="13359"/>
    <n v="31976"/>
    <n v="34309"/>
    <m/>
    <m/>
    <m/>
    <m/>
    <m/>
    <m/>
    <m/>
    <m/>
    <n v="0"/>
    <n v="0"/>
    <n v="0"/>
    <n v="0"/>
    <m/>
    <m/>
    <n v="0"/>
    <n v="0"/>
  </r>
  <r>
    <x v="14"/>
    <s v="Southwest Virginia Community College "/>
    <m/>
    <n v="233648"/>
    <x v="8"/>
    <s v="sem"/>
    <s v="sem"/>
    <m/>
    <m/>
    <n v="21060"/>
    <n v="22410"/>
    <n v="7342"/>
    <n v="7164"/>
    <n v="24023"/>
    <n v="24576"/>
    <n v="52425"/>
    <n v="1747.5"/>
    <n v="54150"/>
    <n v="1805"/>
    <n v="15595"/>
    <n v="14855"/>
    <n v="52425"/>
    <n v="54150"/>
    <m/>
    <m/>
    <m/>
    <m/>
    <m/>
    <m/>
    <m/>
    <m/>
    <n v="0"/>
    <n v="0"/>
    <n v="0"/>
    <n v="0"/>
    <m/>
    <m/>
    <n v="0"/>
    <n v="0"/>
  </r>
  <r>
    <x v="14"/>
    <s v="Virginia Highlands Community College "/>
    <m/>
    <n v="233903"/>
    <x v="8"/>
    <s v="sem"/>
    <s v="sem"/>
    <m/>
    <m/>
    <n v="20710"/>
    <n v="20928"/>
    <n v="4515"/>
    <n v="4017"/>
    <n v="23807"/>
    <n v="21908"/>
    <n v="49032"/>
    <n v="1634.4"/>
    <n v="46853"/>
    <n v="1561.7666666666667"/>
    <n v="16603"/>
    <n v="17371"/>
    <n v="49032"/>
    <n v="46853"/>
    <m/>
    <m/>
    <m/>
    <m/>
    <m/>
    <m/>
    <m/>
    <m/>
    <n v="0"/>
    <n v="0"/>
    <n v="0"/>
    <n v="0"/>
    <m/>
    <m/>
    <n v="0"/>
    <n v="0"/>
  </r>
  <r>
    <x v="14"/>
    <s v="All Community Colleges except R. Bland"/>
    <m/>
    <s v="All CC - Bland"/>
    <x v="12"/>
    <s v="sem"/>
    <s v="sem"/>
    <m/>
    <m/>
    <n v="1514250"/>
    <n v="1460345.5"/>
    <n v="478043"/>
    <n v="443495"/>
    <n v="1583631"/>
    <n v="1519453"/>
    <n v="3575924"/>
    <n v="119197.46666666666"/>
    <n v="3423293.5"/>
    <n v="114109.78333333334"/>
    <n v="647312"/>
    <n v="693481"/>
    <n v="3575924"/>
    <n v="3423293.5"/>
    <m/>
    <m/>
    <m/>
    <m/>
    <m/>
    <m/>
    <m/>
    <m/>
    <n v="0"/>
    <n v="0"/>
    <n v="0"/>
    <n v="0"/>
    <m/>
    <m/>
    <n v="0"/>
    <n v="0"/>
  </r>
  <r>
    <x v="14"/>
    <m/>
    <s v="all 8's"/>
    <m/>
    <x v="14"/>
    <s v="sem"/>
    <s v="sem"/>
    <m/>
    <m/>
    <n v="948959"/>
    <n v="903875.5"/>
    <n v="332332"/>
    <n v="308489"/>
    <n v="971160"/>
    <n v="935232"/>
    <n v="2252451"/>
    <n v="75081.7"/>
    <n v="2147596.5"/>
    <n v="71586.55"/>
    <n v="143572"/>
    <n v="167141"/>
    <n v="2252451"/>
    <n v="2147596.5"/>
    <m/>
    <m/>
    <m/>
    <m/>
    <m/>
    <m/>
    <m/>
    <m/>
    <n v="0"/>
    <n v="0"/>
    <n v="0"/>
    <n v="0"/>
    <m/>
    <m/>
    <n v="0"/>
    <n v="0"/>
  </r>
  <r>
    <x v="14"/>
    <m/>
    <s v="all 9's"/>
    <m/>
    <x v="15"/>
    <s v="sem"/>
    <s v="sem"/>
    <m/>
    <m/>
    <n v="473061"/>
    <n v="463431"/>
    <n v="121302"/>
    <n v="112924"/>
    <n v="510048"/>
    <n v="482636"/>
    <n v="1104411"/>
    <n v="36813.699999999997"/>
    <n v="1058991"/>
    <n v="35299.699999999997"/>
    <n v="404362"/>
    <n v="421512"/>
    <n v="1104411"/>
    <n v="1058991"/>
    <m/>
    <m/>
    <m/>
    <m/>
    <m/>
    <m/>
    <m/>
    <m/>
    <n v="0"/>
    <n v="0"/>
    <n v="0"/>
    <n v="0"/>
    <m/>
    <m/>
    <n v="0"/>
    <n v="0"/>
  </r>
  <r>
    <x v="14"/>
    <s v="Richard Bland College B"/>
    <m/>
    <n v="233338"/>
    <x v="16"/>
    <s v="sem"/>
    <s v="sem"/>
    <m/>
    <m/>
    <n v="13687"/>
    <n v="13926"/>
    <n v="2057"/>
    <n v="1145"/>
    <n v="16232"/>
    <n v="19238"/>
    <n v="31976"/>
    <n v="1065.8666666666666"/>
    <n v="34309"/>
    <n v="1143.6333333333334"/>
    <n v="6453"/>
    <n v="13359"/>
    <n v="31976"/>
    <n v="34309"/>
    <m/>
    <m/>
    <m/>
    <m/>
    <m/>
    <m/>
    <m/>
    <m/>
    <n v="0"/>
    <n v="0"/>
    <n v="0"/>
    <n v="0"/>
    <m/>
    <m/>
    <n v="0"/>
    <n v="0"/>
  </r>
  <r>
    <x v="14"/>
    <m/>
    <s v="All'10's except R.B."/>
    <m/>
    <x v="16"/>
    <s v="sem"/>
    <s v="sem"/>
    <m/>
    <m/>
    <n v="92230"/>
    <n v="93039"/>
    <n v="24409"/>
    <n v="22082"/>
    <n v="102423"/>
    <n v="101585"/>
    <n v="219062"/>
    <n v="7302.0666666666666"/>
    <n v="216706"/>
    <n v="7223.5333333333338"/>
    <n v="99378"/>
    <n v="104828"/>
    <n v="219062"/>
    <n v="216706"/>
    <m/>
    <m/>
    <m/>
    <m/>
    <m/>
    <m/>
    <m/>
    <m/>
    <n v="0"/>
    <n v="0"/>
    <n v="0"/>
    <n v="0"/>
    <m/>
    <m/>
    <n v="0"/>
    <n v="0"/>
  </r>
  <r>
    <x v="15"/>
    <s v="West Virginia University"/>
    <m/>
    <n v="238032"/>
    <x v="0"/>
    <s v="sem"/>
    <s v="sem"/>
    <m/>
    <m/>
    <n v="302180"/>
    <n v="295191"/>
    <n v="42113"/>
    <n v="41586"/>
    <n v="316807"/>
    <n v="315348"/>
    <n v="661100"/>
    <n v="22036.666666666668"/>
    <n v="652125"/>
    <n v="21737.5"/>
    <n v="3847"/>
    <n v="4737"/>
    <n v="661100"/>
    <n v="652125"/>
    <m/>
    <m/>
    <m/>
    <m/>
    <m/>
    <m/>
    <m/>
    <m/>
    <n v="0"/>
    <n v="0"/>
    <n v="0"/>
    <n v="0"/>
    <m/>
    <m/>
    <n v="0"/>
    <n v="0"/>
  </r>
  <r>
    <x v="15"/>
    <s v="Marshall University "/>
    <m/>
    <n v="237525"/>
    <x v="2"/>
    <s v="sem"/>
    <s v="sem"/>
    <m/>
    <m/>
    <n v="119419"/>
    <n v="117475"/>
    <n v="14811"/>
    <n v="13801"/>
    <n v="129884"/>
    <n v="130472"/>
    <n v="264114"/>
    <n v="8803.7999999999993"/>
    <n v="261748"/>
    <n v="8724.9333333333325"/>
    <n v="4580"/>
    <n v="5608"/>
    <n v="264114"/>
    <n v="261748"/>
    <m/>
    <m/>
    <m/>
    <m/>
    <m/>
    <m/>
    <m/>
    <m/>
    <n v="0"/>
    <n v="0"/>
    <n v="0"/>
    <n v="0"/>
    <m/>
    <m/>
    <n v="0"/>
    <n v="0"/>
  </r>
  <r>
    <x v="15"/>
    <s v="Fairmont State University"/>
    <m/>
    <n v="237367"/>
    <x v="4"/>
    <s v="sem"/>
    <s v="sem"/>
    <m/>
    <m/>
    <n v="48932"/>
    <n v="45683"/>
    <n v="5271"/>
    <n v="4549"/>
    <n v="50877"/>
    <n v="51351"/>
    <n v="105080"/>
    <n v="3502.6666666666665"/>
    <n v="101583"/>
    <n v="3386.1"/>
    <n v="56"/>
    <n v="283"/>
    <n v="105080"/>
    <n v="101583"/>
    <m/>
    <m/>
    <m/>
    <m/>
    <m/>
    <m/>
    <m/>
    <m/>
    <n v="0"/>
    <n v="0"/>
    <n v="0"/>
    <n v="0"/>
    <m/>
    <m/>
    <n v="0"/>
    <n v="0"/>
  </r>
  <r>
    <x v="15"/>
    <s v="Shepherd University "/>
    <m/>
    <n v="237792"/>
    <x v="4"/>
    <s v="sem"/>
    <s v="sem"/>
    <m/>
    <m/>
    <n v="48972"/>
    <n v="45057"/>
    <n v="4327"/>
    <n v="4045"/>
    <n v="50130"/>
    <n v="47486"/>
    <n v="103429"/>
    <n v="3447.6333333333332"/>
    <n v="96588"/>
    <n v="3219.6"/>
    <n v="89"/>
    <n v="118"/>
    <n v="103429"/>
    <n v="96588"/>
    <m/>
    <m/>
    <m/>
    <m/>
    <m/>
    <m/>
    <m/>
    <m/>
    <n v="0"/>
    <n v="0"/>
    <n v="0"/>
    <n v="0"/>
    <m/>
    <m/>
    <n v="0"/>
    <n v="0"/>
  </r>
  <r>
    <x v="15"/>
    <s v="Bluefield State College "/>
    <m/>
    <n v="237215"/>
    <x v="5"/>
    <s v="sem"/>
    <s v="sem"/>
    <m/>
    <m/>
    <n v="20910"/>
    <n v="18472"/>
    <n v="1895"/>
    <n v="1470"/>
    <n v="20278.5"/>
    <n v="19537"/>
    <n v="43083.5"/>
    <n v="1436.1166666666666"/>
    <n v="39479"/>
    <n v="1315.9666666666667"/>
    <n v="174"/>
    <n v="302"/>
    <n v="43083.5"/>
    <n v="39479"/>
    <m/>
    <m/>
    <m/>
    <m/>
    <m/>
    <m/>
    <m/>
    <m/>
    <n v="0"/>
    <n v="0"/>
    <n v="0"/>
    <n v="0"/>
    <m/>
    <m/>
    <n v="0"/>
    <n v="0"/>
  </r>
  <r>
    <x v="15"/>
    <s v="Concord University "/>
    <s v="Met the criteria for Four-Year 5 in 2014-15 and 2015-16."/>
    <n v="237330"/>
    <x v="5"/>
    <s v="sem"/>
    <s v="sem"/>
    <m/>
    <m/>
    <n v="32782"/>
    <n v="28993"/>
    <n v="3522"/>
    <n v="3035"/>
    <n v="32382"/>
    <n v="31002"/>
    <n v="68686"/>
    <n v="2289.5333333333333"/>
    <n v="63030"/>
    <n v="2101"/>
    <n v="392"/>
    <n v="287"/>
    <n v="68686"/>
    <n v="63030"/>
    <m/>
    <m/>
    <m/>
    <m/>
    <m/>
    <m/>
    <m/>
    <m/>
    <n v="0"/>
    <n v="0"/>
    <n v="0"/>
    <n v="0"/>
    <m/>
    <m/>
    <n v="0"/>
    <n v="0"/>
  </r>
  <r>
    <x v="15"/>
    <s v="Glenville State College "/>
    <m/>
    <n v="237385"/>
    <x v="5"/>
    <s v="sem"/>
    <s v="sem"/>
    <m/>
    <m/>
    <n v="17333"/>
    <n v="17240"/>
    <n v="1278"/>
    <n v="1459"/>
    <n v="18926"/>
    <n v="18696.3"/>
    <n v="37537"/>
    <n v="1251.2333333333333"/>
    <n v="37395.300000000003"/>
    <n v="1246.51"/>
    <n v="1746"/>
    <n v="2050"/>
    <n v="37537"/>
    <n v="37395.300000000003"/>
    <m/>
    <m/>
    <m/>
    <m/>
    <m/>
    <m/>
    <m/>
    <m/>
    <n v="0"/>
    <n v="0"/>
    <n v="0"/>
    <n v="0"/>
    <m/>
    <m/>
    <n v="0"/>
    <n v="0"/>
  </r>
  <r>
    <x v="15"/>
    <s v="West Liberty University"/>
    <s v="Met the criteria for Four-Year 5 in 2014-15 and 2015-16."/>
    <n v="237932"/>
    <x v="5"/>
    <s v="sem"/>
    <s v="sem"/>
    <m/>
    <m/>
    <n v="34446"/>
    <n v="32120"/>
    <n v="2620"/>
    <n v="2255"/>
    <n v="35716"/>
    <n v="31549"/>
    <n v="72782"/>
    <n v="2426.0666666666666"/>
    <n v="65924"/>
    <n v="2197.4666666666667"/>
    <n v="1657"/>
    <n v="1513"/>
    <n v="72782"/>
    <n v="65924"/>
    <m/>
    <m/>
    <m/>
    <m/>
    <m/>
    <m/>
    <m/>
    <m/>
    <n v="0"/>
    <n v="0"/>
    <n v="0"/>
    <n v="0"/>
    <m/>
    <m/>
    <n v="0"/>
    <n v="0"/>
  </r>
  <r>
    <x v="15"/>
    <s v="West Virginia State University "/>
    <m/>
    <n v="237899"/>
    <x v="5"/>
    <s v="sem"/>
    <s v="sem"/>
    <m/>
    <m/>
    <n v="29084"/>
    <n v="30505"/>
    <n v="2773"/>
    <n v="2865"/>
    <n v="32876"/>
    <n v="33966"/>
    <n v="64733"/>
    <n v="2157.7666666666669"/>
    <n v="67336"/>
    <n v="2244.5333333333333"/>
    <n v="3382"/>
    <n v="6015"/>
    <n v="64733"/>
    <n v="67336"/>
    <m/>
    <m/>
    <m/>
    <m/>
    <m/>
    <m/>
    <m/>
    <m/>
    <n v="0"/>
    <n v="0"/>
    <n v="0"/>
    <n v="0"/>
    <m/>
    <m/>
    <n v="0"/>
    <n v="0"/>
  </r>
  <r>
    <x v="15"/>
    <s v="West Virginia University Institute of Technology"/>
    <m/>
    <n v="237950"/>
    <x v="5"/>
    <s v="sem"/>
    <s v="sem"/>
    <m/>
    <m/>
    <n v="15061"/>
    <n v="15332"/>
    <n v="1170"/>
    <n v="1015"/>
    <n v="16531"/>
    <n v="16470"/>
    <n v="32762"/>
    <n v="1092.0666666666666"/>
    <n v="32817"/>
    <n v="1093.9000000000001"/>
    <n v="783"/>
    <n v="1152"/>
    <n v="32762"/>
    <n v="32817"/>
    <m/>
    <m/>
    <m/>
    <m/>
    <m/>
    <m/>
    <m/>
    <m/>
    <n v="0"/>
    <n v="0"/>
    <n v="0"/>
    <n v="0"/>
    <m/>
    <m/>
    <n v="0"/>
    <n v="0"/>
  </r>
  <r>
    <x v="15"/>
    <s v="Potomac State College of West Virginia University"/>
    <m/>
    <n v="237701"/>
    <x v="11"/>
    <s v="sem"/>
    <s v="sem"/>
    <m/>
    <m/>
    <n v="18517"/>
    <n v="17451"/>
    <n v="1375"/>
    <n v="1233"/>
    <n v="19754"/>
    <n v="18868"/>
    <n v="39646"/>
    <n v="1321.5333333333333"/>
    <n v="37552"/>
    <n v="1251.7333333333333"/>
    <n v="2149"/>
    <n v="2557"/>
    <n v="39646"/>
    <n v="37552"/>
    <m/>
    <m/>
    <m/>
    <m/>
    <m/>
    <m/>
    <m/>
    <m/>
    <n v="0"/>
    <n v="0"/>
    <n v="0"/>
    <n v="0"/>
    <m/>
    <m/>
    <n v="0"/>
    <n v="0"/>
  </r>
  <r>
    <x v="15"/>
    <s v="West Virginia University at Parkersburg"/>
    <s v="Reclassified: Met the criteria for Four-Year 6 in 2013-14, 2014-15, and 2015-16."/>
    <n v="237686"/>
    <x v="5"/>
    <s v="sem"/>
    <s v="sem"/>
    <m/>
    <m/>
    <n v="32353"/>
    <n v="27270"/>
    <n v="5765"/>
    <n v="5131"/>
    <n v="31229"/>
    <n v="28215"/>
    <n v="69347"/>
    <n v="2311.5666666666666"/>
    <n v="60616"/>
    <n v="2020.5333333333333"/>
    <n v="2864"/>
    <n v="3072"/>
    <n v="69347"/>
    <n v="60616"/>
    <m/>
    <m/>
    <m/>
    <m/>
    <m/>
    <m/>
    <m/>
    <m/>
    <n v="0"/>
    <n v="0"/>
    <n v="0"/>
    <n v="0"/>
    <m/>
    <m/>
    <n v="0"/>
    <n v="0"/>
  </r>
  <r>
    <x v="15"/>
    <s v="New River Community &amp; Technical College"/>
    <s v="Met the criteria for Two-Year 3 in 2014-15 and 2015-16."/>
    <n v="447582"/>
    <x v="6"/>
    <s v="sem"/>
    <s v="sem"/>
    <m/>
    <m/>
    <n v="26537"/>
    <n v="21186"/>
    <n v="3984"/>
    <n v="2599"/>
    <n v="23699"/>
    <n v="18811"/>
    <n v="54220"/>
    <n v="1807.3333333333333"/>
    <n v="42596"/>
    <n v="1419.8666666666666"/>
    <n v="1255"/>
    <n v="984"/>
    <n v="54220"/>
    <n v="42596"/>
    <m/>
    <m/>
    <m/>
    <m/>
    <m/>
    <m/>
    <m/>
    <m/>
    <n v="0"/>
    <n v="0"/>
    <n v="0"/>
    <n v="0"/>
    <m/>
    <m/>
    <n v="0"/>
    <n v="0"/>
  </r>
  <r>
    <x v="15"/>
    <s v="Pierpont Community &amp; Technical College"/>
    <s v="Met the criteria for Two-Year 3 in 2014-15 and 2015-16."/>
    <n v="443492"/>
    <x v="6"/>
    <s v="sem"/>
    <s v="sem"/>
    <m/>
    <m/>
    <n v="23944"/>
    <n v="20117"/>
    <n v="2680"/>
    <n v="1976"/>
    <n v="24210"/>
    <n v="22666"/>
    <n v="50834"/>
    <n v="1694.4666666666667"/>
    <n v="44759"/>
    <n v="1491.9666666666667"/>
    <n v="4580"/>
    <n v="4466"/>
    <n v="50834"/>
    <n v="44759"/>
    <m/>
    <m/>
    <m/>
    <m/>
    <m/>
    <m/>
    <m/>
    <m/>
    <n v="0"/>
    <n v="0"/>
    <n v="0"/>
    <n v="0"/>
    <m/>
    <m/>
    <n v="0"/>
    <n v="0"/>
  </r>
  <r>
    <x v="15"/>
    <s v="Blue Ridge Community &amp; Technical College"/>
    <s v="Met the criteria for Two-Year 2 in 2014-15 and 2015-16."/>
    <n v="446774"/>
    <x v="8"/>
    <s v="sem"/>
    <s v="sem"/>
    <m/>
    <m/>
    <n v="26693.4"/>
    <n v="26991.8"/>
    <n v="3036"/>
    <n v="3066"/>
    <n v="31365.1"/>
    <n v="29979.8"/>
    <n v="61094.5"/>
    <n v="2036.4833333333333"/>
    <n v="60037.599999999999"/>
    <n v="2001.2533333333333"/>
    <n v="1252.3"/>
    <n v="1992.4"/>
    <n v="61094.5"/>
    <n v="60037.599999999999"/>
    <m/>
    <m/>
    <m/>
    <m/>
    <m/>
    <m/>
    <m/>
    <m/>
    <n v="0"/>
    <n v="0"/>
    <n v="0"/>
    <n v="0"/>
    <m/>
    <m/>
    <n v="0"/>
    <n v="0"/>
  </r>
  <r>
    <x v="15"/>
    <s v="BridgeValley Community &amp; Technical College"/>
    <s v="New"/>
    <n v="484932"/>
    <x v="8"/>
    <s v="sem"/>
    <s v="sem"/>
    <m/>
    <m/>
    <n v="23913.5"/>
    <n v="19190"/>
    <n v="2394"/>
    <n v="2160"/>
    <n v="21783"/>
    <n v="22118.5"/>
    <n v="48090.5"/>
    <n v="1603.0166666666667"/>
    <n v="43468.5"/>
    <n v="1448.95"/>
    <n v="578"/>
    <n v="1506"/>
    <n v="48090.5"/>
    <n v="43468.5"/>
    <m/>
    <m/>
    <m/>
    <m/>
    <m/>
    <m/>
    <m/>
    <m/>
    <n v="0"/>
    <n v="0"/>
    <n v="0"/>
    <n v="0"/>
    <m/>
    <m/>
    <n v="0"/>
    <n v="0"/>
  </r>
  <r>
    <x v="15"/>
    <s v="Eastern West Virginia Community &amp; Technical College"/>
    <m/>
    <n v="438708"/>
    <x v="8"/>
    <s v="sem"/>
    <s v="sem"/>
    <m/>
    <m/>
    <n v="6400"/>
    <n v="5643"/>
    <n v="1053"/>
    <n v="1027"/>
    <n v="7307"/>
    <n v="6934"/>
    <n v="14760"/>
    <n v="492"/>
    <n v="13604"/>
    <n v="453.46666666666664"/>
    <n v="1281"/>
    <n v="2063"/>
    <n v="14760"/>
    <n v="13604"/>
    <m/>
    <m/>
    <m/>
    <m/>
    <m/>
    <m/>
    <m/>
    <m/>
    <n v="0"/>
    <n v="0"/>
    <n v="0"/>
    <n v="0"/>
    <m/>
    <m/>
    <n v="0"/>
    <n v="0"/>
  </r>
  <r>
    <x v="15"/>
    <s v="Mountwest Community &amp; Technical College"/>
    <m/>
    <n v="444954"/>
    <x v="8"/>
    <s v="sem"/>
    <s v="sem"/>
    <m/>
    <m/>
    <n v="21101"/>
    <n v="19787"/>
    <n v="4341"/>
    <n v="3948"/>
    <n v="22838"/>
    <n v="21539"/>
    <n v="48280"/>
    <n v="1609.3333333333333"/>
    <n v="45274"/>
    <n v="1509.1333333333334"/>
    <n v="649"/>
    <n v="1301"/>
    <n v="48280"/>
    <n v="45274"/>
    <m/>
    <m/>
    <m/>
    <m/>
    <m/>
    <m/>
    <m/>
    <m/>
    <n v="0"/>
    <n v="0"/>
    <n v="0"/>
    <n v="0"/>
    <m/>
    <m/>
    <n v="0"/>
    <n v="0"/>
  </r>
  <r>
    <x v="15"/>
    <s v="Southern West Virginia Community &amp; Technical College "/>
    <m/>
    <n v="237817"/>
    <x v="8"/>
    <s v="sem"/>
    <s v="sem"/>
    <m/>
    <m/>
    <n v="19286"/>
    <n v="17542"/>
    <n v="1220"/>
    <n v="1238"/>
    <n v="20694"/>
    <n v="18681"/>
    <n v="41200"/>
    <n v="1373.3333333333333"/>
    <n v="37461"/>
    <n v="1248.7"/>
    <n v="1580"/>
    <n v="1081"/>
    <n v="41200"/>
    <n v="37461"/>
    <m/>
    <m/>
    <m/>
    <m/>
    <m/>
    <m/>
    <m/>
    <m/>
    <n v="0"/>
    <n v="0"/>
    <n v="0"/>
    <n v="0"/>
    <m/>
    <m/>
    <n v="0"/>
    <n v="0"/>
  </r>
  <r>
    <x v="15"/>
    <s v="West Virginia Northern Community College"/>
    <m/>
    <n v="238014"/>
    <x v="8"/>
    <s v="sem"/>
    <s v="sem"/>
    <m/>
    <m/>
    <n v="17952.599999999999"/>
    <n v="16874.2"/>
    <n v="4618.5"/>
    <n v="4180"/>
    <n v="19391.8"/>
    <n v="18429.400000000001"/>
    <n v="41962.899999999994"/>
    <n v="1398.7633333333331"/>
    <n v="39483.600000000006"/>
    <n v="1316.1200000000001"/>
    <n v="1849"/>
    <n v="3028"/>
    <n v="41962.899999999994"/>
    <n v="39483.600000000006"/>
    <m/>
    <m/>
    <m/>
    <m/>
    <m/>
    <m/>
    <m/>
    <m/>
    <n v="0"/>
    <n v="0"/>
    <n v="0"/>
    <n v="0"/>
    <m/>
    <m/>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3" cacheId="0" dataOnRows="1" applyNumberFormats="0" applyBorderFormats="0" applyFontFormats="0" applyPatternFormats="0" applyAlignmentFormats="0" applyWidthHeightFormats="1" dataCaption="Data" updatedVersion="6" minRefreshableVersion="3" asteriskTotals="1" showMultipleLabel="0" showMemberPropertyTips="0" useAutoFormatting="1" colGrandTotals="0" itemPrintTitles="1" createdVersion="3" indent="0" compact="0" compactData="0" gridDropZones="1">
  <location ref="A2:AA208" firstHeaderRow="1" firstDataRow="3" firstDataCol="2"/>
  <pivotFields count="64">
    <pivotField axis="axisRow" compact="0" outline="0" subtotalTop="0" showAll="0" includeNewItemsInFilter="1" sortType="ascending" rankBy="0">
      <items count="17">
        <item x="0"/>
        <item x="1"/>
        <item x="2"/>
        <item x="3"/>
        <item x="4"/>
        <item x="5"/>
        <item x="6"/>
        <item x="7"/>
        <item x="8"/>
        <item x="9"/>
        <item x="10"/>
        <item x="11"/>
        <item x="12"/>
        <item x="13"/>
        <item x="14"/>
        <item x="15"/>
        <item t="default"/>
      </items>
    </pivotField>
    <pivotField compact="0" outline="0" subtotalTop="0" showAll="0" includeNewItemsInFilter="1"/>
    <pivotField compact="0" outline="0" showAll="0" defaultSubtotal="0"/>
    <pivotField compact="0" outline="0" subtotalTop="0" showAll="0" includeNewItemsInFilter="1"/>
    <pivotField name="Category" axis="axisCol" compact="0" numFmtId="164" outline="0" subtotalTop="0" showAll="0" includeNewItemsInFilter="1">
      <items count="20">
        <item x="0"/>
        <item x="1"/>
        <item x="2"/>
        <item x="3"/>
        <item x="4"/>
        <item x="5"/>
        <item n="7" x="11"/>
        <item n="8" x="7"/>
        <item n="9" x="6"/>
        <item n="10" x="8"/>
        <item n="11" x="12"/>
        <item n="12" x="9"/>
        <item n="13" x="10"/>
        <item m="1" x="17"/>
        <item h="1" m="1" x="18"/>
        <item x="13"/>
        <item x="14"/>
        <item x="15"/>
        <item x="16"/>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numFmtId="3"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numFmtId="3" outline="0" showAll="0" defaultSubtotal="0"/>
    <pivotField compact="0" numFmtId="3"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numFmtId="3" outline="0" subtotalTop="0" showAll="0" includeNewItemsInFilter="1"/>
    <pivotField compact="0" outline="0" subtotalTop="0" showAll="0" includeNewItemsInFilter="1"/>
    <pivotField dataField="1" compact="0" numFmtId="3" outline="0" subtotalTop="0" showAll="0" includeNewItemsInFilter="1"/>
    <pivotField compact="0" outline="0" subtotalTop="0" showAll="0" includeNewItemsInFilter="1"/>
    <pivotField compact="0" outline="0" subtotalTop="0" showAll="0" includeNewItemsInFilter="1"/>
    <pivotField compact="0" numFmtId="3" outline="0" showAll="0" defaultSubtotal="0"/>
    <pivotField compact="0" numFmtId="3"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numFmtId="3" outline="0" subtotalTop="0" showAll="0" includeNewItemsInFilter="1"/>
    <pivotField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axis="axisCol" compact="0" outline="0" subtotalTop="0" showAll="0" includeNewItemsInFilter="1">
      <items count="10">
        <item n="Four-Year" x="2"/>
        <item n="Two-Year" x="3"/>
        <item n="11" x="1"/>
        <item n="Technical" x="4"/>
        <item h="1" x="0"/>
        <item x="5"/>
        <item x="6"/>
        <item x="7"/>
        <item x="8"/>
        <item t="default"/>
      </items>
    </pivotField>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2">
    <field x="0"/>
    <field x="-2"/>
  </rowFields>
  <rowItems count="204">
    <i>
      <x/>
      <x/>
    </i>
    <i r="1" i="1">
      <x v="1"/>
    </i>
    <i r="1" i="2">
      <x v="2"/>
    </i>
    <i r="1" i="3">
      <x v="3"/>
    </i>
    <i r="1" i="4">
      <x v="4"/>
    </i>
    <i r="1" i="5">
      <x v="5"/>
    </i>
    <i r="1" i="6">
      <x v="6"/>
    </i>
    <i r="1" i="7">
      <x v="7"/>
    </i>
    <i r="1" i="8">
      <x v="8"/>
    </i>
    <i r="1" i="9">
      <x v="9"/>
    </i>
    <i r="1" i="10">
      <x v="10"/>
    </i>
    <i r="1" i="11">
      <x v="11"/>
    </i>
    <i>
      <x v="1"/>
      <x/>
    </i>
    <i r="1" i="1">
      <x v="1"/>
    </i>
    <i r="1" i="2">
      <x v="2"/>
    </i>
    <i r="1" i="3">
      <x v="3"/>
    </i>
    <i r="1" i="4">
      <x v="4"/>
    </i>
    <i r="1" i="5">
      <x v="5"/>
    </i>
    <i r="1" i="6">
      <x v="6"/>
    </i>
    <i r="1" i="7">
      <x v="7"/>
    </i>
    <i r="1" i="8">
      <x v="8"/>
    </i>
    <i r="1" i="9">
      <x v="9"/>
    </i>
    <i r="1" i="10">
      <x v="10"/>
    </i>
    <i r="1" i="11">
      <x v="11"/>
    </i>
    <i>
      <x v="2"/>
      <x/>
    </i>
    <i r="1" i="1">
      <x v="1"/>
    </i>
    <i r="1" i="2">
      <x v="2"/>
    </i>
    <i r="1" i="3">
      <x v="3"/>
    </i>
    <i r="1" i="4">
      <x v="4"/>
    </i>
    <i r="1" i="5">
      <x v="5"/>
    </i>
    <i r="1" i="6">
      <x v="6"/>
    </i>
    <i r="1" i="7">
      <x v="7"/>
    </i>
    <i r="1" i="8">
      <x v="8"/>
    </i>
    <i r="1" i="9">
      <x v="9"/>
    </i>
    <i r="1" i="10">
      <x v="10"/>
    </i>
    <i r="1" i="11">
      <x v="11"/>
    </i>
    <i>
      <x v="3"/>
      <x/>
    </i>
    <i r="1" i="1">
      <x v="1"/>
    </i>
    <i r="1" i="2">
      <x v="2"/>
    </i>
    <i r="1" i="3">
      <x v="3"/>
    </i>
    <i r="1" i="4">
      <x v="4"/>
    </i>
    <i r="1" i="5">
      <x v="5"/>
    </i>
    <i r="1" i="6">
      <x v="6"/>
    </i>
    <i r="1" i="7">
      <x v="7"/>
    </i>
    <i r="1" i="8">
      <x v="8"/>
    </i>
    <i r="1" i="9">
      <x v="9"/>
    </i>
    <i r="1" i="10">
      <x v="10"/>
    </i>
    <i r="1" i="11">
      <x v="11"/>
    </i>
    <i>
      <x v="4"/>
      <x/>
    </i>
    <i r="1" i="1">
      <x v="1"/>
    </i>
    <i r="1" i="2">
      <x v="2"/>
    </i>
    <i r="1" i="3">
      <x v="3"/>
    </i>
    <i r="1" i="4">
      <x v="4"/>
    </i>
    <i r="1" i="5">
      <x v="5"/>
    </i>
    <i r="1" i="6">
      <x v="6"/>
    </i>
    <i r="1" i="7">
      <x v="7"/>
    </i>
    <i r="1" i="8">
      <x v="8"/>
    </i>
    <i r="1" i="9">
      <x v="9"/>
    </i>
    <i r="1" i="10">
      <x v="10"/>
    </i>
    <i r="1" i="11">
      <x v="11"/>
    </i>
    <i>
      <x v="5"/>
      <x/>
    </i>
    <i r="1" i="1">
      <x v="1"/>
    </i>
    <i r="1" i="2">
      <x v="2"/>
    </i>
    <i r="1" i="3">
      <x v="3"/>
    </i>
    <i r="1" i="4">
      <x v="4"/>
    </i>
    <i r="1" i="5">
      <x v="5"/>
    </i>
    <i r="1" i="6">
      <x v="6"/>
    </i>
    <i r="1" i="7">
      <x v="7"/>
    </i>
    <i r="1" i="8">
      <x v="8"/>
    </i>
    <i r="1" i="9">
      <x v="9"/>
    </i>
    <i r="1" i="10">
      <x v="10"/>
    </i>
    <i r="1" i="11">
      <x v="11"/>
    </i>
    <i>
      <x v="6"/>
      <x/>
    </i>
    <i r="1" i="1">
      <x v="1"/>
    </i>
    <i r="1" i="2">
      <x v="2"/>
    </i>
    <i r="1" i="3">
      <x v="3"/>
    </i>
    <i r="1" i="4">
      <x v="4"/>
    </i>
    <i r="1" i="5">
      <x v="5"/>
    </i>
    <i r="1" i="6">
      <x v="6"/>
    </i>
    <i r="1" i="7">
      <x v="7"/>
    </i>
    <i r="1" i="8">
      <x v="8"/>
    </i>
    <i r="1" i="9">
      <x v="9"/>
    </i>
    <i r="1" i="10">
      <x v="10"/>
    </i>
    <i r="1" i="11">
      <x v="11"/>
    </i>
    <i>
      <x v="7"/>
      <x/>
    </i>
    <i r="1" i="1">
      <x v="1"/>
    </i>
    <i r="1" i="2">
      <x v="2"/>
    </i>
    <i r="1" i="3">
      <x v="3"/>
    </i>
    <i r="1" i="4">
      <x v="4"/>
    </i>
    <i r="1" i="5">
      <x v="5"/>
    </i>
    <i r="1" i="6">
      <x v="6"/>
    </i>
    <i r="1" i="7">
      <x v="7"/>
    </i>
    <i r="1" i="8">
      <x v="8"/>
    </i>
    <i r="1" i="9">
      <x v="9"/>
    </i>
    <i r="1" i="10">
      <x v="10"/>
    </i>
    <i r="1" i="11">
      <x v="11"/>
    </i>
    <i>
      <x v="8"/>
      <x/>
    </i>
    <i r="1" i="1">
      <x v="1"/>
    </i>
    <i r="1" i="2">
      <x v="2"/>
    </i>
    <i r="1" i="3">
      <x v="3"/>
    </i>
    <i r="1" i="4">
      <x v="4"/>
    </i>
    <i r="1" i="5">
      <x v="5"/>
    </i>
    <i r="1" i="6">
      <x v="6"/>
    </i>
    <i r="1" i="7">
      <x v="7"/>
    </i>
    <i r="1" i="8">
      <x v="8"/>
    </i>
    <i r="1" i="9">
      <x v="9"/>
    </i>
    <i r="1" i="10">
      <x v="10"/>
    </i>
    <i r="1" i="11">
      <x v="11"/>
    </i>
    <i>
      <x v="9"/>
      <x/>
    </i>
    <i r="1" i="1">
      <x v="1"/>
    </i>
    <i r="1" i="2">
      <x v="2"/>
    </i>
    <i r="1" i="3">
      <x v="3"/>
    </i>
    <i r="1" i="4">
      <x v="4"/>
    </i>
    <i r="1" i="5">
      <x v="5"/>
    </i>
    <i r="1" i="6">
      <x v="6"/>
    </i>
    <i r="1" i="7">
      <x v="7"/>
    </i>
    <i r="1" i="8">
      <x v="8"/>
    </i>
    <i r="1" i="9">
      <x v="9"/>
    </i>
    <i r="1" i="10">
      <x v="10"/>
    </i>
    <i r="1" i="11">
      <x v="11"/>
    </i>
    <i>
      <x v="10"/>
      <x/>
    </i>
    <i r="1" i="1">
      <x v="1"/>
    </i>
    <i r="1" i="2">
      <x v="2"/>
    </i>
    <i r="1" i="3">
      <x v="3"/>
    </i>
    <i r="1" i="4">
      <x v="4"/>
    </i>
    <i r="1" i="5">
      <x v="5"/>
    </i>
    <i r="1" i="6">
      <x v="6"/>
    </i>
    <i r="1" i="7">
      <x v="7"/>
    </i>
    <i r="1" i="8">
      <x v="8"/>
    </i>
    <i r="1" i="9">
      <x v="9"/>
    </i>
    <i r="1" i="10">
      <x v="10"/>
    </i>
    <i r="1" i="11">
      <x v="11"/>
    </i>
    <i>
      <x v="11"/>
      <x/>
    </i>
    <i r="1" i="1">
      <x v="1"/>
    </i>
    <i r="1" i="2">
      <x v="2"/>
    </i>
    <i r="1" i="3">
      <x v="3"/>
    </i>
    <i r="1" i="4">
      <x v="4"/>
    </i>
    <i r="1" i="5">
      <x v="5"/>
    </i>
    <i r="1" i="6">
      <x v="6"/>
    </i>
    <i r="1" i="7">
      <x v="7"/>
    </i>
    <i r="1" i="8">
      <x v="8"/>
    </i>
    <i r="1" i="9">
      <x v="9"/>
    </i>
    <i r="1" i="10">
      <x v="10"/>
    </i>
    <i r="1" i="11">
      <x v="11"/>
    </i>
    <i>
      <x v="12"/>
      <x/>
    </i>
    <i r="1" i="1">
      <x v="1"/>
    </i>
    <i r="1" i="2">
      <x v="2"/>
    </i>
    <i r="1" i="3">
      <x v="3"/>
    </i>
    <i r="1" i="4">
      <x v="4"/>
    </i>
    <i r="1" i="5">
      <x v="5"/>
    </i>
    <i r="1" i="6">
      <x v="6"/>
    </i>
    <i r="1" i="7">
      <x v="7"/>
    </i>
    <i r="1" i="8">
      <x v="8"/>
    </i>
    <i r="1" i="9">
      <x v="9"/>
    </i>
    <i r="1" i="10">
      <x v="10"/>
    </i>
    <i r="1" i="11">
      <x v="11"/>
    </i>
    <i>
      <x v="13"/>
      <x/>
    </i>
    <i r="1" i="1">
      <x v="1"/>
    </i>
    <i r="1" i="2">
      <x v="2"/>
    </i>
    <i r="1" i="3">
      <x v="3"/>
    </i>
    <i r="1" i="4">
      <x v="4"/>
    </i>
    <i r="1" i="5">
      <x v="5"/>
    </i>
    <i r="1" i="6">
      <x v="6"/>
    </i>
    <i r="1" i="7">
      <x v="7"/>
    </i>
    <i r="1" i="8">
      <x v="8"/>
    </i>
    <i r="1" i="9">
      <x v="9"/>
    </i>
    <i r="1" i="10">
      <x v="10"/>
    </i>
    <i r="1" i="11">
      <x v="11"/>
    </i>
    <i>
      <x v="14"/>
      <x/>
    </i>
    <i r="1" i="1">
      <x v="1"/>
    </i>
    <i r="1" i="2">
      <x v="2"/>
    </i>
    <i r="1" i="3">
      <x v="3"/>
    </i>
    <i r="1" i="4">
      <x v="4"/>
    </i>
    <i r="1" i="5">
      <x v="5"/>
    </i>
    <i r="1" i="6">
      <x v="6"/>
    </i>
    <i r="1" i="7">
      <x v="7"/>
    </i>
    <i r="1" i="8">
      <x v="8"/>
    </i>
    <i r="1" i="9">
      <x v="9"/>
    </i>
    <i r="1" i="10">
      <x v="10"/>
    </i>
    <i r="1" i="11">
      <x v="11"/>
    </i>
    <i>
      <x v="15"/>
      <x/>
    </i>
    <i r="1" i="1">
      <x v="1"/>
    </i>
    <i r="1" i="2">
      <x v="2"/>
    </i>
    <i r="1" i="3">
      <x v="3"/>
    </i>
    <i r="1" i="4">
      <x v="4"/>
    </i>
    <i r="1" i="5">
      <x v="5"/>
    </i>
    <i r="1" i="6">
      <x v="6"/>
    </i>
    <i r="1" i="7">
      <x v="7"/>
    </i>
    <i r="1" i="8">
      <x v="8"/>
    </i>
    <i r="1" i="9">
      <x v="9"/>
    </i>
    <i r="1" i="10">
      <x v="10"/>
    </i>
    <i r="1" i="11">
      <x v="11"/>
    </i>
    <i t="grand">
      <x/>
    </i>
    <i t="grand" i="1">
      <x/>
    </i>
    <i t="grand" i="2">
      <x/>
    </i>
    <i t="grand" i="3">
      <x/>
    </i>
    <i t="grand" i="4">
      <x/>
    </i>
    <i t="grand" i="5">
      <x/>
    </i>
    <i t="grand" i="6">
      <x/>
    </i>
    <i t="grand" i="7">
      <x/>
    </i>
    <i t="grand" i="8">
      <x/>
    </i>
    <i t="grand" i="9">
      <x/>
    </i>
    <i t="grand" i="10">
      <x/>
    </i>
    <i t="grand" i="11">
      <x/>
    </i>
  </rowItems>
  <colFields count="2">
    <field x="60"/>
    <field x="4"/>
  </colFields>
  <colItems count="25">
    <i>
      <x/>
      <x/>
    </i>
    <i r="1">
      <x v="1"/>
    </i>
    <i r="1">
      <x v="2"/>
    </i>
    <i r="1">
      <x v="3"/>
    </i>
    <i r="1">
      <x v="4"/>
    </i>
    <i r="1">
      <x v="5"/>
    </i>
    <i t="default">
      <x/>
    </i>
    <i>
      <x v="1"/>
      <x v="6"/>
    </i>
    <i r="1">
      <x v="7"/>
    </i>
    <i r="1">
      <x v="8"/>
    </i>
    <i r="1">
      <x v="9"/>
    </i>
    <i t="default">
      <x v="1"/>
    </i>
    <i>
      <x v="2"/>
      <x v="10"/>
    </i>
    <i t="default">
      <x v="2"/>
    </i>
    <i>
      <x v="3"/>
      <x v="11"/>
    </i>
    <i r="1">
      <x v="12"/>
    </i>
    <i t="default">
      <x v="3"/>
    </i>
    <i>
      <x v="5"/>
      <x v="15"/>
    </i>
    <i t="default">
      <x v="5"/>
    </i>
    <i>
      <x v="6"/>
      <x v="16"/>
    </i>
    <i t="default">
      <x v="6"/>
    </i>
    <i>
      <x v="7"/>
      <x v="17"/>
    </i>
    <i t="default">
      <x v="7"/>
    </i>
    <i>
      <x v="8"/>
      <x v="18"/>
    </i>
    <i t="default">
      <x v="8"/>
    </i>
  </colItems>
  <dataFields count="12">
    <dataField name="Undergrad Student Credit Hour  FTE - Old" fld="16" baseField="0" baseItem="0" numFmtId="3"/>
    <dataField name="Undergrad Student Credit Hour FTE - New" fld="18" baseField="0" baseItem="0" numFmtId="3"/>
    <dataField name=" % Change Undergrad SCH FTE" fld="53" baseField="0" baseItem="0" numFmtId="166"/>
    <dataField name=" Undergrad Contact Hour FTE - Old" fld="32" baseField="0" baseItem="0" numFmtId="3"/>
    <dataField name=" Undergrad Contact Hour FTE - New" fld="34" baseField="0" baseItem="0" numFmtId="3"/>
    <dataField name=" % Change Undergrad CH FTE" fld="55" baseField="0" baseItem="0" numFmtId="166"/>
    <dataField name="Graduate FTE - Old" fld="48" baseField="0" baseItem="0" numFmtId="3"/>
    <dataField name="Graduate FTE - New" fld="50" baseField="0" baseItem="0" numFmtId="3"/>
    <dataField name=" % Change Graduate  FTE" fld="54" baseField="0" baseItem="0" numFmtId="166"/>
    <dataField name="Grand Total FTE - Old" fld="51" baseField="0" baseItem="0" numFmtId="3"/>
    <dataField name="Grand Total FTE - New" fld="52" baseField="0" baseItem="0" numFmtId="3"/>
    <dataField name=" % Change Grand Total FTE" fld="61" baseField="0" baseItem="0" numFmtId="166"/>
  </dataFields>
  <formats count="487">
    <format dxfId="2442">
      <pivotArea type="all" dataOnly="0" outline="0" fieldPosition="0"/>
    </format>
    <format dxfId="2441">
      <pivotArea type="all" dataOnly="0" outline="0" fieldPosition="0"/>
    </format>
    <format dxfId="2440">
      <pivotArea type="all" dataOnly="0" outline="0" fieldPosition="0"/>
    </format>
    <format dxfId="2439">
      <pivotArea type="all" dataOnly="0" outline="0" fieldPosition="0"/>
    </format>
    <format dxfId="2438">
      <pivotArea dataOnly="0" outline="0" fieldPosition="0">
        <references count="1">
          <reference field="4294967294" count="1">
            <x v="2"/>
          </reference>
        </references>
      </pivotArea>
    </format>
    <format dxfId="2437">
      <pivotArea dataOnly="0" outline="0" fieldPosition="0">
        <references count="1">
          <reference field="4294967294" count="1">
            <x v="5"/>
          </reference>
        </references>
      </pivotArea>
    </format>
    <format dxfId="2436">
      <pivotArea dataOnly="0" outline="0" fieldPosition="0">
        <references count="1">
          <reference field="4294967294" count="1">
            <x v="8"/>
          </reference>
        </references>
      </pivotArea>
    </format>
    <format dxfId="2435">
      <pivotArea dataOnly="0" outline="0" fieldPosition="0">
        <references count="1">
          <reference field="4294967294" count="1">
            <x v="2"/>
          </reference>
        </references>
      </pivotArea>
    </format>
    <format dxfId="2434">
      <pivotArea dataOnly="0" outline="0" fieldPosition="0">
        <references count="1">
          <reference field="4294967294" count="1">
            <x v="5"/>
          </reference>
        </references>
      </pivotArea>
    </format>
    <format dxfId="2433">
      <pivotArea dataOnly="0" outline="0" fieldPosition="0">
        <references count="1">
          <reference field="4294967294" count="1">
            <x v="8"/>
          </reference>
        </references>
      </pivotArea>
    </format>
    <format dxfId="2432">
      <pivotArea outline="0" fieldPosition="0">
        <references count="2">
          <reference field="0" count="1" selected="0">
            <x v="4"/>
          </reference>
          <reference field="4" count="4" selected="0">
            <x v="2"/>
            <x v="3"/>
            <x v="4"/>
            <x v="5"/>
          </reference>
        </references>
      </pivotArea>
    </format>
    <format dxfId="2431">
      <pivotArea dataOnly="0" labelOnly="1" outline="0" fieldPosition="0">
        <references count="1">
          <reference field="0" count="1">
            <x v="4"/>
          </reference>
        </references>
      </pivotArea>
    </format>
    <format dxfId="2430">
      <pivotArea dataOnly="0" outline="0" fieldPosition="0">
        <references count="1">
          <reference field="4294967294" count="3">
            <x v="2"/>
            <x v="5"/>
            <x v="8"/>
          </reference>
        </references>
      </pivotArea>
    </format>
    <format dxfId="2429">
      <pivotArea field="0" dataOnly="0" grandRow="1" outline="0" axis="axisRow" fieldPosition="0">
        <references count="1">
          <reference field="4294967294" count="1" selected="0">
            <x v="2"/>
          </reference>
        </references>
      </pivotArea>
    </format>
    <format dxfId="2428">
      <pivotArea field="0" dataOnly="0" grandRow="1" outline="0" axis="axisRow" fieldPosition="0">
        <references count="1">
          <reference field="4294967294" count="1" selected="0">
            <x v="2"/>
          </reference>
        </references>
      </pivotArea>
    </format>
    <format dxfId="2427">
      <pivotArea field="0" dataOnly="0" grandRow="1" outline="0" axis="axisRow" fieldPosition="0">
        <references count="1">
          <reference field="4294967294" count="1" selected="0">
            <x v="2"/>
          </reference>
        </references>
      </pivotArea>
    </format>
    <format dxfId="2426">
      <pivotArea field="0" dataOnly="0" grandRow="1" outline="0" axis="axisRow" fieldPosition="0">
        <references count="1">
          <reference field="4294967294" count="1" selected="0">
            <x v="5"/>
          </reference>
        </references>
      </pivotArea>
    </format>
    <format dxfId="2425">
      <pivotArea field="0" dataOnly="0" grandRow="1" outline="0" axis="axisRow" fieldPosition="0">
        <references count="1">
          <reference field="4294967294" count="1" selected="0">
            <x v="8"/>
          </reference>
        </references>
      </pivotArea>
    </format>
    <format dxfId="2424">
      <pivotArea field="0" dataOnly="0" grandRow="1" outline="0" axis="axisRow" fieldPosition="0">
        <references count="1">
          <reference field="4294967294" count="1" selected="0">
            <x v="2"/>
          </reference>
        </references>
      </pivotArea>
    </format>
    <format dxfId="2423">
      <pivotArea field="0" dataOnly="0" grandRow="1" outline="0" axis="axisRow" fieldPosition="0">
        <references count="1">
          <reference field="4294967294" count="1" selected="0">
            <x v="2"/>
          </reference>
        </references>
      </pivotArea>
    </format>
    <format dxfId="2422">
      <pivotArea field="0" dataOnly="0" grandRow="1" outline="0" axis="axisRow" fieldPosition="0">
        <references count="1">
          <reference field="4294967294" count="1" selected="0">
            <x v="2"/>
          </reference>
        </references>
      </pivotArea>
    </format>
    <format dxfId="2421">
      <pivotArea field="0" dataOnly="0" grandRow="1" outline="0" axis="axisRow" fieldPosition="0">
        <references count="1">
          <reference field="4294967294" count="1" selected="0">
            <x v="2"/>
          </reference>
        </references>
      </pivotArea>
    </format>
    <format dxfId="2420">
      <pivotArea field="0" dataOnly="0" labelOnly="1" grandRow="1" outline="0" axis="axisRow" fieldPosition="0">
        <references count="1">
          <reference field="4294967294" count="1" selected="0">
            <x v="2"/>
          </reference>
        </references>
      </pivotArea>
    </format>
    <format dxfId="2419">
      <pivotArea field="0" dataOnly="0" labelOnly="1" grandRow="1" outline="0" axis="axisRow" fieldPosition="0">
        <references count="1">
          <reference field="4294967294" count="1" selected="0">
            <x v="2"/>
          </reference>
        </references>
      </pivotArea>
    </format>
    <format dxfId="2418">
      <pivotArea field="0" dataOnly="0" labelOnly="1" grandRow="1" outline="0" axis="axisRow" fieldPosition="0">
        <references count="1">
          <reference field="4294967294" count="1" selected="0">
            <x v="2"/>
          </reference>
        </references>
      </pivotArea>
    </format>
    <format dxfId="2417">
      <pivotArea field="0" dataOnly="0" labelOnly="1" grandRow="1" outline="0" axis="axisRow" fieldPosition="0">
        <references count="1">
          <reference field="4294967294" count="1" selected="0">
            <x v="2"/>
          </reference>
        </references>
      </pivotArea>
    </format>
    <format dxfId="2416">
      <pivotArea field="0" dataOnly="0" labelOnly="1" grandRow="1" outline="0" axis="axisRow" fieldPosition="0">
        <references count="1">
          <reference field="4294967294" count="1" selected="0">
            <x v="2"/>
          </reference>
        </references>
      </pivotArea>
    </format>
    <format dxfId="2415">
      <pivotArea field="0" dataOnly="0" labelOnly="1" grandRow="1" outline="0" axis="axisRow" fieldPosition="0">
        <references count="1">
          <reference field="4294967294" count="1" selected="0">
            <x v="2"/>
          </reference>
        </references>
      </pivotArea>
    </format>
    <format dxfId="2414">
      <pivotArea grandCol="1" outline="0" fieldPosition="0"/>
    </format>
    <format dxfId="2413">
      <pivotArea type="topRight" dataOnly="0" labelOnly="1" outline="0" offset="I1" fieldPosition="0"/>
    </format>
    <format dxfId="2412">
      <pivotArea dataOnly="0" labelOnly="1" grandCol="1" outline="0" fieldPosition="0"/>
    </format>
    <format dxfId="2411">
      <pivotArea dataOnly="0" labelOnly="1" outline="0" fieldPosition="0">
        <references count="1">
          <reference field="4" count="1">
            <x v="6"/>
          </reference>
        </references>
      </pivotArea>
    </format>
    <format dxfId="2410">
      <pivotArea dataOnly="0" labelOnly="1" outline="0" fieldPosition="0">
        <references count="1">
          <reference field="4" count="1">
            <x v="7"/>
          </reference>
        </references>
      </pivotArea>
    </format>
    <format dxfId="2409">
      <pivotArea dataOnly="0" labelOnly="1" outline="0" fieldPosition="0">
        <references count="1">
          <reference field="4" count="1">
            <x v="8"/>
          </reference>
        </references>
      </pivotArea>
    </format>
    <format dxfId="2408">
      <pivotArea dataOnly="0" labelOnly="1" outline="0" fieldPosition="0">
        <references count="1">
          <reference field="4" count="3">
            <x v="9"/>
            <x v="11"/>
            <x v="12"/>
          </reference>
        </references>
      </pivotArea>
    </format>
    <format dxfId="2407">
      <pivotArea dataOnly="0" labelOnly="1" outline="0" fieldPosition="0">
        <references count="1">
          <reference field="4" count="1">
            <x v="10"/>
          </reference>
        </references>
      </pivotArea>
    </format>
    <format dxfId="2406">
      <pivotArea type="all" dataOnly="0" outline="0" fieldPosition="0"/>
    </format>
    <format dxfId="2405">
      <pivotArea dataOnly="0" labelOnly="1" grandCol="1" outline="0" offset="IV256" fieldPosition="0"/>
    </format>
    <format dxfId="2404">
      <pivotArea dataOnly="0" labelOnly="1" grandCol="1" outline="0" offset="IV1" fieldPosition="0"/>
    </format>
    <format dxfId="2403">
      <pivotArea type="origin" dataOnly="0" labelOnly="1" outline="0" fieldPosition="0"/>
    </format>
    <format dxfId="2402">
      <pivotArea field="0" type="button" dataOnly="0" labelOnly="1" outline="0" axis="axisRow" fieldPosition="0"/>
    </format>
    <format dxfId="2401">
      <pivotArea dataOnly="0" labelOnly="1" outline="0" fieldPosition="0">
        <references count="1">
          <reference field="0" count="0"/>
        </references>
      </pivotArea>
    </format>
    <format dxfId="2400">
      <pivotArea field="-2" type="button" dataOnly="0" labelOnly="1" outline="0" axis="axisRow" fieldPosition="1"/>
    </format>
    <format dxfId="2399">
      <pivotArea field="0" dataOnly="0" labelOnly="1" grandRow="1" outline="0" offset="IV256" axis="axisRow" fieldPosition="0">
        <references count="1">
          <reference field="4294967294" count="1" selected="0">
            <x v="0"/>
          </reference>
        </references>
      </pivotArea>
    </format>
    <format dxfId="2398">
      <pivotArea field="0" dataOnly="0" labelOnly="1" grandRow="1" outline="0" offset="IV256" axis="axisRow" fieldPosition="0">
        <references count="1">
          <reference field="4294967294" count="1" selected="0">
            <x v="1"/>
          </reference>
        </references>
      </pivotArea>
    </format>
    <format dxfId="2397">
      <pivotArea field="0" dataOnly="0" labelOnly="1" grandRow="1" outline="0" offset="IV256" axis="axisRow" fieldPosition="0">
        <references count="1">
          <reference field="4294967294" count="1" selected="0">
            <x v="2"/>
          </reference>
        </references>
      </pivotArea>
    </format>
    <format dxfId="2396">
      <pivotArea field="0" dataOnly="0" labelOnly="1" grandRow="1" outline="0" offset="IV256" axis="axisRow" fieldPosition="0">
        <references count="1">
          <reference field="4294967294" count="1" selected="0">
            <x v="3"/>
          </reference>
        </references>
      </pivotArea>
    </format>
    <format dxfId="2395">
      <pivotArea field="0" dataOnly="0" labelOnly="1" grandRow="1" outline="0" offset="IV256" axis="axisRow" fieldPosition="0">
        <references count="1">
          <reference field="4294967294" count="1" selected="0">
            <x v="4"/>
          </reference>
        </references>
      </pivotArea>
    </format>
    <format dxfId="2394">
      <pivotArea field="0" dataOnly="0" labelOnly="1" grandRow="1" outline="0" offset="IV256" axis="axisRow" fieldPosition="0">
        <references count="1">
          <reference field="4294967294" count="1" selected="0">
            <x v="5"/>
          </reference>
        </references>
      </pivotArea>
    </format>
    <format dxfId="2393">
      <pivotArea field="0" dataOnly="0" labelOnly="1" grandRow="1" outline="0" offset="IV256" axis="axisRow" fieldPosition="0">
        <references count="1">
          <reference field="4294967294" count="1" selected="0">
            <x v="6"/>
          </reference>
        </references>
      </pivotArea>
    </format>
    <format dxfId="2392">
      <pivotArea field="0" dataOnly="0" labelOnly="1" grandRow="1" outline="0" offset="IV256" axis="axisRow" fieldPosition="0">
        <references count="1">
          <reference field="4294967294" count="1" selected="0">
            <x v="7"/>
          </reference>
        </references>
      </pivotArea>
    </format>
    <format dxfId="2391">
      <pivotArea field="0" dataOnly="0" labelOnly="1" grandRow="1" outline="0" offset="IV256" axis="axisRow" fieldPosition="0">
        <references count="1">
          <reference field="4294967294" count="1" selected="0">
            <x v="8"/>
          </reference>
        </references>
      </pivotArea>
    </format>
    <format dxfId="2390">
      <pivotArea field="0" dataOnly="0" labelOnly="1" grandRow="1" outline="0" offset="IV256" axis="axisRow" fieldPosition="0">
        <references count="1">
          <reference field="4294967294" count="1" selected="0">
            <x v="10"/>
          </reference>
        </references>
      </pivotArea>
    </format>
    <format dxfId="2389">
      <pivotArea field="0" dataOnly="0" labelOnly="1" grandRow="1" outline="0" offset="IV256" axis="axisRow" fieldPosition="0">
        <references count="1">
          <reference field="4294967294" count="1" selected="0">
            <x v="11"/>
          </reference>
        </references>
      </pivotArea>
    </format>
    <format dxfId="2388">
      <pivotArea dataOnly="0" labelOnly="1" outline="0" fieldPosition="0">
        <references count="2">
          <reference field="4294967294" count="0"/>
          <reference field="0" count="1" selected="0">
            <x v="4"/>
          </reference>
        </references>
      </pivotArea>
    </format>
    <format dxfId="2387">
      <pivotArea type="topRight" dataOnly="0" labelOnly="1" outline="0" offset="E1" fieldPosition="0"/>
    </format>
    <format dxfId="2386">
      <pivotArea type="all" dataOnly="0" outline="0" fieldPosition="0"/>
    </format>
    <format dxfId="2385">
      <pivotArea type="topRight" dataOnly="0" labelOnly="1" outline="0" offset="F1" fieldPosition="0"/>
    </format>
    <format dxfId="2384">
      <pivotArea type="topRight" dataOnly="0" labelOnly="1" outline="0" offset="J1" fieldPosition="0"/>
    </format>
    <format dxfId="2383">
      <pivotArea type="topRight" dataOnly="0" labelOnly="1" outline="0" offset="K1" fieldPosition="0"/>
    </format>
    <format dxfId="2382">
      <pivotArea type="origin" dataOnly="0" labelOnly="1" outline="0" offset="A2:B2" fieldPosition="0"/>
    </format>
    <format dxfId="2381">
      <pivotArea dataOnly="0" labelOnly="1" outline="0" offset="IV1" fieldPosition="0">
        <references count="1">
          <reference field="0" count="1">
            <x v="4"/>
          </reference>
        </references>
      </pivotArea>
    </format>
    <format dxfId="2380">
      <pivotArea type="origin" dataOnly="0" labelOnly="1" outline="0" fieldPosition="0"/>
    </format>
    <format dxfId="2379">
      <pivotArea field="0" type="button" dataOnly="0" labelOnly="1" outline="0" axis="axisRow" fieldPosition="0"/>
    </format>
    <format dxfId="2378">
      <pivotArea dataOnly="0" labelOnly="1" outline="0" fieldPosition="0">
        <references count="1">
          <reference field="0" count="0"/>
        </references>
      </pivotArea>
    </format>
    <format dxfId="2377">
      <pivotArea field="0" dataOnly="0" labelOnly="1" grandRow="1" outline="0" offset="A256" axis="axisRow" fieldPosition="0">
        <references count="1">
          <reference field="4294967294" count="1" selected="0">
            <x v="0"/>
          </reference>
        </references>
      </pivotArea>
    </format>
    <format dxfId="2376">
      <pivotArea field="0" dataOnly="0" labelOnly="1" grandRow="1" outline="0" offset="A256" axis="axisRow" fieldPosition="0">
        <references count="1">
          <reference field="4294967294" count="1" selected="0">
            <x v="1"/>
          </reference>
        </references>
      </pivotArea>
    </format>
    <format dxfId="2375">
      <pivotArea field="0" dataOnly="0" labelOnly="1" grandRow="1" outline="0" offset="A256" axis="axisRow" fieldPosition="0">
        <references count="1">
          <reference field="4294967294" count="1" selected="0">
            <x v="2"/>
          </reference>
        </references>
      </pivotArea>
    </format>
    <format dxfId="2374">
      <pivotArea field="0" dataOnly="0" labelOnly="1" grandRow="1" outline="0" offset="A256" axis="axisRow" fieldPosition="0">
        <references count="1">
          <reference field="4294967294" count="1" selected="0">
            <x v="3"/>
          </reference>
        </references>
      </pivotArea>
    </format>
    <format dxfId="2373">
      <pivotArea field="0" dataOnly="0" labelOnly="1" grandRow="1" outline="0" offset="A256" axis="axisRow" fieldPosition="0">
        <references count="1">
          <reference field="4294967294" count="1" selected="0">
            <x v="4"/>
          </reference>
        </references>
      </pivotArea>
    </format>
    <format dxfId="2372">
      <pivotArea field="0" dataOnly="0" labelOnly="1" grandRow="1" outline="0" offset="A256" axis="axisRow" fieldPosition="0">
        <references count="1">
          <reference field="4294967294" count="1" selected="0">
            <x v="5"/>
          </reference>
        </references>
      </pivotArea>
    </format>
    <format dxfId="2371">
      <pivotArea field="0" dataOnly="0" labelOnly="1" grandRow="1" outline="0" offset="A256" axis="axisRow" fieldPosition="0">
        <references count="1">
          <reference field="4294967294" count="1" selected="0">
            <x v="6"/>
          </reference>
        </references>
      </pivotArea>
    </format>
    <format dxfId="2370">
      <pivotArea field="0" dataOnly="0" labelOnly="1" grandRow="1" outline="0" offset="A256" axis="axisRow" fieldPosition="0">
        <references count="1">
          <reference field="4294967294" count="1" selected="0">
            <x v="7"/>
          </reference>
        </references>
      </pivotArea>
    </format>
    <format dxfId="2369">
      <pivotArea field="0" dataOnly="0" labelOnly="1" grandRow="1" outline="0" offset="A256" axis="axisRow" fieldPosition="0">
        <references count="1">
          <reference field="4294967294" count="1" selected="0">
            <x v="8"/>
          </reference>
        </references>
      </pivotArea>
    </format>
    <format dxfId="2368">
      <pivotArea field="0" dataOnly="0" labelOnly="1" grandRow="1" outline="0" offset="A256" axis="axisRow" fieldPosition="0">
        <references count="1">
          <reference field="4294967294" count="1" selected="0">
            <x v="10"/>
          </reference>
        </references>
      </pivotArea>
    </format>
    <format dxfId="2367">
      <pivotArea field="0" dataOnly="0" labelOnly="1" grandRow="1" outline="0" offset="A256" axis="axisRow" fieldPosition="0">
        <references count="1">
          <reference field="4294967294" count="1" selected="0">
            <x v="11"/>
          </reference>
        </references>
      </pivotArea>
    </format>
    <format dxfId="2366">
      <pivotArea dataOnly="0" labelOnly="1" outline="0" offset="IV256" fieldPosition="0">
        <references count="1">
          <reference field="0" count="1">
            <x v="4"/>
          </reference>
        </references>
      </pivotArea>
    </format>
    <format dxfId="2365">
      <pivotArea dataOnly="0" labelOnly="1" outline="0" fieldPosition="0">
        <references count="2">
          <reference field="4294967294" count="1">
            <x v="11"/>
          </reference>
          <reference field="0" count="1" selected="0">
            <x v="4"/>
          </reference>
        </references>
      </pivotArea>
    </format>
    <format dxfId="2364">
      <pivotArea dataOnly="0" labelOnly="1" outline="0" fieldPosition="0">
        <references count="2">
          <reference field="4294967294" count="1">
            <x v="11"/>
          </reference>
          <reference field="0" count="1" selected="0">
            <x v="4"/>
          </reference>
        </references>
      </pivotArea>
    </format>
    <format dxfId="2363">
      <pivotArea dataOnly="0" labelOnly="1" outline="0" offset="IV256" fieldPosition="0">
        <references count="1">
          <reference field="60" count="1" defaultSubtotal="1">
            <x v="0"/>
          </reference>
        </references>
      </pivotArea>
    </format>
    <format dxfId="2362">
      <pivotArea dataOnly="0" labelOnly="1" outline="0" offset="IV256" fieldPosition="0">
        <references count="1">
          <reference field="60" count="1" defaultSubtotal="1">
            <x v="1"/>
          </reference>
        </references>
      </pivotArea>
    </format>
    <format dxfId="2361">
      <pivotArea dataOnly="0" labelOnly="1" outline="0" offset="IV256" fieldPosition="0">
        <references count="1">
          <reference field="60" count="1" defaultSubtotal="1">
            <x v="3"/>
          </reference>
        </references>
      </pivotArea>
    </format>
    <format dxfId="2360">
      <pivotArea dataOnly="0" labelOnly="1" outline="0" fieldPosition="0">
        <references count="2">
          <reference field="4" count="6">
            <x v="0"/>
            <x v="1"/>
            <x v="2"/>
            <x v="3"/>
            <x v="4"/>
            <x v="5"/>
          </reference>
          <reference field="60" count="1" selected="0">
            <x v="0"/>
          </reference>
        </references>
      </pivotArea>
    </format>
    <format dxfId="2359">
      <pivotArea dataOnly="0" labelOnly="1" outline="0" fieldPosition="0">
        <references count="2">
          <reference field="4" count="4">
            <x v="6"/>
            <x v="7"/>
            <x v="8"/>
            <x v="9"/>
          </reference>
          <reference field="60" count="1" selected="0">
            <x v="1"/>
          </reference>
        </references>
      </pivotArea>
    </format>
    <format dxfId="2358">
      <pivotArea dataOnly="0" labelOnly="1" outline="0" fieldPosition="0">
        <references count="2">
          <reference field="4" count="3">
            <x v="11"/>
            <x v="12"/>
            <x v="13"/>
          </reference>
          <reference field="60" count="1" selected="0">
            <x v="3"/>
          </reference>
        </references>
      </pivotArea>
    </format>
    <format dxfId="2357">
      <pivotArea dataOnly="0" labelOnly="1" outline="0" fieldPosition="0">
        <references count="1">
          <reference field="60" count="1" defaultSubtotal="1">
            <x v="0"/>
          </reference>
        </references>
      </pivotArea>
    </format>
    <format dxfId="2356">
      <pivotArea dataOnly="0" labelOnly="1" outline="0" fieldPosition="0">
        <references count="1">
          <reference field="60" count="1" defaultSubtotal="1">
            <x v="1"/>
          </reference>
        </references>
      </pivotArea>
    </format>
    <format dxfId="2355">
      <pivotArea dataOnly="0" labelOnly="1" outline="0" fieldPosition="0">
        <references count="1">
          <reference field="60" count="1" defaultSubtotal="1">
            <x v="3"/>
          </reference>
        </references>
      </pivotArea>
    </format>
    <format dxfId="2354">
      <pivotArea field="0" dataOnly="0" labelOnly="1" grandRow="1" outline="0" axis="axisRow" fieldPosition="0">
        <references count="1">
          <reference field="4294967294" count="1" selected="0">
            <x v="0"/>
          </reference>
        </references>
      </pivotArea>
    </format>
    <format dxfId="2353">
      <pivotArea field="0" dataOnly="0" labelOnly="1" grandRow="1" outline="0" axis="axisRow" fieldPosition="0">
        <references count="1">
          <reference field="4294967294" count="1" selected="0">
            <x v="1"/>
          </reference>
        </references>
      </pivotArea>
    </format>
    <format dxfId="2352">
      <pivotArea field="0" dataOnly="0" labelOnly="1" grandRow="1" outline="0" axis="axisRow" fieldPosition="0">
        <references count="1">
          <reference field="4294967294" count="1" selected="0">
            <x v="2"/>
          </reference>
        </references>
      </pivotArea>
    </format>
    <format dxfId="2351">
      <pivotArea field="0" dataOnly="0" labelOnly="1" grandRow="1" outline="0" axis="axisRow" fieldPosition="0">
        <references count="1">
          <reference field="4294967294" count="1" selected="0">
            <x v="3"/>
          </reference>
        </references>
      </pivotArea>
    </format>
    <format dxfId="2350">
      <pivotArea field="0" dataOnly="0" labelOnly="1" grandRow="1" outline="0" axis="axisRow" fieldPosition="0">
        <references count="1">
          <reference field="4294967294" count="1" selected="0">
            <x v="4"/>
          </reference>
        </references>
      </pivotArea>
    </format>
    <format dxfId="2349">
      <pivotArea field="0" dataOnly="0" labelOnly="1" grandRow="1" outline="0" axis="axisRow" fieldPosition="0">
        <references count="1">
          <reference field="4294967294" count="1" selected="0">
            <x v="5"/>
          </reference>
        </references>
      </pivotArea>
    </format>
    <format dxfId="2348">
      <pivotArea field="0" dataOnly="0" labelOnly="1" grandRow="1" outline="0" axis="axisRow" fieldPosition="0">
        <references count="1">
          <reference field="4294967294" count="1" selected="0">
            <x v="6"/>
          </reference>
        </references>
      </pivotArea>
    </format>
    <format dxfId="2347">
      <pivotArea field="0" dataOnly="0" labelOnly="1" grandRow="1" outline="0" axis="axisRow" fieldPosition="0">
        <references count="1">
          <reference field="4294967294" count="1" selected="0">
            <x v="7"/>
          </reference>
        </references>
      </pivotArea>
    </format>
    <format dxfId="2346">
      <pivotArea field="0" dataOnly="0" labelOnly="1" grandRow="1" outline="0" axis="axisRow" fieldPosition="0">
        <references count="1">
          <reference field="4294967294" count="1" selected="0">
            <x v="8"/>
          </reference>
        </references>
      </pivotArea>
    </format>
    <format dxfId="2345">
      <pivotArea field="0" dataOnly="0" labelOnly="1" grandRow="1" outline="0" axis="axisRow" fieldPosition="0">
        <references count="1">
          <reference field="4294967294" count="1" selected="0">
            <x v="9"/>
          </reference>
        </references>
      </pivotArea>
    </format>
    <format dxfId="2344">
      <pivotArea field="0" dataOnly="0" labelOnly="1" grandRow="1" outline="0" axis="axisRow" fieldPosition="0">
        <references count="1">
          <reference field="4294967294" count="1" selected="0">
            <x v="10"/>
          </reference>
        </references>
      </pivotArea>
    </format>
    <format dxfId="2343">
      <pivotArea field="0" dataOnly="0" labelOnly="1" grandRow="1" outline="0" axis="axisRow" fieldPosition="0">
        <references count="1">
          <reference field="4294967294" count="1" selected="0">
            <x v="11"/>
          </reference>
        </references>
      </pivotArea>
    </format>
    <format dxfId="2342">
      <pivotArea outline="0" collapsedLevelsAreSubtotals="1" fieldPosition="0">
        <references count="4">
          <reference field="4294967294" count="1" selected="0">
            <x v="2"/>
          </reference>
          <reference field="0" count="1" selected="0">
            <x v="4"/>
          </reference>
          <reference field="4" count="1" selected="0">
            <x v="11"/>
          </reference>
          <reference field="60" count="1" selected="0">
            <x v="3"/>
          </reference>
        </references>
      </pivotArea>
    </format>
    <format dxfId="2341">
      <pivotArea outline="0" collapsedLevelsAreSubtotals="1" fieldPosition="0">
        <references count="4">
          <reference field="4294967294" count="1" selected="0">
            <x v="2"/>
          </reference>
          <reference field="0" count="1" selected="0">
            <x v="4"/>
          </reference>
          <reference field="4" count="1" selected="0">
            <x v="12"/>
          </reference>
          <reference field="60" count="1" selected="0">
            <x v="3"/>
          </reference>
        </references>
      </pivotArea>
    </format>
    <format dxfId="2340">
      <pivotArea field="0" dataOnly="0" labelOnly="1" grandRow="1" outline="0" axis="axisRow" fieldPosition="0">
        <references count="1">
          <reference field="4294967294" count="1" selected="0">
            <x v="0"/>
          </reference>
        </references>
      </pivotArea>
    </format>
    <format dxfId="2339">
      <pivotArea field="0" dataOnly="0" labelOnly="1" grandRow="1" outline="0" axis="axisRow" fieldPosition="0">
        <references count="1">
          <reference field="4294967294" count="1" selected="0">
            <x v="1"/>
          </reference>
        </references>
      </pivotArea>
    </format>
    <format dxfId="2338">
      <pivotArea field="0" dataOnly="0" labelOnly="1" grandRow="1" outline="0" axis="axisRow" fieldPosition="0">
        <references count="1">
          <reference field="4294967294" count="1" selected="0">
            <x v="2"/>
          </reference>
        </references>
      </pivotArea>
    </format>
    <format dxfId="2337">
      <pivotArea field="0" dataOnly="0" labelOnly="1" grandRow="1" outline="0" axis="axisRow" fieldPosition="0">
        <references count="1">
          <reference field="4294967294" count="1" selected="0">
            <x v="3"/>
          </reference>
        </references>
      </pivotArea>
    </format>
    <format dxfId="2336">
      <pivotArea field="0" dataOnly="0" labelOnly="1" grandRow="1" outline="0" axis="axisRow" fieldPosition="0">
        <references count="1">
          <reference field="4294967294" count="1" selected="0">
            <x v="4"/>
          </reference>
        </references>
      </pivotArea>
    </format>
    <format dxfId="2335">
      <pivotArea field="0" dataOnly="0" labelOnly="1" grandRow="1" outline="0" axis="axisRow" fieldPosition="0">
        <references count="1">
          <reference field="4294967294" count="1" selected="0">
            <x v="5"/>
          </reference>
        </references>
      </pivotArea>
    </format>
    <format dxfId="2334">
      <pivotArea field="0" dataOnly="0" labelOnly="1" grandRow="1" outline="0" axis="axisRow" fieldPosition="0">
        <references count="1">
          <reference field="4294967294" count="1" selected="0">
            <x v="6"/>
          </reference>
        </references>
      </pivotArea>
    </format>
    <format dxfId="2333">
      <pivotArea field="0" dataOnly="0" labelOnly="1" grandRow="1" outline="0" axis="axisRow" fieldPosition="0">
        <references count="1">
          <reference field="4294967294" count="1" selected="0">
            <x v="7"/>
          </reference>
        </references>
      </pivotArea>
    </format>
    <format dxfId="2332">
      <pivotArea field="0" dataOnly="0" labelOnly="1" grandRow="1" outline="0" axis="axisRow" fieldPosition="0">
        <references count="1">
          <reference field="4294967294" count="1" selected="0">
            <x v="8"/>
          </reference>
        </references>
      </pivotArea>
    </format>
    <format dxfId="2331">
      <pivotArea field="0" dataOnly="0" labelOnly="1" grandRow="1" outline="0" axis="axisRow" fieldPosition="0">
        <references count="1">
          <reference field="4294967294" count="1" selected="0">
            <x v="9"/>
          </reference>
        </references>
      </pivotArea>
    </format>
    <format dxfId="2330">
      <pivotArea field="0" dataOnly="0" labelOnly="1" grandRow="1" outline="0" axis="axisRow" fieldPosition="0">
        <references count="1">
          <reference field="4294967294" count="1" selected="0">
            <x v="10"/>
          </reference>
        </references>
      </pivotArea>
    </format>
    <format dxfId="2329">
      <pivotArea field="0" dataOnly="0" labelOnly="1" grandRow="1" outline="0" axis="axisRow" fieldPosition="0">
        <references count="1">
          <reference field="4294967294" count="1" selected="0">
            <x v="11"/>
          </reference>
        </references>
      </pivotArea>
    </format>
    <format dxfId="2328">
      <pivotArea field="0" dataOnly="0" labelOnly="1" grandRow="1" outline="0" offset="IV256" axis="axisRow" fieldPosition="0">
        <references count="1">
          <reference field="4294967294" count="1" selected="0">
            <x v="0"/>
          </reference>
        </references>
      </pivotArea>
    </format>
    <format dxfId="2327">
      <pivotArea field="0" dataOnly="0" labelOnly="1" grandRow="1" outline="0" offset="IV256" axis="axisRow" fieldPosition="0">
        <references count="1">
          <reference field="4294967294" count="1" selected="0">
            <x v="1"/>
          </reference>
        </references>
      </pivotArea>
    </format>
    <format dxfId="2326">
      <pivotArea field="0" dataOnly="0" labelOnly="1" grandRow="1" outline="0" offset="IV256" axis="axisRow" fieldPosition="0">
        <references count="1">
          <reference field="4294967294" count="1" selected="0">
            <x v="2"/>
          </reference>
        </references>
      </pivotArea>
    </format>
    <format dxfId="2325">
      <pivotArea field="0" dataOnly="0" labelOnly="1" grandRow="1" outline="0" offset="IV256" axis="axisRow" fieldPosition="0">
        <references count="1">
          <reference field="4294967294" count="1" selected="0">
            <x v="3"/>
          </reference>
        </references>
      </pivotArea>
    </format>
    <format dxfId="2324">
      <pivotArea field="0" dataOnly="0" labelOnly="1" grandRow="1" outline="0" offset="IV256" axis="axisRow" fieldPosition="0">
        <references count="1">
          <reference field="4294967294" count="1" selected="0">
            <x v="4"/>
          </reference>
        </references>
      </pivotArea>
    </format>
    <format dxfId="2323">
      <pivotArea field="0" dataOnly="0" labelOnly="1" grandRow="1" outline="0" offset="IV256" axis="axisRow" fieldPosition="0">
        <references count="1">
          <reference field="4294967294" count="1" selected="0">
            <x v="5"/>
          </reference>
        </references>
      </pivotArea>
    </format>
    <format dxfId="2322">
      <pivotArea field="0" dataOnly="0" labelOnly="1" grandRow="1" outline="0" offset="IV256" axis="axisRow" fieldPosition="0">
        <references count="1">
          <reference field="4294967294" count="1" selected="0">
            <x v="6"/>
          </reference>
        </references>
      </pivotArea>
    </format>
    <format dxfId="2321">
      <pivotArea field="0" dataOnly="0" labelOnly="1" grandRow="1" outline="0" offset="IV256" axis="axisRow" fieldPosition="0">
        <references count="1">
          <reference field="4294967294" count="1" selected="0">
            <x v="7"/>
          </reference>
        </references>
      </pivotArea>
    </format>
    <format dxfId="2320">
      <pivotArea field="0" dataOnly="0" labelOnly="1" grandRow="1" outline="0" offset="IV256" axis="axisRow" fieldPosition="0">
        <references count="1">
          <reference field="4294967294" count="1" selected="0">
            <x v="8"/>
          </reference>
        </references>
      </pivotArea>
    </format>
    <format dxfId="2319">
      <pivotArea field="0" dataOnly="0" labelOnly="1" grandRow="1" outline="0" offset="IV256" axis="axisRow" fieldPosition="0">
        <references count="1">
          <reference field="4294967294" count="1" selected="0">
            <x v="9"/>
          </reference>
        </references>
      </pivotArea>
    </format>
    <format dxfId="2318">
      <pivotArea field="0" dataOnly="0" labelOnly="1" grandRow="1" outline="0" offset="IV256" axis="axisRow" fieldPosition="0">
        <references count="1">
          <reference field="4294967294" count="1" selected="0">
            <x v="10"/>
          </reference>
        </references>
      </pivotArea>
    </format>
    <format dxfId="2317">
      <pivotArea field="0" dataOnly="0" labelOnly="1" grandRow="1" outline="0" offset="IV256" axis="axisRow" fieldPosition="0">
        <references count="1">
          <reference field="4294967294" count="1" selected="0">
            <x v="11"/>
          </reference>
        </references>
      </pivotArea>
    </format>
    <format dxfId="2316">
      <pivotArea outline="0" collapsedLevelsAreSubtotals="1" fieldPosition="0">
        <references count="1">
          <reference field="60" count="3" selected="0" defaultSubtotal="1">
            <x v="0"/>
            <x v="1"/>
            <x v="3"/>
          </reference>
        </references>
      </pivotArea>
    </format>
    <format dxfId="2315">
      <pivotArea type="topRight" dataOnly="0" labelOnly="1" outline="0" offset="N1" fieldPosition="0"/>
    </format>
    <format dxfId="2314">
      <pivotArea field="0" grandRow="1" outline="0" collapsedLevelsAreSubtotals="1" axis="axisRow" fieldPosition="0">
        <references count="1">
          <reference field="4294967294" count="1" selected="0">
            <x v="11"/>
          </reference>
        </references>
      </pivotArea>
    </format>
    <format dxfId="2313">
      <pivotArea outline="0" collapsedLevelsAreSubtotals="1" fieldPosition="0">
        <references count="2">
          <reference field="4" count="1" selected="0">
            <x v="12"/>
          </reference>
          <reference field="60" count="1" selected="0">
            <x v="3"/>
          </reference>
        </references>
      </pivotArea>
    </format>
    <format dxfId="2312">
      <pivotArea outline="0" collapsedLevelsAreSubtotals="1" fieldPosition="0">
        <references count="1">
          <reference field="60" count="1" selected="0" defaultSubtotal="1">
            <x v="3"/>
          </reference>
        </references>
      </pivotArea>
    </format>
    <format dxfId="2311">
      <pivotArea outline="0" collapsedLevelsAreSubtotals="1" fieldPosition="0">
        <references count="4">
          <reference field="4294967294" count="1" selected="0">
            <x v="2"/>
          </reference>
          <reference field="0" count="1" selected="0">
            <x v="0"/>
          </reference>
          <reference field="4" count="1" selected="0">
            <x v="0"/>
          </reference>
          <reference field="60" count="1" selected="0">
            <x v="0"/>
          </reference>
        </references>
      </pivotArea>
    </format>
    <format dxfId="2310">
      <pivotArea outline="0" collapsedLevelsAreSubtotals="1" fieldPosition="0">
        <references count="4">
          <reference field="4294967294" count="1" selected="0">
            <x v="2"/>
          </reference>
          <reference field="0" count="1" selected="0">
            <x v="0"/>
          </reference>
          <reference field="4" count="1" selected="0">
            <x v="2"/>
          </reference>
          <reference field="60" count="1" selected="0">
            <x v="0"/>
          </reference>
        </references>
      </pivotArea>
    </format>
    <format dxfId="2309">
      <pivotArea outline="0" collapsedLevelsAreSubtotals="1" fieldPosition="0">
        <references count="4">
          <reference field="4294967294" count="1" selected="0">
            <x v="8"/>
          </reference>
          <reference field="0" count="1" selected="0">
            <x v="0"/>
          </reference>
          <reference field="4" count="1" selected="0">
            <x v="2"/>
          </reference>
          <reference field="60" count="1" selected="0">
            <x v="0"/>
          </reference>
        </references>
      </pivotArea>
    </format>
    <format dxfId="2308">
      <pivotArea outline="0" collapsedLevelsAreSubtotals="1" fieldPosition="0">
        <references count="4">
          <reference field="4294967294" count="1" selected="0">
            <x v="8"/>
          </reference>
          <reference field="0" count="1" selected="0">
            <x v="0"/>
          </reference>
          <reference field="4" count="1" selected="0">
            <x v="0"/>
          </reference>
          <reference field="60" count="1" selected="0">
            <x v="0"/>
          </reference>
        </references>
      </pivotArea>
    </format>
    <format dxfId="2307">
      <pivotArea outline="0" collapsedLevelsAreSubtotals="1" fieldPosition="0">
        <references count="4">
          <reference field="4294967294" count="1" selected="0">
            <x v="8"/>
          </reference>
          <reference field="0" count="1" selected="0">
            <x v="1"/>
          </reference>
          <reference field="4" count="1" selected="0">
            <x v="5"/>
          </reference>
          <reference field="60" count="1" selected="0">
            <x v="0"/>
          </reference>
        </references>
      </pivotArea>
    </format>
    <format dxfId="2306">
      <pivotArea outline="0" collapsedLevelsAreSubtotals="1" fieldPosition="0">
        <references count="4">
          <reference field="4294967294" count="1" selected="0">
            <x v="2"/>
          </reference>
          <reference field="0" count="1" selected="0">
            <x v="6"/>
          </reference>
          <reference field="4" count="1" selected="0">
            <x v="9"/>
          </reference>
          <reference field="60" count="1" selected="0">
            <x v="1"/>
          </reference>
        </references>
      </pivotArea>
    </format>
    <format dxfId="2305">
      <pivotArea outline="0" collapsedLevelsAreSubtotals="1" fieldPosition="0">
        <references count="4">
          <reference field="4294967294" count="1" selected="0">
            <x v="2"/>
          </reference>
          <reference field="0" count="1" selected="0">
            <x v="0"/>
          </reference>
          <reference field="4" count="3" selected="0">
            <x v="7"/>
            <x v="8"/>
            <x v="9"/>
          </reference>
          <reference field="60" count="1" selected="0">
            <x v="1"/>
          </reference>
        </references>
      </pivotArea>
    </format>
    <format dxfId="2304">
      <pivotArea outline="0" collapsedLevelsAreSubtotals="1" fieldPosition="0">
        <references count="4">
          <reference field="4294967294" count="1" selected="0">
            <x v="2"/>
          </reference>
          <reference field="0" count="1" selected="0">
            <x v="1"/>
          </reference>
          <reference field="4" count="1" selected="0">
            <x v="0"/>
          </reference>
          <reference field="60" count="1" selected="0">
            <x v="0"/>
          </reference>
        </references>
      </pivotArea>
    </format>
    <format dxfId="2303">
      <pivotArea outline="0" collapsedLevelsAreSubtotals="1" fieldPosition="0">
        <references count="4">
          <reference field="4294967294" count="1" selected="0">
            <x v="2"/>
          </reference>
          <reference field="0" count="1" selected="0">
            <x v="10"/>
          </reference>
          <reference field="4" count="1" selected="0">
            <x v="5"/>
          </reference>
          <reference field="60" count="1" selected="0">
            <x v="0"/>
          </reference>
        </references>
      </pivotArea>
    </format>
    <format dxfId="2302">
      <pivotArea outline="0" collapsedLevelsAreSubtotals="1" fieldPosition="0">
        <references count="4">
          <reference field="4294967294" count="1" selected="0">
            <x v="2"/>
          </reference>
          <reference field="0" count="1" selected="0">
            <x v="10"/>
          </reference>
          <reference field="4" count="1" selected="0">
            <x v="8"/>
          </reference>
          <reference field="60" count="1" selected="0">
            <x v="1"/>
          </reference>
        </references>
      </pivotArea>
    </format>
    <format dxfId="2301">
      <pivotArea outline="0" collapsedLevelsAreSubtotals="1" fieldPosition="0">
        <references count="4">
          <reference field="4294967294" count="1" selected="0">
            <x v="2"/>
          </reference>
          <reference field="0" count="1" selected="0">
            <x v="4"/>
          </reference>
          <reference field="4" count="1" selected="0">
            <x v="11"/>
          </reference>
          <reference field="60" count="1" selected="0">
            <x v="3"/>
          </reference>
        </references>
      </pivotArea>
    </format>
    <format dxfId="2300">
      <pivotArea outline="0" collapsedLevelsAreSubtotals="1" fieldPosition="0">
        <references count="4">
          <reference field="4294967294" count="1" selected="0">
            <x v="2"/>
          </reference>
          <reference field="0" count="1" selected="0">
            <x v="0"/>
          </reference>
          <reference field="4" count="2" selected="0">
            <x v="11"/>
            <x v="12"/>
          </reference>
          <reference field="60" count="1" selected="0">
            <x v="3"/>
          </reference>
        </references>
      </pivotArea>
    </format>
    <format dxfId="2299">
      <pivotArea outline="0" collapsedLevelsAreSubtotals="1" fieldPosition="0">
        <references count="4">
          <reference field="4294967294" count="1" selected="0">
            <x v="2"/>
          </reference>
          <reference field="0" count="1" selected="0">
            <x v="4"/>
          </reference>
          <reference field="4" count="1" selected="0">
            <x v="5"/>
          </reference>
          <reference field="60" count="1" selected="0">
            <x v="0"/>
          </reference>
        </references>
      </pivotArea>
    </format>
    <format dxfId="2298">
      <pivotArea outline="0" collapsedLevelsAreSubtotals="1" fieldPosition="0">
        <references count="4">
          <reference field="4294967294" count="1" selected="0">
            <x v="2"/>
          </reference>
          <reference field="0" count="1" selected="0">
            <x v="4"/>
          </reference>
          <reference field="4" count="3" selected="0">
            <x v="6"/>
            <x v="7"/>
            <x v="8"/>
          </reference>
          <reference field="60" count="1" selected="0">
            <x v="1"/>
          </reference>
        </references>
      </pivotArea>
    </format>
    <format dxfId="2297">
      <pivotArea outline="0" collapsedLevelsAreSubtotals="1" fieldPosition="0">
        <references count="4">
          <reference field="4294967294" count="1" selected="0">
            <x v="2"/>
          </reference>
          <reference field="0" count="1" selected="0">
            <x v="5"/>
          </reference>
          <reference field="4" count="2" selected="0">
            <x v="7"/>
            <x v="8"/>
          </reference>
          <reference field="60" count="1" selected="0">
            <x v="1"/>
          </reference>
        </references>
      </pivotArea>
    </format>
    <format dxfId="2296">
      <pivotArea outline="0" collapsedLevelsAreSubtotals="1" fieldPosition="0">
        <references count="4">
          <reference field="4294967294" count="1" selected="0">
            <x v="2"/>
          </reference>
          <reference field="0" count="1" selected="0">
            <x v="5"/>
          </reference>
          <reference field="4" count="1" selected="0">
            <x v="9"/>
          </reference>
          <reference field="60" count="1" selected="0">
            <x v="1"/>
          </reference>
        </references>
      </pivotArea>
    </format>
    <format dxfId="2295">
      <pivotArea outline="0" collapsedLevelsAreSubtotals="1" fieldPosition="0">
        <references count="4">
          <reference field="4294967294" count="1" selected="0">
            <x v="2"/>
          </reference>
          <reference field="0" count="1" selected="0">
            <x v="5"/>
          </reference>
          <reference field="4" count="1" selected="0">
            <x v="9"/>
          </reference>
          <reference field="60" count="1" selected="0">
            <x v="1"/>
          </reference>
        </references>
      </pivotArea>
    </format>
    <format dxfId="2294">
      <pivotArea field="0" grandRow="1" outline="0" collapsedLevelsAreSubtotals="1" axis="axisRow" fieldPosition="0">
        <references count="1">
          <reference field="4294967294" count="12" selected="0">
            <x v="0"/>
            <x v="1"/>
            <x v="2"/>
            <x v="3"/>
            <x v="4"/>
            <x v="5"/>
            <x v="6"/>
            <x v="7"/>
            <x v="8"/>
            <x v="9"/>
            <x v="10"/>
            <x v="11"/>
          </reference>
        </references>
      </pivotArea>
    </format>
    <format dxfId="2293">
      <pivotArea field="0" dataOnly="0" labelOnly="1" grandRow="1" outline="0" axis="axisRow" fieldPosition="0">
        <references count="1">
          <reference field="4294967294" count="1" selected="0">
            <x v="0"/>
          </reference>
        </references>
      </pivotArea>
    </format>
    <format dxfId="2292">
      <pivotArea field="0" dataOnly="0" labelOnly="1" grandRow="1" outline="0" axis="axisRow" fieldPosition="0">
        <references count="1">
          <reference field="4294967294" count="1" selected="0">
            <x v="1"/>
          </reference>
        </references>
      </pivotArea>
    </format>
    <format dxfId="2291">
      <pivotArea field="0" dataOnly="0" labelOnly="1" grandRow="1" outline="0" axis="axisRow" fieldPosition="0">
        <references count="1">
          <reference field="4294967294" count="1" selected="0">
            <x v="2"/>
          </reference>
        </references>
      </pivotArea>
    </format>
    <format dxfId="2290">
      <pivotArea field="0" dataOnly="0" labelOnly="1" grandRow="1" outline="0" axis="axisRow" fieldPosition="0">
        <references count="1">
          <reference field="4294967294" count="1" selected="0">
            <x v="3"/>
          </reference>
        </references>
      </pivotArea>
    </format>
    <format dxfId="2289">
      <pivotArea field="0" dataOnly="0" labelOnly="1" grandRow="1" outline="0" axis="axisRow" fieldPosition="0">
        <references count="1">
          <reference field="4294967294" count="1" selected="0">
            <x v="4"/>
          </reference>
        </references>
      </pivotArea>
    </format>
    <format dxfId="2288">
      <pivotArea field="0" dataOnly="0" labelOnly="1" grandRow="1" outline="0" axis="axisRow" fieldPosition="0">
        <references count="1">
          <reference field="4294967294" count="1" selected="0">
            <x v="5"/>
          </reference>
        </references>
      </pivotArea>
    </format>
    <format dxfId="2287">
      <pivotArea field="0" dataOnly="0" labelOnly="1" grandRow="1" outline="0" axis="axisRow" fieldPosition="0">
        <references count="1">
          <reference field="4294967294" count="1" selected="0">
            <x v="6"/>
          </reference>
        </references>
      </pivotArea>
    </format>
    <format dxfId="2286">
      <pivotArea field="0" dataOnly="0" labelOnly="1" grandRow="1" outline="0" axis="axisRow" fieldPosition="0">
        <references count="1">
          <reference field="4294967294" count="1" selected="0">
            <x v="7"/>
          </reference>
        </references>
      </pivotArea>
    </format>
    <format dxfId="2285">
      <pivotArea field="0" dataOnly="0" labelOnly="1" grandRow="1" outline="0" axis="axisRow" fieldPosition="0">
        <references count="1">
          <reference field="4294967294" count="1" selected="0">
            <x v="8"/>
          </reference>
        </references>
      </pivotArea>
    </format>
    <format dxfId="2284">
      <pivotArea field="0" dataOnly="0" labelOnly="1" grandRow="1" outline="0" axis="axisRow" fieldPosition="0">
        <references count="1">
          <reference field="4294967294" count="1" selected="0">
            <x v="9"/>
          </reference>
        </references>
      </pivotArea>
    </format>
    <format dxfId="2283">
      <pivotArea field="0" dataOnly="0" labelOnly="1" grandRow="1" outline="0" axis="axisRow" fieldPosition="0">
        <references count="1">
          <reference field="4294967294" count="1" selected="0">
            <x v="10"/>
          </reference>
        </references>
      </pivotArea>
    </format>
    <format dxfId="2282">
      <pivotArea field="0" dataOnly="0" labelOnly="1" grandRow="1" outline="0" axis="axisRow" fieldPosition="0">
        <references count="1">
          <reference field="4294967294" count="1" selected="0">
            <x v="11"/>
          </reference>
        </references>
      </pivotArea>
    </format>
    <format dxfId="2281">
      <pivotArea outline="0" collapsedLevelsAreSubtotals="1" fieldPosition="0">
        <references count="3">
          <reference field="4294967294" count="12" selected="0">
            <x v="0"/>
            <x v="1"/>
            <x v="2"/>
            <x v="3"/>
            <x v="4"/>
            <x v="5"/>
            <x v="6"/>
            <x v="7"/>
            <x v="8"/>
            <x v="9"/>
            <x v="10"/>
            <x v="11"/>
          </reference>
          <reference field="0" count="1" selected="0">
            <x v="11"/>
          </reference>
          <reference field="60" count="4" selected="0" defaultSubtotal="1">
            <x v="5"/>
            <x v="6"/>
            <x v="7"/>
            <x v="8"/>
          </reference>
        </references>
      </pivotArea>
    </format>
    <format dxfId="2280">
      <pivotArea outline="0" collapsedLevelsAreSubtotals="1" fieldPosition="0">
        <references count="3">
          <reference field="4294967294" count="12" selected="0">
            <x v="0"/>
            <x v="1"/>
            <x v="2"/>
            <x v="3"/>
            <x v="4"/>
            <x v="5"/>
            <x v="6"/>
            <x v="7"/>
            <x v="8"/>
            <x v="9"/>
            <x v="10"/>
            <x v="11"/>
          </reference>
          <reference field="0" count="1" selected="0">
            <x v="14"/>
          </reference>
          <reference field="60" count="4" selected="0" defaultSubtotal="1">
            <x v="5"/>
            <x v="6"/>
            <x v="7"/>
            <x v="8"/>
          </reference>
        </references>
      </pivotArea>
    </format>
    <format dxfId="2279">
      <pivotArea field="60" grandRow="1" outline="0" collapsedLevelsAreSubtotals="1" axis="axisCol" fieldPosition="0">
        <references count="3">
          <reference field="4294967294" count="1" selected="0">
            <x v="6"/>
          </reference>
          <reference field="4" count="1" selected="0">
            <x v="6"/>
          </reference>
          <reference field="60" count="1" selected="0">
            <x v="1"/>
          </reference>
        </references>
      </pivotArea>
    </format>
    <format dxfId="2278">
      <pivotArea field="60" grandRow="1" outline="0" collapsedLevelsAreSubtotals="1" axis="axisCol" fieldPosition="0">
        <references count="3">
          <reference field="4294967294" count="1" selected="0">
            <x v="6"/>
          </reference>
          <reference field="4" count="1" selected="0">
            <x v="6"/>
          </reference>
          <reference field="60" count="1" selected="0">
            <x v="1"/>
          </reference>
        </references>
      </pivotArea>
    </format>
    <format dxfId="2277">
      <pivotArea outline="0" collapsedLevelsAreSubtotals="1" fieldPosition="0">
        <references count="1">
          <reference field="60" count="4" selected="0" defaultSubtotal="1">
            <x v="0"/>
            <x v="1"/>
            <x v="2"/>
            <x v="3"/>
          </reference>
        </references>
      </pivotArea>
    </format>
    <format dxfId="2276">
      <pivotArea field="60" type="button" dataOnly="0" labelOnly="1" outline="0" axis="axisCol" fieldPosition="0"/>
    </format>
    <format dxfId="2275">
      <pivotArea field="4" type="button" dataOnly="0" labelOnly="1" outline="0" axis="axisCol" fieldPosition="1"/>
    </format>
    <format dxfId="2274">
      <pivotArea type="topRight" dataOnly="0" labelOnly="1" outline="0" fieldPosition="0"/>
    </format>
    <format dxfId="2273">
      <pivotArea dataOnly="0" labelOnly="1" outline="0" fieldPosition="0">
        <references count="1">
          <reference field="60" count="4">
            <x v="0"/>
            <x v="1"/>
            <x v="2"/>
            <x v="3"/>
          </reference>
        </references>
      </pivotArea>
    </format>
    <format dxfId="2272">
      <pivotArea dataOnly="0" labelOnly="1" outline="0" fieldPosition="0">
        <references count="1">
          <reference field="60" count="4" defaultSubtotal="1">
            <x v="0"/>
            <x v="1"/>
            <x v="2"/>
            <x v="3"/>
          </reference>
        </references>
      </pivotArea>
    </format>
    <format dxfId="2271">
      <pivotArea dataOnly="0" labelOnly="1" outline="0" fieldPosition="0">
        <references count="2">
          <reference field="4" count="6">
            <x v="0"/>
            <x v="1"/>
            <x v="2"/>
            <x v="3"/>
            <x v="4"/>
            <x v="5"/>
          </reference>
          <reference field="60" count="1" selected="0">
            <x v="0"/>
          </reference>
        </references>
      </pivotArea>
    </format>
    <format dxfId="2270">
      <pivotArea dataOnly="0" labelOnly="1" outline="0" fieldPosition="0">
        <references count="2">
          <reference field="4" count="4">
            <x v="6"/>
            <x v="7"/>
            <x v="8"/>
            <x v="9"/>
          </reference>
          <reference field="60" count="1" selected="0">
            <x v="1"/>
          </reference>
        </references>
      </pivotArea>
    </format>
    <format dxfId="2269">
      <pivotArea dataOnly="0" labelOnly="1" outline="0" fieldPosition="0">
        <references count="2">
          <reference field="4" count="1">
            <x v="10"/>
          </reference>
          <reference field="60" count="1" selected="0">
            <x v="2"/>
          </reference>
        </references>
      </pivotArea>
    </format>
    <format dxfId="2268">
      <pivotArea dataOnly="0" labelOnly="1" outline="0" fieldPosition="0">
        <references count="2">
          <reference field="4" count="2">
            <x v="11"/>
            <x v="12"/>
          </reference>
          <reference field="60" count="1" selected="0">
            <x v="3"/>
          </reference>
        </references>
      </pivotArea>
    </format>
    <format dxfId="2267">
      <pivotArea outline="0" collapsedLevelsAreSubtotals="1" fieldPosition="0">
        <references count="4">
          <reference field="4294967294" count="1" selected="0">
            <x v="8"/>
          </reference>
          <reference field="0" count="1" selected="0">
            <x v="0"/>
          </reference>
          <reference field="4" count="1" selected="0">
            <x v="4"/>
          </reference>
          <reference field="60" count="1" selected="0">
            <x v="0"/>
          </reference>
        </references>
      </pivotArea>
    </format>
    <format dxfId="2266">
      <pivotArea outline="0" collapsedLevelsAreSubtotals="1" fieldPosition="0">
        <references count="4">
          <reference field="4294967294" count="1" selected="0">
            <x v="8"/>
          </reference>
          <reference field="0" count="1" selected="0">
            <x v="1"/>
          </reference>
          <reference field="4" count="1" selected="0">
            <x v="4"/>
          </reference>
          <reference field="60" count="1" selected="0">
            <x v="0"/>
          </reference>
        </references>
      </pivotArea>
    </format>
    <format dxfId="2265">
      <pivotArea outline="0" collapsedLevelsAreSubtotals="1" fieldPosition="0">
        <references count="4">
          <reference field="4294967294" count="1" selected="0">
            <x v="8"/>
          </reference>
          <reference field="0" count="1" selected="0">
            <x v="4"/>
          </reference>
          <reference field="4" count="1" selected="0">
            <x v="3"/>
          </reference>
          <reference field="60" count="1" selected="0">
            <x v="0"/>
          </reference>
        </references>
      </pivotArea>
    </format>
    <format dxfId="2264">
      <pivotArea outline="0" collapsedLevelsAreSubtotals="1" fieldPosition="0">
        <references count="4">
          <reference field="4294967294" count="1" selected="0">
            <x v="2"/>
          </reference>
          <reference field="0" count="1" selected="0">
            <x v="4"/>
          </reference>
          <reference field="4" count="1" selected="0">
            <x v="7"/>
          </reference>
          <reference field="60" count="1" selected="0">
            <x v="1"/>
          </reference>
        </references>
      </pivotArea>
    </format>
    <format dxfId="2263">
      <pivotArea outline="0" collapsedLevelsAreSubtotals="1" fieldPosition="0">
        <references count="4">
          <reference field="4294967294" count="1" selected="0">
            <x v="2"/>
          </reference>
          <reference field="0" count="1" selected="0">
            <x v="5"/>
          </reference>
          <reference field="4" count="1" selected="0">
            <x v="7"/>
          </reference>
          <reference field="60" count="1" selected="0">
            <x v="1"/>
          </reference>
        </references>
      </pivotArea>
    </format>
    <format dxfId="2262">
      <pivotArea outline="0" collapsedLevelsAreSubtotals="1" fieldPosition="0">
        <references count="4">
          <reference field="4294967294" count="1" selected="0">
            <x v="2"/>
          </reference>
          <reference field="0" count="1" selected="0">
            <x v="6"/>
          </reference>
          <reference field="4" count="1" selected="0">
            <x v="8"/>
          </reference>
          <reference field="60" count="1" selected="0">
            <x v="1"/>
          </reference>
        </references>
      </pivotArea>
    </format>
    <format dxfId="2261">
      <pivotArea outline="0" collapsedLevelsAreSubtotals="1" fieldPosition="0">
        <references count="4">
          <reference field="4294967294" count="1" selected="0">
            <x v="2"/>
          </reference>
          <reference field="0" count="1" selected="0">
            <x v="6"/>
          </reference>
          <reference field="4" count="1" selected="0">
            <x v="11"/>
          </reference>
          <reference field="60" count="1" selected="0">
            <x v="3"/>
          </reference>
        </references>
      </pivotArea>
    </format>
    <format dxfId="2260">
      <pivotArea outline="0" collapsedLevelsAreSubtotals="1" fieldPosition="0">
        <references count="4">
          <reference field="4294967294" count="1" selected="0">
            <x v="5"/>
          </reference>
          <reference field="0" count="1" selected="0">
            <x v="6"/>
          </reference>
          <reference field="4" count="1" selected="0">
            <x v="11"/>
          </reference>
          <reference field="60" count="1" selected="0">
            <x v="3"/>
          </reference>
        </references>
      </pivotArea>
    </format>
    <format dxfId="2259">
      <pivotArea outline="0" collapsedLevelsAreSubtotals="1" fieldPosition="0">
        <references count="4">
          <reference field="4294967294" count="1" selected="0">
            <x v="2"/>
          </reference>
          <reference field="0" count="1" selected="0">
            <x v="7"/>
          </reference>
          <reference field="4" count="1" selected="0">
            <x v="5"/>
          </reference>
          <reference field="60" count="1" selected="0">
            <x v="0"/>
          </reference>
        </references>
      </pivotArea>
    </format>
    <format dxfId="2258">
      <pivotArea outline="0" collapsedLevelsAreSubtotals="1" fieldPosition="0">
        <references count="4">
          <reference field="4294967294" count="1" selected="0">
            <x v="2"/>
          </reference>
          <reference field="0" count="1" selected="0">
            <x v="7"/>
          </reference>
          <reference field="4" count="1" selected="0">
            <x v="7"/>
          </reference>
          <reference field="60" count="1" selected="0">
            <x v="1"/>
          </reference>
        </references>
      </pivotArea>
    </format>
    <format dxfId="2257">
      <pivotArea outline="0" collapsedLevelsAreSubtotals="1" fieldPosition="0">
        <references count="4">
          <reference field="4294967294" count="1" selected="0">
            <x v="8"/>
          </reference>
          <reference field="0" count="1" selected="0">
            <x v="7"/>
          </reference>
          <reference field="4" count="1" selected="0">
            <x v="5"/>
          </reference>
          <reference field="60" count="1" selected="0">
            <x v="0"/>
          </reference>
        </references>
      </pivotArea>
    </format>
    <format dxfId="2256">
      <pivotArea outline="0" collapsedLevelsAreSubtotals="1" fieldPosition="0">
        <references count="4">
          <reference field="4294967294" count="1" selected="0">
            <x v="2"/>
          </reference>
          <reference field="0" count="1" selected="0">
            <x v="8"/>
          </reference>
          <reference field="4" count="1" selected="0">
            <x v="9"/>
          </reference>
          <reference field="60" count="1" selected="0">
            <x v="1"/>
          </reference>
        </references>
      </pivotArea>
    </format>
    <format dxfId="2255">
      <pivotArea outline="0" collapsedLevelsAreSubtotals="1" fieldPosition="0">
        <references count="4">
          <reference field="4294967294" count="1" selected="0">
            <x v="8"/>
          </reference>
          <reference field="0" count="1" selected="0">
            <x v="9"/>
          </reference>
          <reference field="4" count="1" selected="0">
            <x v="3"/>
          </reference>
          <reference field="60" count="1" selected="0">
            <x v="0"/>
          </reference>
        </references>
      </pivotArea>
    </format>
    <format dxfId="2254">
      <pivotArea outline="0" collapsedLevelsAreSubtotals="1" fieldPosition="0">
        <references count="4">
          <reference field="4294967294" count="1" selected="0">
            <x v="8"/>
          </reference>
          <reference field="0" count="1" selected="0">
            <x v="9"/>
          </reference>
          <reference field="4" count="1" selected="0">
            <x v="5"/>
          </reference>
          <reference field="60" count="1" selected="0">
            <x v="0"/>
          </reference>
        </references>
      </pivotArea>
    </format>
    <format dxfId="2253">
      <pivotArea outline="0" collapsedLevelsAreSubtotals="1" fieldPosition="0">
        <references count="4">
          <reference field="4294967294" count="1" selected="0">
            <x v="2"/>
          </reference>
          <reference field="0" count="1" selected="0">
            <x v="10"/>
          </reference>
          <reference field="4" count="1" selected="0">
            <x v="9"/>
          </reference>
          <reference field="60" count="1" selected="0">
            <x v="1"/>
          </reference>
        </references>
      </pivotArea>
    </format>
    <format dxfId="2252">
      <pivotArea outline="0" collapsedLevelsAreSubtotals="1" fieldPosition="0">
        <references count="4">
          <reference field="4294967294" count="1" selected="0">
            <x v="8"/>
          </reference>
          <reference field="0" count="1" selected="0">
            <x v="10"/>
          </reference>
          <reference field="4" count="1" selected="0">
            <x v="0"/>
          </reference>
          <reference field="60" count="1" selected="0">
            <x v="0"/>
          </reference>
        </references>
      </pivotArea>
    </format>
    <format dxfId="2251">
      <pivotArea outline="0" collapsedLevelsAreSubtotals="1" fieldPosition="0">
        <references count="4">
          <reference field="4294967294" count="1" selected="0">
            <x v="8"/>
          </reference>
          <reference field="0" count="1" selected="0">
            <x v="10"/>
          </reference>
          <reference field="4" count="1" selected="0">
            <x v="2"/>
          </reference>
          <reference field="60" count="1" selected="0">
            <x v="0"/>
          </reference>
        </references>
      </pivotArea>
    </format>
    <format dxfId="2250">
      <pivotArea outline="0" collapsedLevelsAreSubtotals="1" fieldPosition="0">
        <references count="4">
          <reference field="4294967294" count="1" selected="0">
            <x v="8"/>
          </reference>
          <reference field="0" count="1" selected="0">
            <x v="10"/>
          </reference>
          <reference field="4" count="1" selected="0">
            <x v="4"/>
          </reference>
          <reference field="60" count="1" selected="0">
            <x v="0"/>
          </reference>
        </references>
      </pivotArea>
    </format>
    <format dxfId="2249">
      <pivotArea outline="0" collapsedLevelsAreSubtotals="1" fieldPosition="0">
        <references count="4">
          <reference field="4294967294" count="1" selected="0">
            <x v="5"/>
          </reference>
          <reference field="0" count="1" selected="0">
            <x v="13"/>
          </reference>
          <reference field="4" count="1" selected="0">
            <x v="6"/>
          </reference>
          <reference field="60" count="1" selected="0">
            <x v="1"/>
          </reference>
        </references>
      </pivotArea>
    </format>
    <format dxfId="2248">
      <pivotArea outline="0" collapsedLevelsAreSubtotals="1" fieldPosition="0">
        <references count="4">
          <reference field="4294967294" count="1" selected="0">
            <x v="8"/>
          </reference>
          <reference field="0" count="1" selected="0">
            <x v="13"/>
          </reference>
          <reference field="4" count="1" selected="0">
            <x v="4"/>
          </reference>
          <reference field="60" count="1" selected="0">
            <x v="0"/>
          </reference>
        </references>
      </pivotArea>
    </format>
    <format dxfId="2247">
      <pivotArea outline="0" collapsedLevelsAreSubtotals="1" fieldPosition="0">
        <references count="4">
          <reference field="4294967294" count="1" selected="0">
            <x v="8"/>
          </reference>
          <reference field="0" count="1" selected="0">
            <x v="15"/>
          </reference>
          <reference field="4" count="1" selected="0">
            <x v="5"/>
          </reference>
          <reference field="60" count="1" selected="0">
            <x v="0"/>
          </reference>
        </references>
      </pivotArea>
    </format>
    <format dxfId="2246">
      <pivotArea outline="0" collapsedLevelsAreSubtotals="1" fieldPosition="0">
        <references count="4">
          <reference field="4294967294" count="1" selected="0">
            <x v="3"/>
          </reference>
          <reference field="0" count="1" selected="0">
            <x v="6"/>
          </reference>
          <reference field="4" count="1" selected="0">
            <x v="8"/>
          </reference>
          <reference field="60" count="1" selected="0">
            <x v="1"/>
          </reference>
        </references>
      </pivotArea>
    </format>
    <format dxfId="2245">
      <pivotArea outline="0" collapsedLevelsAreSubtotals="1" fieldPosition="0">
        <references count="3">
          <reference field="4294967294" count="1" selected="0">
            <x v="3"/>
          </reference>
          <reference field="0" count="1" selected="0">
            <x v="6"/>
          </reference>
          <reference field="60" count="1" selected="0" defaultSubtotal="1">
            <x v="1"/>
          </reference>
        </references>
      </pivotArea>
    </format>
    <format dxfId="2244">
      <pivotArea outline="0" collapsedLevelsAreSubtotals="1" fieldPosition="0">
        <references count="4">
          <reference field="4294967294" count="1" selected="0">
            <x v="2"/>
          </reference>
          <reference field="0" count="1" selected="0">
            <x v="0"/>
          </reference>
          <reference field="4" count="2" selected="0">
            <x v="7"/>
            <x v="8"/>
          </reference>
          <reference field="60" count="1" selected="0">
            <x v="1"/>
          </reference>
        </references>
      </pivotArea>
    </format>
    <format dxfId="2243">
      <pivotArea outline="0" collapsedLevelsAreSubtotals="1" fieldPosition="0">
        <references count="4">
          <reference field="4294967294" count="1" selected="0">
            <x v="2"/>
          </reference>
          <reference field="0" count="1" selected="0">
            <x v="1"/>
          </reference>
          <reference field="4" count="1" selected="0">
            <x v="8"/>
          </reference>
          <reference field="60" count="1" selected="0">
            <x v="1"/>
          </reference>
        </references>
      </pivotArea>
    </format>
    <format dxfId="2242">
      <pivotArea outline="0" collapsedLevelsAreSubtotals="1" fieldPosition="0">
        <references count="4">
          <reference field="4294967294" count="1" selected="0">
            <x v="8"/>
          </reference>
          <reference field="0" count="1" selected="0">
            <x v="3"/>
          </reference>
          <reference field="4" count="1" selected="0">
            <x v="3"/>
          </reference>
          <reference field="60" count="1" selected="0">
            <x v="0"/>
          </reference>
        </references>
      </pivotArea>
    </format>
    <format dxfId="2241">
      <pivotArea outline="0" collapsedLevelsAreSubtotals="1" fieldPosition="0">
        <references count="4">
          <reference field="4294967294" count="1" selected="0">
            <x v="5"/>
          </reference>
          <reference field="0" count="1" selected="0">
            <x v="3"/>
          </reference>
          <reference field="4" count="1" selected="0">
            <x v="8"/>
          </reference>
          <reference field="60" count="1" selected="0">
            <x v="1"/>
          </reference>
        </references>
      </pivotArea>
    </format>
    <format dxfId="2240">
      <pivotArea outline="0" collapsedLevelsAreSubtotals="1" fieldPosition="0">
        <references count="4">
          <reference field="4294967294" count="1" selected="0">
            <x v="3"/>
          </reference>
          <reference field="0" count="1" selected="0">
            <x v="6"/>
          </reference>
          <reference field="4" count="1" selected="0">
            <x v="8"/>
          </reference>
          <reference field="60" count="1" selected="0">
            <x v="1"/>
          </reference>
        </references>
      </pivotArea>
    </format>
    <format dxfId="2239">
      <pivotArea outline="0" collapsedLevelsAreSubtotals="1" fieldPosition="0">
        <references count="3">
          <reference field="4294967294" count="1" selected="0">
            <x v="3"/>
          </reference>
          <reference field="0" count="1" selected="0">
            <x v="6"/>
          </reference>
          <reference field="60" count="1" selected="0" defaultSubtotal="1">
            <x v="1"/>
          </reference>
        </references>
      </pivotArea>
    </format>
    <format dxfId="2238">
      <pivotArea outline="0" collapsedLevelsAreSubtotals="1" fieldPosition="0">
        <references count="4">
          <reference field="4294967294" count="1" selected="0">
            <x v="2"/>
          </reference>
          <reference field="0" count="1" selected="0">
            <x v="1"/>
          </reference>
          <reference field="4" count="1" selected="0">
            <x v="1"/>
          </reference>
          <reference field="60" count="1" selected="0">
            <x v="0"/>
          </reference>
        </references>
      </pivotArea>
    </format>
    <format dxfId="2237">
      <pivotArea outline="0" collapsedLevelsAreSubtotals="1" fieldPosition="0">
        <references count="4">
          <reference field="4294967294" count="1" selected="0">
            <x v="2"/>
          </reference>
          <reference field="0" count="1" selected="0">
            <x v="1"/>
          </reference>
          <reference field="4" count="1" selected="0">
            <x v="9"/>
          </reference>
          <reference field="60" count="1" selected="0">
            <x v="1"/>
          </reference>
        </references>
      </pivotArea>
    </format>
    <format dxfId="2236">
      <pivotArea outline="0" collapsedLevelsAreSubtotals="1" fieldPosition="0">
        <references count="4">
          <reference field="4294967294" count="1" selected="0">
            <x v="2"/>
          </reference>
          <reference field="0" count="1" selected="0">
            <x v="1"/>
          </reference>
          <reference field="4" count="1" selected="0">
            <x v="7"/>
          </reference>
          <reference field="60" count="1" selected="0">
            <x v="1"/>
          </reference>
        </references>
      </pivotArea>
    </format>
    <format dxfId="2235">
      <pivotArea outline="0" collapsedLevelsAreSubtotals="1" fieldPosition="0">
        <references count="4">
          <reference field="4294967294" count="1" selected="0">
            <x v="11"/>
          </reference>
          <reference field="0" count="1" selected="0">
            <x v="1"/>
          </reference>
          <reference field="4" count="1" selected="0">
            <x v="7"/>
          </reference>
          <reference field="60" count="1" selected="0">
            <x v="1"/>
          </reference>
        </references>
      </pivotArea>
    </format>
    <format dxfId="2234">
      <pivotArea outline="0" collapsedLevelsAreSubtotals="1" fieldPosition="0">
        <references count="4">
          <reference field="4294967294" count="1" selected="0">
            <x v="11"/>
          </reference>
          <reference field="0" count="1" selected="0">
            <x v="1"/>
          </reference>
          <reference field="4" count="1" selected="0">
            <x v="9"/>
          </reference>
          <reference field="60" count="1" selected="0">
            <x v="1"/>
          </reference>
        </references>
      </pivotArea>
    </format>
    <format dxfId="2233">
      <pivotArea outline="0" collapsedLevelsAreSubtotals="1" fieldPosition="0">
        <references count="4">
          <reference field="4294967294" count="1" selected="0">
            <x v="2"/>
          </reference>
          <reference field="0" count="1" selected="0">
            <x v="1"/>
          </reference>
          <reference field="4" count="1" selected="0">
            <x v="9"/>
          </reference>
          <reference field="60" count="1" selected="0">
            <x v="1"/>
          </reference>
        </references>
      </pivotArea>
    </format>
    <format dxfId="2232">
      <pivotArea outline="0" collapsedLevelsAreSubtotals="1" fieldPosition="0">
        <references count="4">
          <reference field="4294967294" count="1" selected="0">
            <x v="11"/>
          </reference>
          <reference field="0" count="1" selected="0">
            <x v="1"/>
          </reference>
          <reference field="4" count="1" selected="0">
            <x v="7"/>
          </reference>
          <reference field="60" count="1" selected="0">
            <x v="1"/>
          </reference>
        </references>
      </pivotArea>
    </format>
    <format dxfId="2231">
      <pivotArea outline="0" collapsedLevelsAreSubtotals="1" fieldPosition="0">
        <references count="4">
          <reference field="4294967294" count="1" selected="0">
            <x v="11"/>
          </reference>
          <reference field="0" count="1" selected="0">
            <x v="1"/>
          </reference>
          <reference field="4" count="1" selected="0">
            <x v="9"/>
          </reference>
          <reference field="60" count="1" selected="0">
            <x v="1"/>
          </reference>
        </references>
      </pivotArea>
    </format>
    <format dxfId="2230">
      <pivotArea outline="0" collapsedLevelsAreSubtotals="1" fieldPosition="0">
        <references count="1">
          <reference field="60" count="4" selected="0" defaultSubtotal="1">
            <x v="0"/>
            <x v="1"/>
            <x v="2"/>
            <x v="3"/>
          </reference>
        </references>
      </pivotArea>
    </format>
    <format dxfId="2229">
      <pivotArea type="origin" dataOnly="0" labelOnly="1" outline="0" fieldPosition="0"/>
    </format>
    <format dxfId="2228">
      <pivotArea field="60" type="button" dataOnly="0" labelOnly="1" outline="0" axis="axisCol" fieldPosition="0"/>
    </format>
    <format dxfId="2227">
      <pivotArea field="4" type="button" dataOnly="0" labelOnly="1" outline="0" axis="axisCol" fieldPosition="1"/>
    </format>
    <format dxfId="2226">
      <pivotArea type="topRight" dataOnly="0" labelOnly="1" outline="0" offset="A1:O1" fieldPosition="0"/>
    </format>
    <format dxfId="2225">
      <pivotArea field="0" type="button" dataOnly="0" labelOnly="1" outline="0" axis="axisRow" fieldPosition="0"/>
    </format>
    <format dxfId="2224">
      <pivotArea field="-2" type="button" dataOnly="0" labelOnly="1" outline="0" axis="axisRow" fieldPosition="1"/>
    </format>
    <format dxfId="2223">
      <pivotArea dataOnly="0" labelOnly="1" outline="0" fieldPosition="0">
        <references count="1">
          <reference field="0" count="0"/>
        </references>
      </pivotArea>
    </format>
    <format dxfId="2222">
      <pivotArea field="0" dataOnly="0" labelOnly="1" grandRow="1" outline="0" axis="axisRow" fieldPosition="0">
        <references count="1">
          <reference field="4294967294" count="1" selected="0">
            <x v="0"/>
          </reference>
        </references>
      </pivotArea>
    </format>
    <format dxfId="2221">
      <pivotArea field="0" dataOnly="0" labelOnly="1" grandRow="1" outline="0" axis="axisRow" fieldPosition="0">
        <references count="1">
          <reference field="4294967294" count="1" selected="0">
            <x v="1"/>
          </reference>
        </references>
      </pivotArea>
    </format>
    <format dxfId="2220">
      <pivotArea field="0" dataOnly="0" labelOnly="1" grandRow="1" outline="0" axis="axisRow" fieldPosition="0">
        <references count="1">
          <reference field="4294967294" count="1" selected="0">
            <x v="2"/>
          </reference>
        </references>
      </pivotArea>
    </format>
    <format dxfId="2219">
      <pivotArea field="0" dataOnly="0" labelOnly="1" grandRow="1" outline="0" axis="axisRow" fieldPosition="0">
        <references count="1">
          <reference field="4294967294" count="1" selected="0">
            <x v="3"/>
          </reference>
        </references>
      </pivotArea>
    </format>
    <format dxfId="2218">
      <pivotArea field="0" dataOnly="0" labelOnly="1" grandRow="1" outline="0" axis="axisRow" fieldPosition="0">
        <references count="1">
          <reference field="4294967294" count="1" selected="0">
            <x v="4"/>
          </reference>
        </references>
      </pivotArea>
    </format>
    <format dxfId="2217">
      <pivotArea field="0" dataOnly="0" labelOnly="1" grandRow="1" outline="0" axis="axisRow" fieldPosition="0">
        <references count="1">
          <reference field="4294967294" count="1" selected="0">
            <x v="5"/>
          </reference>
        </references>
      </pivotArea>
    </format>
    <format dxfId="2216">
      <pivotArea field="0" dataOnly="0" labelOnly="1" grandRow="1" outline="0" axis="axisRow" fieldPosition="0">
        <references count="1">
          <reference field="4294967294" count="1" selected="0">
            <x v="6"/>
          </reference>
        </references>
      </pivotArea>
    </format>
    <format dxfId="2215">
      <pivotArea field="0" dataOnly="0" labelOnly="1" grandRow="1" outline="0" axis="axisRow" fieldPosition="0">
        <references count="1">
          <reference field="4294967294" count="1" selected="0">
            <x v="7"/>
          </reference>
        </references>
      </pivotArea>
    </format>
    <format dxfId="2214">
      <pivotArea field="0" dataOnly="0" labelOnly="1" grandRow="1" outline="0" axis="axisRow" fieldPosition="0">
        <references count="1">
          <reference field="4294967294" count="1" selected="0">
            <x v="8"/>
          </reference>
        </references>
      </pivotArea>
    </format>
    <format dxfId="2213">
      <pivotArea field="0" dataOnly="0" labelOnly="1" grandRow="1" outline="0" axis="axisRow" fieldPosition="0">
        <references count="1">
          <reference field="4294967294" count="1" selected="0">
            <x v="9"/>
          </reference>
        </references>
      </pivotArea>
    </format>
    <format dxfId="2212">
      <pivotArea field="0" dataOnly="0" labelOnly="1" grandRow="1" outline="0" axis="axisRow" fieldPosition="0">
        <references count="1">
          <reference field="4294967294" count="1" selected="0">
            <x v="10"/>
          </reference>
        </references>
      </pivotArea>
    </format>
    <format dxfId="2211">
      <pivotArea field="0" dataOnly="0" labelOnly="1" grandRow="1" outline="0" axis="axisRow" fieldPosition="0">
        <references count="1">
          <reference field="4294967294" count="1" selected="0">
            <x v="11"/>
          </reference>
        </references>
      </pivotArea>
    </format>
    <format dxfId="2210">
      <pivotArea field="0" dataOnly="0" labelOnly="1" grandRow="1" outline="0" axis="axisRow" fieldPosition="0">
        <references count="1">
          <reference field="4294967294" count="1" selected="0">
            <x v="0"/>
          </reference>
        </references>
      </pivotArea>
    </format>
    <format dxfId="2209">
      <pivotArea field="0" dataOnly="0" labelOnly="1" grandRow="1" outline="0" axis="axisRow" fieldPosition="0">
        <references count="1">
          <reference field="4294967294" count="1" selected="0">
            <x v="1"/>
          </reference>
        </references>
      </pivotArea>
    </format>
    <format dxfId="2208">
      <pivotArea field="0" dataOnly="0" labelOnly="1" grandRow="1" outline="0" axis="axisRow" fieldPosition="0">
        <references count="1">
          <reference field="4294967294" count="1" selected="0">
            <x v="2"/>
          </reference>
        </references>
      </pivotArea>
    </format>
    <format dxfId="2207">
      <pivotArea field="0" dataOnly="0" labelOnly="1" grandRow="1" outline="0" axis="axisRow" fieldPosition="0">
        <references count="1">
          <reference field="4294967294" count="1" selected="0">
            <x v="3"/>
          </reference>
        </references>
      </pivotArea>
    </format>
    <format dxfId="2206">
      <pivotArea field="0" dataOnly="0" labelOnly="1" grandRow="1" outline="0" axis="axisRow" fieldPosition="0">
        <references count="1">
          <reference field="4294967294" count="1" selected="0">
            <x v="4"/>
          </reference>
        </references>
      </pivotArea>
    </format>
    <format dxfId="2205">
      <pivotArea field="0" dataOnly="0" labelOnly="1" grandRow="1" outline="0" axis="axisRow" fieldPosition="0">
        <references count="1">
          <reference field="4294967294" count="1" selected="0">
            <x v="5"/>
          </reference>
        </references>
      </pivotArea>
    </format>
    <format dxfId="2204">
      <pivotArea field="0" dataOnly="0" labelOnly="1" grandRow="1" outline="0" axis="axisRow" fieldPosition="0">
        <references count="1">
          <reference field="4294967294" count="1" selected="0">
            <x v="6"/>
          </reference>
        </references>
      </pivotArea>
    </format>
    <format dxfId="2203">
      <pivotArea field="0" dataOnly="0" labelOnly="1" grandRow="1" outline="0" axis="axisRow" fieldPosition="0">
        <references count="1">
          <reference field="4294967294" count="1" selected="0">
            <x v="7"/>
          </reference>
        </references>
      </pivotArea>
    </format>
    <format dxfId="2202">
      <pivotArea field="0" dataOnly="0" labelOnly="1" grandRow="1" outline="0" axis="axisRow" fieldPosition="0">
        <references count="1">
          <reference field="4294967294" count="1" selected="0">
            <x v="8"/>
          </reference>
        </references>
      </pivotArea>
    </format>
    <format dxfId="2201">
      <pivotArea field="0" dataOnly="0" labelOnly="1" grandRow="1" outline="0" axis="axisRow" fieldPosition="0">
        <references count="1">
          <reference field="4294967294" count="1" selected="0">
            <x v="9"/>
          </reference>
        </references>
      </pivotArea>
    </format>
    <format dxfId="2200">
      <pivotArea field="0" dataOnly="0" labelOnly="1" grandRow="1" outline="0" axis="axisRow" fieldPosition="0">
        <references count="1">
          <reference field="4294967294" count="1" selected="0">
            <x v="10"/>
          </reference>
        </references>
      </pivotArea>
    </format>
    <format dxfId="2199">
      <pivotArea field="0" dataOnly="0" labelOnly="1" grandRow="1" outline="0" axis="axisRow" fieldPosition="0">
        <references count="1">
          <reference field="4294967294" count="1" selected="0">
            <x v="11"/>
          </reference>
        </references>
      </pivotArea>
    </format>
    <format dxfId="2198">
      <pivotArea field="0" dataOnly="0" labelOnly="1" grandRow="1" outline="0" axis="axisRow" fieldPosition="0">
        <references count="1">
          <reference field="4294967294" count="1" selected="0">
            <x v="0"/>
          </reference>
        </references>
      </pivotArea>
    </format>
    <format dxfId="2197">
      <pivotArea field="0" dataOnly="0" labelOnly="1" grandRow="1" outline="0" axis="axisRow" fieldPosition="0">
        <references count="1">
          <reference field="4294967294" count="1" selected="0">
            <x v="1"/>
          </reference>
        </references>
      </pivotArea>
    </format>
    <format dxfId="2196">
      <pivotArea field="0" dataOnly="0" labelOnly="1" grandRow="1" outline="0" axis="axisRow" fieldPosition="0">
        <references count="1">
          <reference field="4294967294" count="1" selected="0">
            <x v="2"/>
          </reference>
        </references>
      </pivotArea>
    </format>
    <format dxfId="2195">
      <pivotArea field="0" dataOnly="0" labelOnly="1" grandRow="1" outline="0" axis="axisRow" fieldPosition="0">
        <references count="1">
          <reference field="4294967294" count="1" selected="0">
            <x v="3"/>
          </reference>
        </references>
      </pivotArea>
    </format>
    <format dxfId="2194">
      <pivotArea field="0" dataOnly="0" labelOnly="1" grandRow="1" outline="0" axis="axisRow" fieldPosition="0">
        <references count="1">
          <reference field="4294967294" count="1" selected="0">
            <x v="4"/>
          </reference>
        </references>
      </pivotArea>
    </format>
    <format dxfId="2193">
      <pivotArea field="0" dataOnly="0" labelOnly="1" grandRow="1" outline="0" axis="axisRow" fieldPosition="0">
        <references count="1">
          <reference field="4294967294" count="1" selected="0">
            <x v="5"/>
          </reference>
        </references>
      </pivotArea>
    </format>
    <format dxfId="2192">
      <pivotArea field="0" dataOnly="0" labelOnly="1" grandRow="1" outline="0" axis="axisRow" fieldPosition="0">
        <references count="1">
          <reference field="4294967294" count="1" selected="0">
            <x v="6"/>
          </reference>
        </references>
      </pivotArea>
    </format>
    <format dxfId="2191">
      <pivotArea field="0" dataOnly="0" labelOnly="1" grandRow="1" outline="0" axis="axisRow" fieldPosition="0">
        <references count="1">
          <reference field="4294967294" count="1" selected="0">
            <x v="7"/>
          </reference>
        </references>
      </pivotArea>
    </format>
    <format dxfId="2190">
      <pivotArea field="0" dataOnly="0" labelOnly="1" grandRow="1" outline="0" axis="axisRow" fieldPosition="0">
        <references count="1">
          <reference field="4294967294" count="1" selected="0">
            <x v="8"/>
          </reference>
        </references>
      </pivotArea>
    </format>
    <format dxfId="2189">
      <pivotArea field="0" dataOnly="0" labelOnly="1" grandRow="1" outline="0" axis="axisRow" fieldPosition="0">
        <references count="1">
          <reference field="4294967294" count="1" selected="0">
            <x v="9"/>
          </reference>
        </references>
      </pivotArea>
    </format>
    <format dxfId="2188">
      <pivotArea field="0" dataOnly="0" labelOnly="1" grandRow="1" outline="0" axis="axisRow" fieldPosition="0">
        <references count="1">
          <reference field="4294967294" count="1" selected="0">
            <x v="10"/>
          </reference>
        </references>
      </pivotArea>
    </format>
    <format dxfId="2187">
      <pivotArea field="0" dataOnly="0" labelOnly="1" grandRow="1" outline="0" axis="axisRow" fieldPosition="0">
        <references count="1">
          <reference field="4294967294" count="1" selected="0">
            <x v="11"/>
          </reference>
        </references>
      </pivotArea>
    </format>
    <format dxfId="2186">
      <pivotArea field="0" dataOnly="0" labelOnly="1" grandRow="1" outline="0" axis="axisRow" fieldPosition="0">
        <references count="1">
          <reference field="4294967294" count="1" selected="0">
            <x v="0"/>
          </reference>
        </references>
      </pivotArea>
    </format>
    <format dxfId="2185">
      <pivotArea field="0" dataOnly="0" labelOnly="1" grandRow="1" outline="0" axis="axisRow" fieldPosition="0">
        <references count="1">
          <reference field="4294967294" count="1" selected="0">
            <x v="1"/>
          </reference>
        </references>
      </pivotArea>
    </format>
    <format dxfId="2184">
      <pivotArea field="0" dataOnly="0" labelOnly="1" grandRow="1" outline="0" axis="axisRow" fieldPosition="0">
        <references count="1">
          <reference field="4294967294" count="1" selected="0">
            <x v="2"/>
          </reference>
        </references>
      </pivotArea>
    </format>
    <format dxfId="2183">
      <pivotArea field="0" dataOnly="0" labelOnly="1" grandRow="1" outline="0" axis="axisRow" fieldPosition="0">
        <references count="1">
          <reference field="4294967294" count="1" selected="0">
            <x v="3"/>
          </reference>
        </references>
      </pivotArea>
    </format>
    <format dxfId="2182">
      <pivotArea field="0" dataOnly="0" labelOnly="1" grandRow="1" outline="0" axis="axisRow" fieldPosition="0">
        <references count="1">
          <reference field="4294967294" count="1" selected="0">
            <x v="4"/>
          </reference>
        </references>
      </pivotArea>
    </format>
    <format dxfId="2181">
      <pivotArea field="0" dataOnly="0" labelOnly="1" grandRow="1" outline="0" axis="axisRow" fieldPosition="0">
        <references count="1">
          <reference field="4294967294" count="1" selected="0">
            <x v="5"/>
          </reference>
        </references>
      </pivotArea>
    </format>
    <format dxfId="2180">
      <pivotArea field="0" dataOnly="0" labelOnly="1" grandRow="1" outline="0" axis="axisRow" fieldPosition="0">
        <references count="1">
          <reference field="4294967294" count="1" selected="0">
            <x v="6"/>
          </reference>
        </references>
      </pivotArea>
    </format>
    <format dxfId="2179">
      <pivotArea field="0" dataOnly="0" labelOnly="1" grandRow="1" outline="0" axis="axisRow" fieldPosition="0">
        <references count="1">
          <reference field="4294967294" count="1" selected="0">
            <x v="7"/>
          </reference>
        </references>
      </pivotArea>
    </format>
    <format dxfId="2178">
      <pivotArea field="0" dataOnly="0" labelOnly="1" grandRow="1" outline="0" axis="axisRow" fieldPosition="0">
        <references count="1">
          <reference field="4294967294" count="1" selected="0">
            <x v="8"/>
          </reference>
        </references>
      </pivotArea>
    </format>
    <format dxfId="2177">
      <pivotArea field="0" dataOnly="0" labelOnly="1" grandRow="1" outline="0" axis="axisRow" fieldPosition="0">
        <references count="1">
          <reference field="4294967294" count="1" selected="0">
            <x v="9"/>
          </reference>
        </references>
      </pivotArea>
    </format>
    <format dxfId="2176">
      <pivotArea field="0" dataOnly="0" labelOnly="1" grandRow="1" outline="0" axis="axisRow" fieldPosition="0">
        <references count="1">
          <reference field="4294967294" count="1" selected="0">
            <x v="10"/>
          </reference>
        </references>
      </pivotArea>
    </format>
    <format dxfId="2175">
      <pivotArea field="0" dataOnly="0" labelOnly="1" grandRow="1" outline="0" axis="axisRow" fieldPosition="0">
        <references count="1">
          <reference field="4294967294" count="1" selected="0">
            <x v="11"/>
          </reference>
        </references>
      </pivotArea>
    </format>
    <format dxfId="2174">
      <pivotArea field="0" dataOnly="0" labelOnly="1" grandRow="1" outline="0" axis="axisRow" fieldPosition="0">
        <references count="1">
          <reference field="4294967294" count="1" selected="0">
            <x v="0"/>
          </reference>
        </references>
      </pivotArea>
    </format>
    <format dxfId="2173">
      <pivotArea field="0" dataOnly="0" labelOnly="1" grandRow="1" outline="0" axis="axisRow" fieldPosition="0">
        <references count="1">
          <reference field="4294967294" count="1" selected="0">
            <x v="1"/>
          </reference>
        </references>
      </pivotArea>
    </format>
    <format dxfId="2172">
      <pivotArea field="0" dataOnly="0" labelOnly="1" grandRow="1" outline="0" axis="axisRow" fieldPosition="0">
        <references count="1">
          <reference field="4294967294" count="1" selected="0">
            <x v="2"/>
          </reference>
        </references>
      </pivotArea>
    </format>
    <format dxfId="2171">
      <pivotArea field="0" dataOnly="0" labelOnly="1" grandRow="1" outline="0" axis="axisRow" fieldPosition="0">
        <references count="1">
          <reference field="4294967294" count="1" selected="0">
            <x v="3"/>
          </reference>
        </references>
      </pivotArea>
    </format>
    <format dxfId="2170">
      <pivotArea field="0" dataOnly="0" labelOnly="1" grandRow="1" outline="0" axis="axisRow" fieldPosition="0">
        <references count="1">
          <reference field="4294967294" count="1" selected="0">
            <x v="4"/>
          </reference>
        </references>
      </pivotArea>
    </format>
    <format dxfId="2169">
      <pivotArea field="0" dataOnly="0" labelOnly="1" grandRow="1" outline="0" axis="axisRow" fieldPosition="0">
        <references count="1">
          <reference field="4294967294" count="1" selected="0">
            <x v="5"/>
          </reference>
        </references>
      </pivotArea>
    </format>
    <format dxfId="2168">
      <pivotArea field="0" dataOnly="0" labelOnly="1" grandRow="1" outline="0" axis="axisRow" fieldPosition="0">
        <references count="1">
          <reference field="4294967294" count="1" selected="0">
            <x v="6"/>
          </reference>
        </references>
      </pivotArea>
    </format>
    <format dxfId="2167">
      <pivotArea field="0" dataOnly="0" labelOnly="1" grandRow="1" outline="0" axis="axisRow" fieldPosition="0">
        <references count="1">
          <reference field="4294967294" count="1" selected="0">
            <x v="7"/>
          </reference>
        </references>
      </pivotArea>
    </format>
    <format dxfId="2166">
      <pivotArea field="0" dataOnly="0" labelOnly="1" grandRow="1" outline="0" axis="axisRow" fieldPosition="0">
        <references count="1">
          <reference field="4294967294" count="1" selected="0">
            <x v="8"/>
          </reference>
        </references>
      </pivotArea>
    </format>
    <format dxfId="2165">
      <pivotArea field="0" dataOnly="0" labelOnly="1" grandRow="1" outline="0" axis="axisRow" fieldPosition="0">
        <references count="1">
          <reference field="4294967294" count="1" selected="0">
            <x v="9"/>
          </reference>
        </references>
      </pivotArea>
    </format>
    <format dxfId="2164">
      <pivotArea field="0" dataOnly="0" labelOnly="1" grandRow="1" outline="0" axis="axisRow" fieldPosition="0">
        <references count="1">
          <reference field="4294967294" count="1" selected="0">
            <x v="10"/>
          </reference>
        </references>
      </pivotArea>
    </format>
    <format dxfId="2163">
      <pivotArea field="0" dataOnly="0" labelOnly="1" grandRow="1" outline="0" axis="axisRow" fieldPosition="0">
        <references count="1">
          <reference field="4294967294" count="1" selected="0">
            <x v="11"/>
          </reference>
        </references>
      </pivotArea>
    </format>
    <format dxfId="2162">
      <pivotArea field="0" dataOnly="0" labelOnly="1" grandRow="1" outline="0" axis="axisRow" fieldPosition="0">
        <references count="1">
          <reference field="4294967294" count="1" selected="0">
            <x v="0"/>
          </reference>
        </references>
      </pivotArea>
    </format>
    <format dxfId="2161">
      <pivotArea field="0" dataOnly="0" labelOnly="1" grandRow="1" outline="0" axis="axisRow" fieldPosition="0">
        <references count="1">
          <reference field="4294967294" count="1" selected="0">
            <x v="1"/>
          </reference>
        </references>
      </pivotArea>
    </format>
    <format dxfId="2160">
      <pivotArea field="0" dataOnly="0" labelOnly="1" grandRow="1" outline="0" axis="axisRow" fieldPosition="0">
        <references count="1">
          <reference field="4294967294" count="1" selected="0">
            <x v="2"/>
          </reference>
        </references>
      </pivotArea>
    </format>
    <format dxfId="2159">
      <pivotArea field="0" dataOnly="0" labelOnly="1" grandRow="1" outline="0" axis="axisRow" fieldPosition="0">
        <references count="1">
          <reference field="4294967294" count="1" selected="0">
            <x v="3"/>
          </reference>
        </references>
      </pivotArea>
    </format>
    <format dxfId="2158">
      <pivotArea field="0" dataOnly="0" labelOnly="1" grandRow="1" outline="0" axis="axisRow" fieldPosition="0">
        <references count="1">
          <reference field="4294967294" count="1" selected="0">
            <x v="4"/>
          </reference>
        </references>
      </pivotArea>
    </format>
    <format dxfId="2157">
      <pivotArea field="0" dataOnly="0" labelOnly="1" grandRow="1" outline="0" axis="axisRow" fieldPosition="0">
        <references count="1">
          <reference field="4294967294" count="1" selected="0">
            <x v="5"/>
          </reference>
        </references>
      </pivotArea>
    </format>
    <format dxfId="2156">
      <pivotArea field="0" dataOnly="0" labelOnly="1" grandRow="1" outline="0" axis="axisRow" fieldPosition="0">
        <references count="1">
          <reference field="4294967294" count="1" selected="0">
            <x v="6"/>
          </reference>
        </references>
      </pivotArea>
    </format>
    <format dxfId="2155">
      <pivotArea field="0" dataOnly="0" labelOnly="1" grandRow="1" outline="0" axis="axisRow" fieldPosition="0">
        <references count="1">
          <reference field="4294967294" count="1" selected="0">
            <x v="7"/>
          </reference>
        </references>
      </pivotArea>
    </format>
    <format dxfId="2154">
      <pivotArea field="0" dataOnly="0" labelOnly="1" grandRow="1" outline="0" axis="axisRow" fieldPosition="0">
        <references count="1">
          <reference field="4294967294" count="1" selected="0">
            <x v="8"/>
          </reference>
        </references>
      </pivotArea>
    </format>
    <format dxfId="2153">
      <pivotArea field="0" dataOnly="0" labelOnly="1" grandRow="1" outline="0" axis="axisRow" fieldPosition="0">
        <references count="1">
          <reference field="4294967294" count="1" selected="0">
            <x v="9"/>
          </reference>
        </references>
      </pivotArea>
    </format>
    <format dxfId="2152">
      <pivotArea field="0" dataOnly="0" labelOnly="1" grandRow="1" outline="0" axis="axisRow" fieldPosition="0">
        <references count="1">
          <reference field="4294967294" count="1" selected="0">
            <x v="10"/>
          </reference>
        </references>
      </pivotArea>
    </format>
    <format dxfId="2151">
      <pivotArea field="0" dataOnly="0" labelOnly="1" grandRow="1" outline="0" axis="axisRow" fieldPosition="0">
        <references count="1">
          <reference field="4294967294" count="1" selected="0">
            <x v="11"/>
          </reference>
        </references>
      </pivotArea>
    </format>
    <format dxfId="2150">
      <pivotArea field="0" dataOnly="0" labelOnly="1" grandRow="1" outline="0" axis="axisRow" fieldPosition="0">
        <references count="1">
          <reference field="4294967294" count="1" selected="0">
            <x v="0"/>
          </reference>
        </references>
      </pivotArea>
    </format>
    <format dxfId="2149">
      <pivotArea field="0" dataOnly="0" labelOnly="1" grandRow="1" outline="0" axis="axisRow" fieldPosition="0">
        <references count="1">
          <reference field="4294967294" count="1" selected="0">
            <x v="1"/>
          </reference>
        </references>
      </pivotArea>
    </format>
    <format dxfId="2148">
      <pivotArea field="0" dataOnly="0" labelOnly="1" grandRow="1" outline="0" axis="axisRow" fieldPosition="0">
        <references count="1">
          <reference field="4294967294" count="1" selected="0">
            <x v="2"/>
          </reference>
        </references>
      </pivotArea>
    </format>
    <format dxfId="2147">
      <pivotArea field="0" dataOnly="0" labelOnly="1" grandRow="1" outline="0" axis="axisRow" fieldPosition="0">
        <references count="1">
          <reference field="4294967294" count="1" selected="0">
            <x v="3"/>
          </reference>
        </references>
      </pivotArea>
    </format>
    <format dxfId="2146">
      <pivotArea field="0" dataOnly="0" labelOnly="1" grandRow="1" outline="0" axis="axisRow" fieldPosition="0">
        <references count="1">
          <reference field="4294967294" count="1" selected="0">
            <x v="4"/>
          </reference>
        </references>
      </pivotArea>
    </format>
    <format dxfId="2145">
      <pivotArea field="0" dataOnly="0" labelOnly="1" grandRow="1" outline="0" axis="axisRow" fieldPosition="0">
        <references count="1">
          <reference field="4294967294" count="1" selected="0">
            <x v="5"/>
          </reference>
        </references>
      </pivotArea>
    </format>
    <format dxfId="2144">
      <pivotArea field="0" dataOnly="0" labelOnly="1" grandRow="1" outline="0" axis="axisRow" fieldPosition="0">
        <references count="1">
          <reference field="4294967294" count="1" selected="0">
            <x v="6"/>
          </reference>
        </references>
      </pivotArea>
    </format>
    <format dxfId="2143">
      <pivotArea field="0" dataOnly="0" labelOnly="1" grandRow="1" outline="0" axis="axisRow" fieldPosition="0">
        <references count="1">
          <reference field="4294967294" count="1" selected="0">
            <x v="7"/>
          </reference>
        </references>
      </pivotArea>
    </format>
    <format dxfId="2142">
      <pivotArea field="0" dataOnly="0" labelOnly="1" grandRow="1" outline="0" axis="axisRow" fieldPosition="0">
        <references count="1">
          <reference field="4294967294" count="1" selected="0">
            <x v="8"/>
          </reference>
        </references>
      </pivotArea>
    </format>
    <format dxfId="2141">
      <pivotArea field="0" dataOnly="0" labelOnly="1" grandRow="1" outline="0" axis="axisRow" fieldPosition="0">
        <references count="1">
          <reference field="4294967294" count="1" selected="0">
            <x v="9"/>
          </reference>
        </references>
      </pivotArea>
    </format>
    <format dxfId="2140">
      <pivotArea field="0" dataOnly="0" labelOnly="1" grandRow="1" outline="0" axis="axisRow" fieldPosition="0">
        <references count="1">
          <reference field="4294967294" count="1" selected="0">
            <x v="10"/>
          </reference>
        </references>
      </pivotArea>
    </format>
    <format dxfId="2139">
      <pivotArea field="0" dataOnly="0" labelOnly="1" grandRow="1" outline="0" axis="axisRow" fieldPosition="0">
        <references count="1">
          <reference field="4294967294" count="1" selected="0">
            <x v="11"/>
          </reference>
        </references>
      </pivotArea>
    </format>
    <format dxfId="2138">
      <pivotArea field="0" dataOnly="0" labelOnly="1" grandRow="1" outline="0" axis="axisRow" fieldPosition="0">
        <references count="1">
          <reference field="4294967294" count="1" selected="0">
            <x v="0"/>
          </reference>
        </references>
      </pivotArea>
    </format>
    <format dxfId="2137">
      <pivotArea field="0" dataOnly="0" labelOnly="1" grandRow="1" outline="0" axis="axisRow" fieldPosition="0">
        <references count="1">
          <reference field="4294967294" count="1" selected="0">
            <x v="1"/>
          </reference>
        </references>
      </pivotArea>
    </format>
    <format dxfId="2136">
      <pivotArea field="0" dataOnly="0" labelOnly="1" grandRow="1" outline="0" axis="axisRow" fieldPosition="0">
        <references count="1">
          <reference field="4294967294" count="1" selected="0">
            <x v="2"/>
          </reference>
        </references>
      </pivotArea>
    </format>
    <format dxfId="2135">
      <pivotArea field="0" dataOnly="0" labelOnly="1" grandRow="1" outline="0" axis="axisRow" fieldPosition="0">
        <references count="1">
          <reference field="4294967294" count="1" selected="0">
            <x v="3"/>
          </reference>
        </references>
      </pivotArea>
    </format>
    <format dxfId="2134">
      <pivotArea field="0" dataOnly="0" labelOnly="1" grandRow="1" outline="0" axis="axisRow" fieldPosition="0">
        <references count="1">
          <reference field="4294967294" count="1" selected="0">
            <x v="4"/>
          </reference>
        </references>
      </pivotArea>
    </format>
    <format dxfId="2133">
      <pivotArea field="0" dataOnly="0" labelOnly="1" grandRow="1" outline="0" axis="axisRow" fieldPosition="0">
        <references count="1">
          <reference field="4294967294" count="1" selected="0">
            <x v="5"/>
          </reference>
        </references>
      </pivotArea>
    </format>
    <format dxfId="2132">
      <pivotArea field="0" dataOnly="0" labelOnly="1" grandRow="1" outline="0" axis="axisRow" fieldPosition="0">
        <references count="1">
          <reference field="4294967294" count="1" selected="0">
            <x v="6"/>
          </reference>
        </references>
      </pivotArea>
    </format>
    <format dxfId="2131">
      <pivotArea field="0" dataOnly="0" labelOnly="1" grandRow="1" outline="0" axis="axisRow" fieldPosition="0">
        <references count="1">
          <reference field="4294967294" count="1" selected="0">
            <x v="7"/>
          </reference>
        </references>
      </pivotArea>
    </format>
    <format dxfId="2130">
      <pivotArea field="0" dataOnly="0" labelOnly="1" grandRow="1" outline="0" axis="axisRow" fieldPosition="0">
        <references count="1">
          <reference field="4294967294" count="1" selected="0">
            <x v="8"/>
          </reference>
        </references>
      </pivotArea>
    </format>
    <format dxfId="2129">
      <pivotArea field="0" dataOnly="0" labelOnly="1" grandRow="1" outline="0" axis="axisRow" fieldPosition="0">
        <references count="1">
          <reference field="4294967294" count="1" selected="0">
            <x v="9"/>
          </reference>
        </references>
      </pivotArea>
    </format>
    <format dxfId="2128">
      <pivotArea field="0" dataOnly="0" labelOnly="1" grandRow="1" outline="0" axis="axisRow" fieldPosition="0">
        <references count="1">
          <reference field="4294967294" count="1" selected="0">
            <x v="10"/>
          </reference>
        </references>
      </pivotArea>
    </format>
    <format dxfId="2127">
      <pivotArea field="0" dataOnly="0" labelOnly="1" grandRow="1" outline="0" axis="axisRow" fieldPosition="0">
        <references count="1">
          <reference field="4294967294" count="1" selected="0">
            <x v="11"/>
          </reference>
        </references>
      </pivotArea>
    </format>
    <format dxfId="2126">
      <pivotArea field="0" dataOnly="0" labelOnly="1" grandRow="1" outline="0" axis="axisRow" fieldPosition="0">
        <references count="1">
          <reference field="4294967294" count="1" selected="0">
            <x v="0"/>
          </reference>
        </references>
      </pivotArea>
    </format>
    <format dxfId="2125">
      <pivotArea field="0" dataOnly="0" labelOnly="1" grandRow="1" outline="0" axis="axisRow" fieldPosition="0">
        <references count="1">
          <reference field="4294967294" count="1" selected="0">
            <x v="1"/>
          </reference>
        </references>
      </pivotArea>
    </format>
    <format dxfId="2124">
      <pivotArea field="0" dataOnly="0" labelOnly="1" grandRow="1" outline="0" axis="axisRow" fieldPosition="0">
        <references count="1">
          <reference field="4294967294" count="1" selected="0">
            <x v="2"/>
          </reference>
        </references>
      </pivotArea>
    </format>
    <format dxfId="2123">
      <pivotArea field="0" dataOnly="0" labelOnly="1" grandRow="1" outline="0" axis="axisRow" fieldPosition="0">
        <references count="1">
          <reference field="4294967294" count="1" selected="0">
            <x v="3"/>
          </reference>
        </references>
      </pivotArea>
    </format>
    <format dxfId="2122">
      <pivotArea field="0" dataOnly="0" labelOnly="1" grandRow="1" outline="0" axis="axisRow" fieldPosition="0">
        <references count="1">
          <reference field="4294967294" count="1" selected="0">
            <x v="4"/>
          </reference>
        </references>
      </pivotArea>
    </format>
    <format dxfId="2121">
      <pivotArea field="0" dataOnly="0" labelOnly="1" grandRow="1" outline="0" axis="axisRow" fieldPosition="0">
        <references count="1">
          <reference field="4294967294" count="1" selected="0">
            <x v="5"/>
          </reference>
        </references>
      </pivotArea>
    </format>
    <format dxfId="2120">
      <pivotArea field="0" dataOnly="0" labelOnly="1" grandRow="1" outline="0" axis="axisRow" fieldPosition="0">
        <references count="1">
          <reference field="4294967294" count="1" selected="0">
            <x v="6"/>
          </reference>
        </references>
      </pivotArea>
    </format>
    <format dxfId="2119">
      <pivotArea field="0" dataOnly="0" labelOnly="1" grandRow="1" outline="0" axis="axisRow" fieldPosition="0">
        <references count="1">
          <reference field="4294967294" count="1" selected="0">
            <x v="7"/>
          </reference>
        </references>
      </pivotArea>
    </format>
    <format dxfId="2118">
      <pivotArea field="0" dataOnly="0" labelOnly="1" grandRow="1" outline="0" axis="axisRow" fieldPosition="0">
        <references count="1">
          <reference field="4294967294" count="1" selected="0">
            <x v="8"/>
          </reference>
        </references>
      </pivotArea>
    </format>
    <format dxfId="2117">
      <pivotArea field="0" dataOnly="0" labelOnly="1" grandRow="1" outline="0" axis="axisRow" fieldPosition="0">
        <references count="1">
          <reference field="4294967294" count="1" selected="0">
            <x v="9"/>
          </reference>
        </references>
      </pivotArea>
    </format>
    <format dxfId="2116">
      <pivotArea field="0" dataOnly="0" labelOnly="1" grandRow="1" outline="0" axis="axisRow" fieldPosition="0">
        <references count="1">
          <reference field="4294967294" count="1" selected="0">
            <x v="10"/>
          </reference>
        </references>
      </pivotArea>
    </format>
    <format dxfId="2115">
      <pivotArea field="0" dataOnly="0" labelOnly="1" grandRow="1" outline="0" axis="axisRow" fieldPosition="0">
        <references count="1">
          <reference field="4294967294" count="1" selected="0">
            <x v="11"/>
          </reference>
        </references>
      </pivotArea>
    </format>
    <format dxfId="2114">
      <pivotArea field="0" dataOnly="0" labelOnly="1" grandRow="1" outline="0" axis="axisRow" fieldPosition="0">
        <references count="1">
          <reference field="4294967294" count="1" selected="0">
            <x v="0"/>
          </reference>
        </references>
      </pivotArea>
    </format>
    <format dxfId="2113">
      <pivotArea field="0" dataOnly="0" labelOnly="1" grandRow="1" outline="0" axis="axisRow" fieldPosition="0">
        <references count="1">
          <reference field="4294967294" count="1" selected="0">
            <x v="1"/>
          </reference>
        </references>
      </pivotArea>
    </format>
    <format dxfId="2112">
      <pivotArea field="0" dataOnly="0" labelOnly="1" grandRow="1" outline="0" axis="axisRow" fieldPosition="0">
        <references count="1">
          <reference field="4294967294" count="1" selected="0">
            <x v="2"/>
          </reference>
        </references>
      </pivotArea>
    </format>
    <format dxfId="2111">
      <pivotArea field="0" dataOnly="0" labelOnly="1" grandRow="1" outline="0" axis="axisRow" fieldPosition="0">
        <references count="1">
          <reference field="4294967294" count="1" selected="0">
            <x v="3"/>
          </reference>
        </references>
      </pivotArea>
    </format>
    <format dxfId="2110">
      <pivotArea field="0" dataOnly="0" labelOnly="1" grandRow="1" outline="0" axis="axisRow" fieldPosition="0">
        <references count="1">
          <reference field="4294967294" count="1" selected="0">
            <x v="4"/>
          </reference>
        </references>
      </pivotArea>
    </format>
    <format dxfId="2109">
      <pivotArea field="0" dataOnly="0" labelOnly="1" grandRow="1" outline="0" axis="axisRow" fieldPosition="0">
        <references count="1">
          <reference field="4294967294" count="1" selected="0">
            <x v="5"/>
          </reference>
        </references>
      </pivotArea>
    </format>
    <format dxfId="2108">
      <pivotArea field="0" dataOnly="0" labelOnly="1" grandRow="1" outline="0" axis="axisRow" fieldPosition="0">
        <references count="1">
          <reference field="4294967294" count="1" selected="0">
            <x v="6"/>
          </reference>
        </references>
      </pivotArea>
    </format>
    <format dxfId="2107">
      <pivotArea field="0" dataOnly="0" labelOnly="1" grandRow="1" outline="0" axis="axisRow" fieldPosition="0">
        <references count="1">
          <reference field="4294967294" count="1" selected="0">
            <x v="7"/>
          </reference>
        </references>
      </pivotArea>
    </format>
    <format dxfId="2106">
      <pivotArea field="0" dataOnly="0" labelOnly="1" grandRow="1" outline="0" axis="axisRow" fieldPosition="0">
        <references count="1">
          <reference field="4294967294" count="1" selected="0">
            <x v="8"/>
          </reference>
        </references>
      </pivotArea>
    </format>
    <format dxfId="2105">
      <pivotArea field="0" dataOnly="0" labelOnly="1" grandRow="1" outline="0" axis="axisRow" fieldPosition="0">
        <references count="1">
          <reference field="4294967294" count="1" selected="0">
            <x v="9"/>
          </reference>
        </references>
      </pivotArea>
    </format>
    <format dxfId="2104">
      <pivotArea field="0" dataOnly="0" labelOnly="1" grandRow="1" outline="0" axis="axisRow" fieldPosition="0">
        <references count="1">
          <reference field="4294967294" count="1" selected="0">
            <x v="10"/>
          </reference>
        </references>
      </pivotArea>
    </format>
    <format dxfId="2103">
      <pivotArea field="0" dataOnly="0" labelOnly="1" grandRow="1" outline="0" axis="axisRow" fieldPosition="0">
        <references count="1">
          <reference field="4294967294" count="1" selected="0">
            <x v="11"/>
          </reference>
        </references>
      </pivotArea>
    </format>
    <format dxfId="2102">
      <pivotArea field="0" dataOnly="0" labelOnly="1" grandRow="1" outline="0" axis="axisRow" fieldPosition="0">
        <references count="1">
          <reference field="4294967294" count="1" selected="0">
            <x v="0"/>
          </reference>
        </references>
      </pivotArea>
    </format>
    <format dxfId="2101">
      <pivotArea field="0" dataOnly="0" labelOnly="1" grandRow="1" outline="0" axis="axisRow" fieldPosition="0">
        <references count="1">
          <reference field="4294967294" count="1" selected="0">
            <x v="1"/>
          </reference>
        </references>
      </pivotArea>
    </format>
    <format dxfId="2100">
      <pivotArea field="0" dataOnly="0" labelOnly="1" grandRow="1" outline="0" axis="axisRow" fieldPosition="0">
        <references count="1">
          <reference field="4294967294" count="1" selected="0">
            <x v="2"/>
          </reference>
        </references>
      </pivotArea>
    </format>
    <format dxfId="2099">
      <pivotArea field="0" dataOnly="0" labelOnly="1" grandRow="1" outline="0" axis="axisRow" fieldPosition="0">
        <references count="1">
          <reference field="4294967294" count="1" selected="0">
            <x v="3"/>
          </reference>
        </references>
      </pivotArea>
    </format>
    <format dxfId="2098">
      <pivotArea field="0" dataOnly="0" labelOnly="1" grandRow="1" outline="0" axis="axisRow" fieldPosition="0">
        <references count="1">
          <reference field="4294967294" count="1" selected="0">
            <x v="4"/>
          </reference>
        </references>
      </pivotArea>
    </format>
    <format dxfId="2097">
      <pivotArea field="0" dataOnly="0" labelOnly="1" grandRow="1" outline="0" axis="axisRow" fieldPosition="0">
        <references count="1">
          <reference field="4294967294" count="1" selected="0">
            <x v="5"/>
          </reference>
        </references>
      </pivotArea>
    </format>
    <format dxfId="2096">
      <pivotArea field="0" dataOnly="0" labelOnly="1" grandRow="1" outline="0" axis="axisRow" fieldPosition="0">
        <references count="1">
          <reference field="4294967294" count="1" selected="0">
            <x v="6"/>
          </reference>
        </references>
      </pivotArea>
    </format>
    <format dxfId="2095">
      <pivotArea field="0" dataOnly="0" labelOnly="1" grandRow="1" outline="0" axis="axisRow" fieldPosition="0">
        <references count="1">
          <reference field="4294967294" count="1" selected="0">
            <x v="7"/>
          </reference>
        </references>
      </pivotArea>
    </format>
    <format dxfId="2094">
      <pivotArea field="0" dataOnly="0" labelOnly="1" grandRow="1" outline="0" axis="axisRow" fieldPosition="0">
        <references count="1">
          <reference field="4294967294" count="1" selected="0">
            <x v="8"/>
          </reference>
        </references>
      </pivotArea>
    </format>
    <format dxfId="2093">
      <pivotArea field="0" dataOnly="0" labelOnly="1" grandRow="1" outline="0" axis="axisRow" fieldPosition="0">
        <references count="1">
          <reference field="4294967294" count="1" selected="0">
            <x v="9"/>
          </reference>
        </references>
      </pivotArea>
    </format>
    <format dxfId="2092">
      <pivotArea field="0" dataOnly="0" labelOnly="1" grandRow="1" outline="0" axis="axisRow" fieldPosition="0">
        <references count="1">
          <reference field="4294967294" count="1" selected="0">
            <x v="10"/>
          </reference>
        </references>
      </pivotArea>
    </format>
    <format dxfId="2091">
      <pivotArea field="0" dataOnly="0" labelOnly="1" grandRow="1" outline="0" axis="axisRow" fieldPosition="0">
        <references count="1">
          <reference field="4294967294" count="1" selected="0">
            <x v="11"/>
          </reference>
        </references>
      </pivotArea>
    </format>
    <format dxfId="2090">
      <pivotArea field="0" dataOnly="0" labelOnly="1" grandRow="1" outline="0" axis="axisRow" fieldPosition="0">
        <references count="1">
          <reference field="4294967294" count="1" selected="0">
            <x v="0"/>
          </reference>
        </references>
      </pivotArea>
    </format>
    <format dxfId="2089">
      <pivotArea field="0" dataOnly="0" labelOnly="1" grandRow="1" outline="0" axis="axisRow" fieldPosition="0">
        <references count="1">
          <reference field="4294967294" count="1" selected="0">
            <x v="1"/>
          </reference>
        </references>
      </pivotArea>
    </format>
    <format dxfId="2088">
      <pivotArea field="0" dataOnly="0" labelOnly="1" grandRow="1" outline="0" axis="axisRow" fieldPosition="0">
        <references count="1">
          <reference field="4294967294" count="1" selected="0">
            <x v="2"/>
          </reference>
        </references>
      </pivotArea>
    </format>
    <format dxfId="2087">
      <pivotArea field="0" dataOnly="0" labelOnly="1" grandRow="1" outline="0" axis="axisRow" fieldPosition="0">
        <references count="1">
          <reference field="4294967294" count="1" selected="0">
            <x v="3"/>
          </reference>
        </references>
      </pivotArea>
    </format>
    <format dxfId="2086">
      <pivotArea field="0" dataOnly="0" labelOnly="1" grandRow="1" outline="0" axis="axisRow" fieldPosition="0">
        <references count="1">
          <reference field="4294967294" count="1" selected="0">
            <x v="4"/>
          </reference>
        </references>
      </pivotArea>
    </format>
    <format dxfId="2085">
      <pivotArea field="0" dataOnly="0" labelOnly="1" grandRow="1" outline="0" axis="axisRow" fieldPosition="0">
        <references count="1">
          <reference field="4294967294" count="1" selected="0">
            <x v="5"/>
          </reference>
        </references>
      </pivotArea>
    </format>
    <format dxfId="2084">
      <pivotArea field="0" dataOnly="0" labelOnly="1" grandRow="1" outline="0" axis="axisRow" fieldPosition="0">
        <references count="1">
          <reference field="4294967294" count="1" selected="0">
            <x v="6"/>
          </reference>
        </references>
      </pivotArea>
    </format>
    <format dxfId="2083">
      <pivotArea field="0" dataOnly="0" labelOnly="1" grandRow="1" outline="0" axis="axisRow" fieldPosition="0">
        <references count="1">
          <reference field="4294967294" count="1" selected="0">
            <x v="7"/>
          </reference>
        </references>
      </pivotArea>
    </format>
    <format dxfId="2082">
      <pivotArea field="0" dataOnly="0" labelOnly="1" grandRow="1" outline="0" axis="axisRow" fieldPosition="0">
        <references count="1">
          <reference field="4294967294" count="1" selected="0">
            <x v="8"/>
          </reference>
        </references>
      </pivotArea>
    </format>
    <format dxfId="2081">
      <pivotArea field="0" dataOnly="0" labelOnly="1" grandRow="1" outline="0" axis="axisRow" fieldPosition="0">
        <references count="1">
          <reference field="4294967294" count="1" selected="0">
            <x v="9"/>
          </reference>
        </references>
      </pivotArea>
    </format>
    <format dxfId="2080">
      <pivotArea field="0" dataOnly="0" labelOnly="1" grandRow="1" outline="0" axis="axisRow" fieldPosition="0">
        <references count="1">
          <reference field="4294967294" count="1" selected="0">
            <x v="10"/>
          </reference>
        </references>
      </pivotArea>
    </format>
    <format dxfId="2079">
      <pivotArea field="0" dataOnly="0" labelOnly="1" grandRow="1" outline="0" axis="axisRow" fieldPosition="0">
        <references count="1">
          <reference field="4294967294" count="1" selected="0">
            <x v="11"/>
          </reference>
        </references>
      </pivotArea>
    </format>
    <format dxfId="2078">
      <pivotArea dataOnly="0" labelOnly="1" outline="0" fieldPosition="0">
        <references count="2">
          <reference field="4294967294" count="12">
            <x v="0"/>
            <x v="1"/>
            <x v="2"/>
            <x v="3"/>
            <x v="4"/>
            <x v="5"/>
            <x v="6"/>
            <x v="7"/>
            <x v="8"/>
            <x v="9"/>
            <x v="10"/>
            <x v="11"/>
          </reference>
          <reference field="0" count="1" selected="0">
            <x v="0"/>
          </reference>
        </references>
      </pivotArea>
    </format>
    <format dxfId="2077">
      <pivotArea dataOnly="0" labelOnly="1" outline="0" fieldPosition="0">
        <references count="2">
          <reference field="4294967294" count="12">
            <x v="0"/>
            <x v="1"/>
            <x v="2"/>
            <x v="3"/>
            <x v="4"/>
            <x v="5"/>
            <x v="6"/>
            <x v="7"/>
            <x v="8"/>
            <x v="9"/>
            <x v="10"/>
            <x v="11"/>
          </reference>
          <reference field="0" count="1" selected="0">
            <x v="1"/>
          </reference>
        </references>
      </pivotArea>
    </format>
    <format dxfId="2076">
      <pivotArea dataOnly="0" labelOnly="1" outline="0" fieldPosition="0">
        <references count="2">
          <reference field="4294967294" count="12">
            <x v="0"/>
            <x v="1"/>
            <x v="2"/>
            <x v="3"/>
            <x v="4"/>
            <x v="5"/>
            <x v="6"/>
            <x v="7"/>
            <x v="8"/>
            <x v="9"/>
            <x v="10"/>
            <x v="11"/>
          </reference>
          <reference field="0" count="1" selected="0">
            <x v="2"/>
          </reference>
        </references>
      </pivotArea>
    </format>
    <format dxfId="2075">
      <pivotArea dataOnly="0" labelOnly="1" outline="0" fieldPosition="0">
        <references count="2">
          <reference field="4294967294" count="12">
            <x v="0"/>
            <x v="1"/>
            <x v="2"/>
            <x v="3"/>
            <x v="4"/>
            <x v="5"/>
            <x v="6"/>
            <x v="7"/>
            <x v="8"/>
            <x v="9"/>
            <x v="10"/>
            <x v="11"/>
          </reference>
          <reference field="0" count="1" selected="0">
            <x v="3"/>
          </reference>
        </references>
      </pivotArea>
    </format>
    <format dxfId="2074">
      <pivotArea dataOnly="0" labelOnly="1" outline="0" fieldPosition="0">
        <references count="2">
          <reference field="4294967294" count="12">
            <x v="0"/>
            <x v="1"/>
            <x v="2"/>
            <x v="3"/>
            <x v="4"/>
            <x v="5"/>
            <x v="6"/>
            <x v="7"/>
            <x v="8"/>
            <x v="9"/>
            <x v="10"/>
            <x v="11"/>
          </reference>
          <reference field="0" count="1" selected="0">
            <x v="4"/>
          </reference>
        </references>
      </pivotArea>
    </format>
    <format dxfId="2073">
      <pivotArea dataOnly="0" labelOnly="1" outline="0" fieldPosition="0">
        <references count="2">
          <reference field="4294967294" count="12">
            <x v="0"/>
            <x v="1"/>
            <x v="2"/>
            <x v="3"/>
            <x v="4"/>
            <x v="5"/>
            <x v="6"/>
            <x v="7"/>
            <x v="8"/>
            <x v="9"/>
            <x v="10"/>
            <x v="11"/>
          </reference>
          <reference field="0" count="1" selected="0">
            <x v="5"/>
          </reference>
        </references>
      </pivotArea>
    </format>
    <format dxfId="2072">
      <pivotArea dataOnly="0" labelOnly="1" outline="0" fieldPosition="0">
        <references count="2">
          <reference field="4294967294" count="12">
            <x v="0"/>
            <x v="1"/>
            <x v="2"/>
            <x v="3"/>
            <x v="4"/>
            <x v="5"/>
            <x v="6"/>
            <x v="7"/>
            <x v="8"/>
            <x v="9"/>
            <x v="10"/>
            <x v="11"/>
          </reference>
          <reference field="0" count="1" selected="0">
            <x v="6"/>
          </reference>
        </references>
      </pivotArea>
    </format>
    <format dxfId="2071">
      <pivotArea dataOnly="0" labelOnly="1" outline="0" fieldPosition="0">
        <references count="2">
          <reference field="4294967294" count="12">
            <x v="0"/>
            <x v="1"/>
            <x v="2"/>
            <x v="3"/>
            <x v="4"/>
            <x v="5"/>
            <x v="6"/>
            <x v="7"/>
            <x v="8"/>
            <x v="9"/>
            <x v="10"/>
            <x v="11"/>
          </reference>
          <reference field="0" count="1" selected="0">
            <x v="7"/>
          </reference>
        </references>
      </pivotArea>
    </format>
    <format dxfId="2070">
      <pivotArea dataOnly="0" labelOnly="1" outline="0" fieldPosition="0">
        <references count="2">
          <reference field="4294967294" count="12">
            <x v="0"/>
            <x v="1"/>
            <x v="2"/>
            <x v="3"/>
            <x v="4"/>
            <x v="5"/>
            <x v="6"/>
            <x v="7"/>
            <x v="8"/>
            <x v="9"/>
            <x v="10"/>
            <x v="11"/>
          </reference>
          <reference field="0" count="1" selected="0">
            <x v="8"/>
          </reference>
        </references>
      </pivotArea>
    </format>
    <format dxfId="2069">
      <pivotArea dataOnly="0" labelOnly="1" outline="0" fieldPosition="0">
        <references count="2">
          <reference field="4294967294" count="12">
            <x v="0"/>
            <x v="1"/>
            <x v="2"/>
            <x v="3"/>
            <x v="4"/>
            <x v="5"/>
            <x v="6"/>
            <x v="7"/>
            <x v="8"/>
            <x v="9"/>
            <x v="10"/>
            <x v="11"/>
          </reference>
          <reference field="0" count="1" selected="0">
            <x v="9"/>
          </reference>
        </references>
      </pivotArea>
    </format>
    <format dxfId="2068">
      <pivotArea dataOnly="0" labelOnly="1" outline="0" fieldPosition="0">
        <references count="2">
          <reference field="4294967294" count="12">
            <x v="0"/>
            <x v="1"/>
            <x v="2"/>
            <x v="3"/>
            <x v="4"/>
            <x v="5"/>
            <x v="6"/>
            <x v="7"/>
            <x v="8"/>
            <x v="9"/>
            <x v="10"/>
            <x v="11"/>
          </reference>
          <reference field="0" count="1" selected="0">
            <x v="10"/>
          </reference>
        </references>
      </pivotArea>
    </format>
    <format dxfId="2067">
      <pivotArea dataOnly="0" labelOnly="1" outline="0" fieldPosition="0">
        <references count="2">
          <reference field="4294967294" count="12">
            <x v="0"/>
            <x v="1"/>
            <x v="2"/>
            <x v="3"/>
            <x v="4"/>
            <x v="5"/>
            <x v="6"/>
            <x v="7"/>
            <x v="8"/>
            <x v="9"/>
            <x v="10"/>
            <x v="11"/>
          </reference>
          <reference field="0" count="1" selected="0">
            <x v="11"/>
          </reference>
        </references>
      </pivotArea>
    </format>
    <format dxfId="2066">
      <pivotArea dataOnly="0" labelOnly="1" outline="0" fieldPosition="0">
        <references count="2">
          <reference field="4294967294" count="12">
            <x v="0"/>
            <x v="1"/>
            <x v="2"/>
            <x v="3"/>
            <x v="4"/>
            <x v="5"/>
            <x v="6"/>
            <x v="7"/>
            <x v="8"/>
            <x v="9"/>
            <x v="10"/>
            <x v="11"/>
          </reference>
          <reference field="0" count="1" selected="0">
            <x v="12"/>
          </reference>
        </references>
      </pivotArea>
    </format>
    <format dxfId="2065">
      <pivotArea dataOnly="0" labelOnly="1" outline="0" fieldPosition="0">
        <references count="2">
          <reference field="4294967294" count="12">
            <x v="0"/>
            <x v="1"/>
            <x v="2"/>
            <x v="3"/>
            <x v="4"/>
            <x v="5"/>
            <x v="6"/>
            <x v="7"/>
            <x v="8"/>
            <x v="9"/>
            <x v="10"/>
            <x v="11"/>
          </reference>
          <reference field="0" count="1" selected="0">
            <x v="13"/>
          </reference>
        </references>
      </pivotArea>
    </format>
    <format dxfId="2064">
      <pivotArea dataOnly="0" labelOnly="1" outline="0" fieldPosition="0">
        <references count="2">
          <reference field="4294967294" count="12">
            <x v="0"/>
            <x v="1"/>
            <x v="2"/>
            <x v="3"/>
            <x v="4"/>
            <x v="5"/>
            <x v="6"/>
            <x v="7"/>
            <x v="8"/>
            <x v="9"/>
            <x v="10"/>
            <x v="11"/>
          </reference>
          <reference field="0" count="1" selected="0">
            <x v="14"/>
          </reference>
        </references>
      </pivotArea>
    </format>
    <format dxfId="2063">
      <pivotArea dataOnly="0" labelOnly="1" outline="0" fieldPosition="0">
        <references count="2">
          <reference field="4294967294" count="12">
            <x v="0"/>
            <x v="1"/>
            <x v="2"/>
            <x v="3"/>
            <x v="4"/>
            <x v="5"/>
            <x v="6"/>
            <x v="7"/>
            <x v="8"/>
            <x v="9"/>
            <x v="10"/>
            <x v="11"/>
          </reference>
          <reference field="0" count="1" selected="0">
            <x v="15"/>
          </reference>
        </references>
      </pivotArea>
    </format>
    <format dxfId="2062">
      <pivotArea dataOnly="0" labelOnly="1" outline="0" fieldPosition="0">
        <references count="1">
          <reference field="60" count="4">
            <x v="0"/>
            <x v="1"/>
            <x v="2"/>
            <x v="3"/>
          </reference>
        </references>
      </pivotArea>
    </format>
    <format dxfId="2061">
      <pivotArea dataOnly="0" labelOnly="1" outline="0" fieldPosition="0">
        <references count="1">
          <reference field="60" count="4" defaultSubtotal="1">
            <x v="0"/>
            <x v="1"/>
            <x v="2"/>
            <x v="3"/>
          </reference>
        </references>
      </pivotArea>
    </format>
    <format dxfId="2060">
      <pivotArea dataOnly="0" labelOnly="1" outline="0" fieldPosition="0">
        <references count="2">
          <reference field="4" count="6">
            <x v="0"/>
            <x v="1"/>
            <x v="2"/>
            <x v="3"/>
            <x v="4"/>
            <x v="5"/>
          </reference>
          <reference field="60" count="1" selected="0">
            <x v="0"/>
          </reference>
        </references>
      </pivotArea>
    </format>
    <format dxfId="2059">
      <pivotArea dataOnly="0" labelOnly="1" outline="0" fieldPosition="0">
        <references count="2">
          <reference field="4" count="4">
            <x v="6"/>
            <x v="7"/>
            <x v="8"/>
            <x v="9"/>
          </reference>
          <reference field="60" count="1" selected="0">
            <x v="1"/>
          </reference>
        </references>
      </pivotArea>
    </format>
    <format dxfId="2058">
      <pivotArea dataOnly="0" labelOnly="1" outline="0" fieldPosition="0">
        <references count="2">
          <reference field="4" count="1">
            <x v="10"/>
          </reference>
          <reference field="60" count="1" selected="0">
            <x v="2"/>
          </reference>
        </references>
      </pivotArea>
    </format>
    <format dxfId="2057">
      <pivotArea dataOnly="0" labelOnly="1" outline="0" fieldPosition="0">
        <references count="2">
          <reference field="4" count="2">
            <x v="11"/>
            <x v="12"/>
          </reference>
          <reference field="60" count="1" selected="0">
            <x v="3"/>
          </reference>
        </references>
      </pivotArea>
    </format>
    <format dxfId="2056">
      <pivotArea outline="0" collapsedLevelsAreSubtotals="1" fieldPosition="0">
        <references count="4">
          <reference field="4294967294" count="1" selected="0">
            <x v="8"/>
          </reference>
          <reference field="0" count="1" selected="0">
            <x v="0"/>
          </reference>
          <reference field="4" count="1" selected="0">
            <x v="4"/>
          </reference>
          <reference field="60" count="1" selected="0">
            <x v="0"/>
          </reference>
        </references>
      </pivotArea>
    </format>
    <format dxfId="2055">
      <pivotArea outline="0" collapsedLevelsAreSubtotals="1" fieldPosition="0">
        <references count="4">
          <reference field="4294967294" count="1" selected="0">
            <x v="2"/>
          </reference>
          <reference field="0" count="1" selected="0">
            <x v="0"/>
          </reference>
          <reference field="4" count="1" selected="0">
            <x v="5"/>
          </reference>
          <reference field="60" count="1" selected="0">
            <x v="0"/>
          </reference>
        </references>
      </pivotArea>
    </format>
    <format dxfId="2054">
      <pivotArea outline="0" collapsedLevelsAreSubtotals="1" fieldPosition="0">
        <references count="4">
          <reference field="4294967294" count="1" selected="0">
            <x v="8"/>
          </reference>
          <reference field="0" count="1" selected="0">
            <x v="1"/>
          </reference>
          <reference field="4" count="1" selected="0">
            <x v="4"/>
          </reference>
          <reference field="60" count="1" selected="0">
            <x v="0"/>
          </reference>
        </references>
      </pivotArea>
    </format>
    <format dxfId="2053">
      <pivotArea outline="0" collapsedLevelsAreSubtotals="1" fieldPosition="0">
        <references count="4">
          <reference field="4294967294" count="1" selected="0">
            <x v="11"/>
          </reference>
          <reference field="0" count="1" selected="0">
            <x v="1"/>
          </reference>
          <reference field="4" count="1" selected="0">
            <x v="7"/>
          </reference>
          <reference field="60" count="1" selected="0">
            <x v="1"/>
          </reference>
        </references>
      </pivotArea>
    </format>
    <format dxfId="2052">
      <pivotArea outline="0" collapsedLevelsAreSubtotals="1" fieldPosition="0">
        <references count="4">
          <reference field="4294967294" count="1" selected="0">
            <x v="11"/>
          </reference>
          <reference field="0" count="1" selected="0">
            <x v="1"/>
          </reference>
          <reference field="4" count="1" selected="0">
            <x v="7"/>
          </reference>
          <reference field="60" count="1" selected="0">
            <x v="1"/>
          </reference>
        </references>
      </pivotArea>
    </format>
    <format dxfId="2051">
      <pivotArea outline="0" collapsedLevelsAreSubtotals="1" fieldPosition="0">
        <references count="4">
          <reference field="4294967294" count="1" selected="0">
            <x v="2"/>
          </reference>
          <reference field="0" count="1" selected="0">
            <x v="1"/>
          </reference>
          <reference field="4" count="1" selected="0">
            <x v="7"/>
          </reference>
          <reference field="60" count="1" selected="0">
            <x v="1"/>
          </reference>
        </references>
      </pivotArea>
    </format>
    <format dxfId="2050">
      <pivotArea outline="0" collapsedLevelsAreSubtotals="1" fieldPosition="0">
        <references count="4">
          <reference field="4294967294" count="1" selected="0">
            <x v="2"/>
          </reference>
          <reference field="0" count="1" selected="0">
            <x v="2"/>
          </reference>
          <reference field="4" count="1" selected="0">
            <x v="2"/>
          </reference>
          <reference field="60" count="1" selected="0">
            <x v="0"/>
          </reference>
        </references>
      </pivotArea>
    </format>
    <format dxfId="2049">
      <pivotArea outline="0" collapsedLevelsAreSubtotals="1" fieldPosition="0">
        <references count="4">
          <reference field="4294967294" count="1" selected="0">
            <x v="8"/>
          </reference>
          <reference field="0" count="1" selected="0">
            <x v="3"/>
          </reference>
          <reference field="4" count="1" selected="0">
            <x v="0"/>
          </reference>
          <reference field="60" count="1" selected="0">
            <x v="0"/>
          </reference>
        </references>
      </pivotArea>
    </format>
    <format dxfId="2048">
      <pivotArea outline="0" collapsedLevelsAreSubtotals="1" fieldPosition="0">
        <references count="4">
          <reference field="4294967294" count="1" selected="0">
            <x v="5"/>
          </reference>
          <reference field="0" count="1" selected="0">
            <x v="3"/>
          </reference>
          <reference field="4" count="1" selected="0">
            <x v="9"/>
          </reference>
          <reference field="60" count="1" selected="0">
            <x v="1"/>
          </reference>
        </references>
      </pivotArea>
    </format>
    <format dxfId="2047">
      <pivotArea outline="0" collapsedLevelsAreSubtotals="1" fieldPosition="0">
        <references count="4">
          <reference field="4294967294" count="1" selected="0">
            <x v="8"/>
          </reference>
          <reference field="0" count="1" selected="0">
            <x v="4"/>
          </reference>
          <reference field="4" count="1" selected="0">
            <x v="3"/>
          </reference>
          <reference field="60" count="1" selected="0">
            <x v="0"/>
          </reference>
        </references>
      </pivotArea>
    </format>
    <format dxfId="2046">
      <pivotArea outline="0" collapsedLevelsAreSubtotals="1" fieldPosition="0">
        <references count="4">
          <reference field="4294967294" count="1" selected="0">
            <x v="2"/>
          </reference>
          <reference field="0" count="1" selected="0">
            <x v="5"/>
          </reference>
          <reference field="4" count="1" selected="0">
            <x v="3"/>
          </reference>
          <reference field="60" count="1" selected="0">
            <x v="0"/>
          </reference>
        </references>
      </pivotArea>
    </format>
    <format dxfId="2045">
      <pivotArea outline="0" collapsedLevelsAreSubtotals="1" fieldPosition="0">
        <references count="4">
          <reference field="4294967294" count="1" selected="0">
            <x v="8"/>
          </reference>
          <reference field="0" count="1" selected="0">
            <x v="5"/>
          </reference>
          <reference field="4" count="1" selected="0">
            <x v="3"/>
          </reference>
          <reference field="60" count="1" selected="0">
            <x v="0"/>
          </reference>
        </references>
      </pivotArea>
    </format>
    <format dxfId="2044">
      <pivotArea outline="0" collapsedLevelsAreSubtotals="1" fieldPosition="0">
        <references count="4">
          <reference field="4294967294" count="1" selected="0">
            <x v="2"/>
          </reference>
          <reference field="0" count="1" selected="0">
            <x v="5"/>
          </reference>
          <reference field="4" count="1" selected="0">
            <x v="9"/>
          </reference>
          <reference field="60" count="1" selected="0">
            <x v="1"/>
          </reference>
        </references>
      </pivotArea>
    </format>
    <format dxfId="2043">
      <pivotArea outline="0" collapsedLevelsAreSubtotals="1" fieldPosition="0">
        <references count="4">
          <reference field="4294967294" count="1" selected="0">
            <x v="2"/>
          </reference>
          <reference field="0" count="1" selected="0">
            <x v="6"/>
          </reference>
          <reference field="4" count="1" selected="0">
            <x v="5"/>
          </reference>
          <reference field="60" count="1" selected="0">
            <x v="0"/>
          </reference>
        </references>
      </pivotArea>
    </format>
    <format dxfId="2042">
      <pivotArea outline="0" collapsedLevelsAreSubtotals="1" fieldPosition="0">
        <references count="4">
          <reference field="4294967294" count="1" selected="0">
            <x v="2"/>
          </reference>
          <reference field="0" count="1" selected="0">
            <x v="6"/>
          </reference>
          <reference field="4" count="1" selected="0">
            <x v="9"/>
          </reference>
          <reference field="60" count="1" selected="0">
            <x v="1"/>
          </reference>
        </references>
      </pivotArea>
    </format>
    <format dxfId="2041">
      <pivotArea outline="0" collapsedLevelsAreSubtotals="1" fieldPosition="0">
        <references count="4">
          <reference field="4294967294" count="1" selected="0">
            <x v="2"/>
          </reference>
          <reference field="0" count="1" selected="0">
            <x v="7"/>
          </reference>
          <reference field="4" count="1" selected="0">
            <x v="4"/>
          </reference>
          <reference field="60" count="1" selected="0">
            <x v="0"/>
          </reference>
        </references>
      </pivotArea>
    </format>
    <format dxfId="2040">
      <pivotArea outline="0" collapsedLevelsAreSubtotals="1" fieldPosition="0">
        <references count="4">
          <reference field="4294967294" count="1" selected="0">
            <x v="2"/>
          </reference>
          <reference field="0" count="1" selected="0">
            <x v="8"/>
          </reference>
          <reference field="4" count="1" selected="0">
            <x v="1"/>
          </reference>
          <reference field="60" count="1" selected="0">
            <x v="0"/>
          </reference>
        </references>
      </pivotArea>
    </format>
    <format dxfId="2039">
      <pivotArea outline="0" collapsedLevelsAreSubtotals="1" fieldPosition="0">
        <references count="4">
          <reference field="4294967294" count="1" selected="0">
            <x v="8"/>
          </reference>
          <reference field="0" count="1" selected="0">
            <x v="8"/>
          </reference>
          <reference field="4" count="1" selected="0">
            <x v="3"/>
          </reference>
          <reference field="60" count="1" selected="0">
            <x v="0"/>
          </reference>
        </references>
      </pivotArea>
    </format>
    <format dxfId="2038">
      <pivotArea outline="0" collapsedLevelsAreSubtotals="1" fieldPosition="0">
        <references count="4">
          <reference field="4294967294" count="1" selected="0">
            <x v="2"/>
          </reference>
          <reference field="0" count="1" selected="0">
            <x v="9"/>
          </reference>
          <reference field="4" count="1" selected="0">
            <x v="5"/>
          </reference>
          <reference field="60" count="1" selected="0">
            <x v="0"/>
          </reference>
        </references>
      </pivotArea>
    </format>
    <format dxfId="2037">
      <pivotArea outline="0" collapsedLevelsAreSubtotals="1" fieldPosition="0">
        <references count="4">
          <reference field="4294967294" count="1" selected="0">
            <x v="2"/>
          </reference>
          <reference field="0" count="1" selected="0">
            <x v="10"/>
          </reference>
          <reference field="4" count="1" selected="0">
            <x v="5"/>
          </reference>
          <reference field="60" count="1" selected="0">
            <x v="0"/>
          </reference>
        </references>
      </pivotArea>
    </format>
    <format dxfId="2036">
      <pivotArea outline="0" collapsedLevelsAreSubtotals="1" fieldPosition="0">
        <references count="4">
          <reference field="4294967294" count="1" selected="0">
            <x v="8"/>
          </reference>
          <reference field="0" count="1" selected="0">
            <x v="10"/>
          </reference>
          <reference field="4" count="1" selected="0">
            <x v="0"/>
          </reference>
          <reference field="60" count="1" selected="0">
            <x v="0"/>
          </reference>
        </references>
      </pivotArea>
    </format>
    <format dxfId="2035">
      <pivotArea outline="0" collapsedLevelsAreSubtotals="1" fieldPosition="0">
        <references count="4">
          <reference field="4294967294" count="1" selected="0">
            <x v="8"/>
          </reference>
          <reference field="0" count="1" selected="0">
            <x v="10"/>
          </reference>
          <reference field="4" count="1" selected="0">
            <x v="2"/>
          </reference>
          <reference field="60" count="1" selected="0">
            <x v="0"/>
          </reference>
        </references>
      </pivotArea>
    </format>
    <format dxfId="2034">
      <pivotArea outline="0" collapsedLevelsAreSubtotals="1" fieldPosition="0">
        <references count="4">
          <reference field="4294967294" count="1" selected="0">
            <x v="8"/>
          </reference>
          <reference field="0" count="1" selected="0">
            <x v="10"/>
          </reference>
          <reference field="4" count="1" selected="0">
            <x v="4"/>
          </reference>
          <reference field="60" count="1" selected="0">
            <x v="0"/>
          </reference>
        </references>
      </pivotArea>
    </format>
    <format dxfId="2033">
      <pivotArea outline="0" collapsedLevelsAreSubtotals="1" fieldPosition="0">
        <references count="4">
          <reference field="4294967294" count="1" selected="0">
            <x v="11"/>
          </reference>
          <reference field="0" count="1" selected="0">
            <x v="10"/>
          </reference>
          <reference field="4" count="1" selected="0">
            <x v="0"/>
          </reference>
          <reference field="60" count="1" selected="0">
            <x v="0"/>
          </reference>
        </references>
      </pivotArea>
    </format>
    <format dxfId="2032">
      <pivotArea outline="0" collapsedLevelsAreSubtotals="1" fieldPosition="0">
        <references count="4">
          <reference field="4294967294" count="1" selected="0">
            <x v="2"/>
          </reference>
          <reference field="0" count="1" selected="0">
            <x v="10"/>
          </reference>
          <reference field="4" count="1" selected="0">
            <x v="5"/>
          </reference>
          <reference field="60" count="1" selected="0">
            <x v="0"/>
          </reference>
        </references>
      </pivotArea>
    </format>
    <format dxfId="2031">
      <pivotArea outline="0" collapsedLevelsAreSubtotals="1" fieldPosition="0">
        <references count="4">
          <reference field="4294967294" count="1" selected="0">
            <x v="2"/>
          </reference>
          <reference field="0" count="1" selected="0">
            <x v="10"/>
          </reference>
          <reference field="4" count="1" selected="0">
            <x v="6"/>
          </reference>
          <reference field="60" count="1" selected="0">
            <x v="1"/>
          </reference>
        </references>
      </pivotArea>
    </format>
    <format dxfId="2030">
      <pivotArea outline="0" collapsedLevelsAreSubtotals="1" fieldPosition="0">
        <references count="4">
          <reference field="4294967294" count="1" selected="0">
            <x v="8"/>
          </reference>
          <reference field="0" count="1" selected="0">
            <x v="11"/>
          </reference>
          <reference field="4" count="1" selected="0">
            <x v="5"/>
          </reference>
          <reference field="60" count="1" selected="0">
            <x v="0"/>
          </reference>
        </references>
      </pivotArea>
    </format>
    <format dxfId="2029">
      <pivotArea outline="0" collapsedLevelsAreSubtotals="1" fieldPosition="0">
        <references count="4">
          <reference field="4294967294" count="1" selected="0">
            <x v="8"/>
          </reference>
          <reference field="0" count="1" selected="0">
            <x v="12"/>
          </reference>
          <reference field="4" count="1" selected="0">
            <x v="4"/>
          </reference>
          <reference field="60" count="1" selected="0">
            <x v="0"/>
          </reference>
        </references>
      </pivotArea>
    </format>
    <format dxfId="2028">
      <pivotArea outline="0" collapsedLevelsAreSubtotals="1" fieldPosition="0">
        <references count="4">
          <reference field="4294967294" count="1" selected="0">
            <x v="8"/>
          </reference>
          <reference field="0" count="1" selected="0">
            <x v="13"/>
          </reference>
          <reference field="4" count="1" selected="0">
            <x v="5"/>
          </reference>
          <reference field="60" count="1" selected="0">
            <x v="0"/>
          </reference>
        </references>
      </pivotArea>
    </format>
    <format dxfId="2027">
      <pivotArea outline="0" collapsedLevelsAreSubtotals="1" fieldPosition="0">
        <references count="4">
          <reference field="4294967294" count="1" selected="0">
            <x v="8"/>
          </reference>
          <reference field="0" count="1" selected="0">
            <x v="14"/>
          </reference>
          <reference field="4" count="1" selected="0">
            <x v="4"/>
          </reference>
          <reference field="60" count="1" selected="0">
            <x v="0"/>
          </reference>
        </references>
      </pivotArea>
    </format>
    <format dxfId="2026">
      <pivotArea outline="0" collapsedLevelsAreSubtotals="1" fieldPosition="0">
        <references count="4">
          <reference field="4294967294" count="1" selected="0">
            <x v="11"/>
          </reference>
          <reference field="0" count="1" selected="0">
            <x v="14"/>
          </reference>
          <reference field="4" count="1" selected="0">
            <x v="9"/>
          </reference>
          <reference field="60" count="1" selected="0">
            <x v="1"/>
          </reference>
        </references>
      </pivotArea>
    </format>
    <format dxfId="2025">
      <pivotArea outline="0" collapsedLevelsAreSubtotals="1" fieldPosition="0">
        <references count="4">
          <reference field="4294967294" count="1" selected="0">
            <x v="11"/>
          </reference>
          <reference field="0" count="1" selected="0">
            <x v="15"/>
          </reference>
          <reference field="4" count="1" selected="0">
            <x v="6"/>
          </reference>
          <reference field="60" count="1" selected="0">
            <x v="1"/>
          </reference>
        </references>
      </pivotArea>
    </format>
    <format dxfId="2024">
      <pivotArea outline="0" collapsedLevelsAreSubtotals="1" fieldPosition="0">
        <references count="4">
          <reference field="4294967294" count="1" selected="0">
            <x v="11"/>
          </reference>
          <reference field="0" count="1" selected="0">
            <x v="15"/>
          </reference>
          <reference field="4" count="1" selected="0">
            <x v="8"/>
          </reference>
          <reference field="60" count="1" selected="0">
            <x v="1"/>
          </reference>
        </references>
      </pivotArea>
    </format>
    <format dxfId="2023">
      <pivotArea outline="0" collapsedLevelsAreSubtotals="1" fieldPosition="0">
        <references count="4">
          <reference field="4294967294" count="1" selected="0">
            <x v="2"/>
          </reference>
          <reference field="0" count="1" selected="0">
            <x v="15"/>
          </reference>
          <reference field="4" count="1" selected="0">
            <x v="6"/>
          </reference>
          <reference field="60" count="1" selected="0">
            <x v="1"/>
          </reference>
        </references>
      </pivotArea>
    </format>
    <format dxfId="2022">
      <pivotArea outline="0" collapsedLevelsAreSubtotals="1" fieldPosition="0">
        <references count="4">
          <reference field="4294967294" count="1" selected="0">
            <x v="2"/>
          </reference>
          <reference field="0" count="1" selected="0">
            <x v="15"/>
          </reference>
          <reference field="4" count="1" selected="0">
            <x v="8"/>
          </reference>
          <reference field="60" count="1" selected="0">
            <x v="1"/>
          </reference>
        </references>
      </pivotArea>
    </format>
    <format dxfId="2021">
      <pivotArea outline="0" collapsedLevelsAreSubtotals="1" fieldPosition="0">
        <references count="4">
          <reference field="4294967294" count="1" selected="0">
            <x v="11"/>
          </reference>
          <reference field="0" count="1" selected="0">
            <x v="15"/>
          </reference>
          <reference field="4" count="1" selected="0">
            <x v="8"/>
          </reference>
          <reference field="60" count="1" selected="0">
            <x v="1"/>
          </reference>
        </references>
      </pivotArea>
    </format>
    <format dxfId="2020">
      <pivotArea outline="0" collapsedLevelsAreSubtotals="1" fieldPosition="0">
        <references count="4">
          <reference field="4294967294" count="1" selected="0">
            <x v="11"/>
          </reference>
          <reference field="0" count="1" selected="0">
            <x v="15"/>
          </reference>
          <reference field="4" count="1" selected="0">
            <x v="6"/>
          </reference>
          <reference field="60" count="1" selected="0">
            <x v="1"/>
          </reference>
        </references>
      </pivotArea>
    </format>
    <format dxfId="2019">
      <pivotArea outline="0" collapsedLevelsAreSubtotals="1" fieldPosition="0">
        <references count="4">
          <reference field="4294967294" count="1" selected="0">
            <x v="8"/>
          </reference>
          <reference field="0" count="1" selected="0">
            <x v="6"/>
          </reference>
          <reference field="4" count="1" selected="0">
            <x v="0"/>
          </reference>
          <reference field="60" count="1" selected="0">
            <x v="0"/>
          </reference>
        </references>
      </pivotArea>
    </format>
    <format dxfId="2018">
      <pivotArea outline="0" collapsedLevelsAreSubtotals="1" fieldPosition="0">
        <references count="4">
          <reference field="4294967294" count="1" selected="0">
            <x v="2"/>
          </reference>
          <reference field="0" count="1" selected="0">
            <x v="9"/>
          </reference>
          <reference field="4" count="1" selected="0">
            <x v="9"/>
          </reference>
          <reference field="60" count="1" selected="0">
            <x v="1"/>
          </reference>
        </references>
      </pivotArea>
    </format>
    <format dxfId="2017">
      <pivotArea outline="0" collapsedLevelsAreSubtotals="1" fieldPosition="0">
        <references count="4">
          <reference field="4294967294" count="1" selected="0">
            <x v="5"/>
          </reference>
          <reference field="0" count="1" selected="0">
            <x v="9"/>
          </reference>
          <reference field="4" count="1" selected="0">
            <x v="9"/>
          </reference>
          <reference field="60" count="1" selected="0">
            <x v="1"/>
          </reference>
        </references>
      </pivotArea>
    </format>
    <format dxfId="2016">
      <pivotArea outline="0" collapsedLevelsAreSubtotals="1" fieldPosition="0">
        <references count="4">
          <reference field="4294967294" count="1" selected="0">
            <x v="5"/>
          </reference>
          <reference field="0" count="1" selected="0">
            <x v="9"/>
          </reference>
          <reference field="4" count="1" selected="0">
            <x v="8"/>
          </reference>
          <reference field="60" count="1" selected="0">
            <x v="1"/>
          </reference>
        </references>
      </pivotArea>
    </format>
    <format dxfId="2015">
      <pivotArea outline="0" collapsedLevelsAreSubtotals="1" fieldPosition="0">
        <references count="4">
          <reference field="4294967294" count="1" selected="0">
            <x v="8"/>
          </reference>
          <reference field="0" count="1" selected="0">
            <x v="9"/>
          </reference>
          <reference field="4" count="1" selected="0">
            <x v="5"/>
          </reference>
          <reference field="60" count="1" selected="0">
            <x v="0"/>
          </reference>
        </references>
      </pivotArea>
    </format>
    <format dxfId="2014">
      <pivotArea outline="0" collapsedLevelsAreSubtotals="1" fieldPosition="0">
        <references count="4">
          <reference field="4294967294" count="1" selected="0">
            <x v="5"/>
          </reference>
          <reference field="0" count="1" selected="0">
            <x v="9"/>
          </reference>
          <reference field="4" count="1" selected="0">
            <x v="7"/>
          </reference>
          <reference field="60" count="1" selected="0">
            <x v="1"/>
          </reference>
        </references>
      </pivotArea>
    </format>
    <format dxfId="2013">
      <pivotArea outline="0" collapsedLevelsAreSubtotals="1" fieldPosition="0">
        <references count="4">
          <reference field="4294967294" count="1" selected="0">
            <x v="8"/>
          </reference>
          <reference field="0" count="1" selected="0">
            <x v="4"/>
          </reference>
          <reference field="4" count="1" selected="0">
            <x v="3"/>
          </reference>
          <reference field="60" count="1" selected="0">
            <x v="0"/>
          </reference>
        </references>
      </pivotArea>
    </format>
    <format dxfId="2012">
      <pivotArea outline="0" collapsedLevelsAreSubtotals="1" fieldPosition="0">
        <references count="4">
          <reference field="4294967294" count="1" selected="0">
            <x v="8"/>
          </reference>
          <reference field="0" count="1" selected="0">
            <x v="6"/>
          </reference>
          <reference field="4" count="1" selected="0">
            <x v="0"/>
          </reference>
          <reference field="60" count="1" selected="0">
            <x v="0"/>
          </reference>
        </references>
      </pivotArea>
    </format>
    <format dxfId="2011">
      <pivotArea outline="0" collapsedLevelsAreSubtotals="1" fieldPosition="0">
        <references count="4">
          <reference field="4294967294" count="1" selected="0">
            <x v="2"/>
          </reference>
          <reference field="0" count="1" selected="0">
            <x v="2"/>
          </reference>
          <reference field="4" count="1" selected="0">
            <x v="2"/>
          </reference>
          <reference field="60" count="1" selected="0">
            <x v="0"/>
          </reference>
        </references>
      </pivotArea>
    </format>
    <format dxfId="2010">
      <pivotArea outline="0" collapsedLevelsAreSubtotals="1" fieldPosition="0">
        <references count="3">
          <reference field="4294967294" count="12" selected="0">
            <x v="0"/>
            <x v="1"/>
            <x v="2"/>
            <x v="3"/>
            <x v="4"/>
            <x v="5"/>
            <x v="6"/>
            <x v="7"/>
            <x v="8"/>
            <x v="9"/>
            <x v="10"/>
            <x v="11"/>
          </reference>
          <reference field="0" count="0" selected="0"/>
          <reference field="60" count="4" selected="0" defaultSubtotal="1">
            <x v="0"/>
            <x v="1"/>
            <x v="2"/>
            <x v="3"/>
          </reference>
        </references>
      </pivotArea>
    </format>
    <format dxfId="2009">
      <pivotArea dataOnly="0" labelOnly="1" outline="0" offset="IV256" fieldPosition="0">
        <references count="1">
          <reference field="60" count="1" defaultSubtotal="1">
            <x v="0"/>
          </reference>
        </references>
      </pivotArea>
    </format>
    <format dxfId="2008">
      <pivotArea dataOnly="0" labelOnly="1" outline="0" offset="IV256" fieldPosition="0">
        <references count="1">
          <reference field="60" count="1" defaultSubtotal="1">
            <x v="1"/>
          </reference>
        </references>
      </pivotArea>
    </format>
    <format dxfId="2007">
      <pivotArea dataOnly="0" labelOnly="1" outline="0" offset="IV256" fieldPosition="0">
        <references count="1">
          <reference field="60" count="1" defaultSubtotal="1">
            <x v="2"/>
          </reference>
        </references>
      </pivotArea>
    </format>
    <format dxfId="2006">
      <pivotArea dataOnly="0" labelOnly="1" outline="0" offset="IV256" fieldPosition="0">
        <references count="1">
          <reference field="60" count="1" defaultSubtotal="1">
            <x v="3"/>
          </reference>
        </references>
      </pivotArea>
    </format>
    <format dxfId="2005">
      <pivotArea dataOnly="0" labelOnly="1" outline="0" fieldPosition="0">
        <references count="2">
          <reference field="4" count="6">
            <x v="0"/>
            <x v="1"/>
            <x v="2"/>
            <x v="3"/>
            <x v="4"/>
            <x v="5"/>
          </reference>
          <reference field="60" count="1" selected="0">
            <x v="0"/>
          </reference>
        </references>
      </pivotArea>
    </format>
    <format dxfId="2004">
      <pivotArea dataOnly="0" labelOnly="1" outline="0" fieldPosition="0">
        <references count="2">
          <reference field="4" count="4">
            <x v="6"/>
            <x v="7"/>
            <x v="8"/>
            <x v="9"/>
          </reference>
          <reference field="60" count="1" selected="0">
            <x v="1"/>
          </reference>
        </references>
      </pivotArea>
    </format>
    <format dxfId="2003">
      <pivotArea dataOnly="0" labelOnly="1" outline="0" fieldPosition="0">
        <references count="2">
          <reference field="4" count="1">
            <x v="10"/>
          </reference>
          <reference field="60" count="1" selected="0">
            <x v="2"/>
          </reference>
        </references>
      </pivotArea>
    </format>
    <format dxfId="2002">
      <pivotArea dataOnly="0" labelOnly="1" outline="0" fieldPosition="0">
        <references count="2">
          <reference field="4" count="2">
            <x v="11"/>
            <x v="12"/>
          </reference>
          <reference field="60" count="1" selected="0">
            <x v="3"/>
          </reference>
        </references>
      </pivotArea>
    </format>
    <format dxfId="2001">
      <pivotArea outline="0" collapsedLevelsAreSubtotals="1" fieldPosition="0">
        <references count="4">
          <reference field="4294967294" count="1" selected="0">
            <x v="8"/>
          </reference>
          <reference field="0" count="1" selected="0">
            <x v="1"/>
          </reference>
          <reference field="4" count="1" selected="0">
            <x v="3"/>
          </reference>
          <reference field="60" count="1" selected="0">
            <x v="0"/>
          </reference>
        </references>
      </pivotArea>
    </format>
    <format dxfId="2000">
      <pivotArea outline="0" collapsedLevelsAreSubtotals="1" fieldPosition="0">
        <references count="4">
          <reference field="4294967294" count="1" selected="0">
            <x v="8"/>
          </reference>
          <reference field="0" count="1" selected="0">
            <x v="1"/>
          </reference>
          <reference field="4" count="1" selected="0">
            <x v="5"/>
          </reference>
          <reference field="60" count="1" selected="0">
            <x v="0"/>
          </reference>
        </references>
      </pivotArea>
    </format>
    <format dxfId="1999">
      <pivotArea outline="0" collapsedLevelsAreSubtotals="1" fieldPosition="0">
        <references count="4">
          <reference field="4294967294" count="1" selected="0">
            <x v="11"/>
          </reference>
          <reference field="0" count="1" selected="0">
            <x v="1"/>
          </reference>
          <reference field="4" count="1" selected="0">
            <x v="7"/>
          </reference>
          <reference field="60" count="1" selected="0">
            <x v="1"/>
          </reference>
        </references>
      </pivotArea>
    </format>
    <format dxfId="1998">
      <pivotArea outline="0" collapsedLevelsAreSubtotals="1" fieldPosition="0">
        <references count="4">
          <reference field="4294967294" count="1" selected="0">
            <x v="2"/>
          </reference>
          <reference field="0" count="1" selected="0">
            <x v="1"/>
          </reference>
          <reference field="4" count="1" selected="0">
            <x v="7"/>
          </reference>
          <reference field="60" count="1" selected="0">
            <x v="1"/>
          </reference>
        </references>
      </pivotArea>
    </format>
    <format dxfId="1997">
      <pivotArea outline="0" collapsedLevelsAreSubtotals="1" fieldPosition="0">
        <references count="4">
          <reference field="4294967294" count="1" selected="0">
            <x v="8"/>
          </reference>
          <reference field="0" count="1" selected="0">
            <x v="2"/>
          </reference>
          <reference field="4" count="1" selected="0">
            <x v="0"/>
          </reference>
          <reference field="60" count="1" selected="0">
            <x v="0"/>
          </reference>
        </references>
      </pivotArea>
    </format>
    <format dxfId="1996">
      <pivotArea outline="0" collapsedLevelsAreSubtotals="1" fieldPosition="0">
        <references count="3">
          <reference field="4294967294" count="1" selected="0">
            <x v="8"/>
          </reference>
          <reference field="0" count="1" selected="0">
            <x v="2"/>
          </reference>
          <reference field="60" count="1" selected="0" defaultSubtotal="1">
            <x v="0"/>
          </reference>
        </references>
      </pivotArea>
    </format>
    <format dxfId="1995">
      <pivotArea outline="0" collapsedLevelsAreSubtotals="1" fieldPosition="0">
        <references count="4">
          <reference field="4294967294" count="1" selected="0">
            <x v="2"/>
          </reference>
          <reference field="0" count="1" selected="0">
            <x v="2"/>
          </reference>
          <reference field="4" count="1" selected="0">
            <x v="8"/>
          </reference>
          <reference field="60" count="1" selected="0">
            <x v="1"/>
          </reference>
        </references>
      </pivotArea>
    </format>
    <format dxfId="1994">
      <pivotArea outline="0" collapsedLevelsAreSubtotals="1" fieldPosition="0">
        <references count="4">
          <reference field="4294967294" count="1" selected="0">
            <x v="11"/>
          </reference>
          <reference field="0" count="1" selected="0">
            <x v="2"/>
          </reference>
          <reference field="4" count="1" selected="0">
            <x v="8"/>
          </reference>
          <reference field="60" count="1" selected="0">
            <x v="1"/>
          </reference>
        </references>
      </pivotArea>
    </format>
    <format dxfId="1993">
      <pivotArea outline="0" collapsedLevelsAreSubtotals="1" fieldPosition="0">
        <references count="3">
          <reference field="4294967294" count="1" selected="0">
            <x v="2"/>
          </reference>
          <reference field="0" count="1" selected="0">
            <x v="2"/>
          </reference>
          <reference field="60" count="1" selected="0" defaultSubtotal="1">
            <x v="1"/>
          </reference>
        </references>
      </pivotArea>
    </format>
    <format dxfId="1992">
      <pivotArea outline="0" collapsedLevelsAreSubtotals="1" fieldPosition="0">
        <references count="3">
          <reference field="4294967294" count="1" selected="0">
            <x v="11"/>
          </reference>
          <reference field="0" count="1" selected="0">
            <x v="2"/>
          </reference>
          <reference field="60" count="1" selected="0" defaultSubtotal="1">
            <x v="1"/>
          </reference>
        </references>
      </pivotArea>
    </format>
    <format dxfId="1991">
      <pivotArea outline="0" collapsedLevelsAreSubtotals="1" fieldPosition="0">
        <references count="4">
          <reference field="4294967294" count="1" selected="0">
            <x v="8"/>
          </reference>
          <reference field="0" count="1" selected="0">
            <x v="3"/>
          </reference>
          <reference field="4" count="1" selected="0">
            <x v="0"/>
          </reference>
          <reference field="60" count="1" selected="0">
            <x v="0"/>
          </reference>
        </references>
      </pivotArea>
    </format>
    <format dxfId="1990">
      <pivotArea outline="0" collapsedLevelsAreSubtotals="1" fieldPosition="0">
        <references count="4">
          <reference field="4294967294" count="1" selected="0">
            <x v="5"/>
          </reference>
          <reference field="0" count="1" selected="0">
            <x v="3"/>
          </reference>
          <reference field="4" count="1" selected="0">
            <x v="9"/>
          </reference>
          <reference field="60" count="1" selected="0">
            <x v="1"/>
          </reference>
        </references>
      </pivotArea>
    </format>
    <format dxfId="1989">
      <pivotArea outline="0" collapsedLevelsAreSubtotals="1" fieldPosition="0">
        <references count="3">
          <reference field="4294967294" count="1" selected="0">
            <x v="8"/>
          </reference>
          <reference field="0" count="1" selected="0">
            <x v="3"/>
          </reference>
          <reference field="60" count="1" selected="0" defaultSubtotal="1">
            <x v="0"/>
          </reference>
        </references>
      </pivotArea>
    </format>
    <format dxfId="1988">
      <pivotArea outline="0" collapsedLevelsAreSubtotals="1" fieldPosition="0">
        <references count="4">
          <reference field="4294967294" count="1" selected="0">
            <x v="8"/>
          </reference>
          <reference field="0" count="1" selected="0">
            <x v="4"/>
          </reference>
          <reference field="4" count="1" selected="0">
            <x v="1"/>
          </reference>
          <reference field="60" count="1" selected="0">
            <x v="0"/>
          </reference>
        </references>
      </pivotArea>
    </format>
    <format dxfId="1987">
      <pivotArea outline="0" collapsedLevelsAreSubtotals="1" fieldPosition="0">
        <references count="4">
          <reference field="4294967294" count="1" selected="0">
            <x v="8"/>
          </reference>
          <reference field="0" count="1" selected="0">
            <x v="4"/>
          </reference>
          <reference field="4" count="1" selected="0">
            <x v="4"/>
          </reference>
          <reference field="60" count="1" selected="0">
            <x v="0"/>
          </reference>
        </references>
      </pivotArea>
    </format>
    <format dxfId="1986">
      <pivotArea outline="0" collapsedLevelsAreSubtotals="1" fieldPosition="0">
        <references count="4">
          <reference field="4294967294" count="1" selected="0">
            <x v="2"/>
          </reference>
          <reference field="0" count="1" selected="0">
            <x v="5"/>
          </reference>
          <reference field="4" count="1" selected="0">
            <x v="3"/>
          </reference>
          <reference field="60" count="1" selected="0">
            <x v="0"/>
          </reference>
        </references>
      </pivotArea>
    </format>
    <format dxfId="1985">
      <pivotArea outline="0" collapsedLevelsAreSubtotals="1" fieldPosition="0">
        <references count="4">
          <reference field="4294967294" count="1" selected="0">
            <x v="2"/>
          </reference>
          <reference field="0" count="1" selected="0">
            <x v="5"/>
          </reference>
          <reference field="4" count="3" selected="0">
            <x v="7"/>
            <x v="8"/>
            <x v="9"/>
          </reference>
          <reference field="60" count="1" selected="0">
            <x v="1"/>
          </reference>
        </references>
      </pivotArea>
    </format>
    <format dxfId="1984">
      <pivotArea outline="0" collapsedLevelsAreSubtotals="1" fieldPosition="0">
        <references count="3">
          <reference field="4294967294" count="1" selected="0">
            <x v="2"/>
          </reference>
          <reference field="0" count="1" selected="0">
            <x v="5"/>
          </reference>
          <reference field="60" count="1" selected="0" defaultSubtotal="1">
            <x v="1"/>
          </reference>
        </references>
      </pivotArea>
    </format>
    <format dxfId="1983">
      <pivotArea outline="0" collapsedLevelsAreSubtotals="1" fieldPosition="0">
        <references count="4">
          <reference field="4294967294" count="1" selected="0">
            <x v="8"/>
          </reference>
          <reference field="0" count="1" selected="0">
            <x v="5"/>
          </reference>
          <reference field="4" count="1" selected="0">
            <x v="3"/>
          </reference>
          <reference field="60" count="1" selected="0">
            <x v="0"/>
          </reference>
        </references>
      </pivotArea>
    </format>
    <format dxfId="1982">
      <pivotArea outline="0" collapsedLevelsAreSubtotals="1" fieldPosition="0">
        <references count="4">
          <reference field="4294967294" count="1" selected="0">
            <x v="11"/>
          </reference>
          <reference field="0" count="1" selected="0">
            <x v="5"/>
          </reference>
          <reference field="4" count="1" selected="0">
            <x v="3"/>
          </reference>
          <reference field="60" count="1" selected="0">
            <x v="0"/>
          </reference>
        </references>
      </pivotArea>
    </format>
    <format dxfId="1981">
      <pivotArea outline="0" collapsedLevelsAreSubtotals="1" fieldPosition="0">
        <references count="4">
          <reference field="4294967294" count="1" selected="0">
            <x v="2"/>
          </reference>
          <reference field="0" count="1" selected="0">
            <x v="6"/>
          </reference>
          <reference field="4" count="1" selected="0">
            <x v="4"/>
          </reference>
          <reference field="60" count="1" selected="0">
            <x v="0"/>
          </reference>
        </references>
      </pivotArea>
    </format>
    <format dxfId="1980">
      <pivotArea outline="0" collapsedLevelsAreSubtotals="1" fieldPosition="0">
        <references count="4">
          <reference field="4294967294" count="1" selected="0">
            <x v="2"/>
          </reference>
          <reference field="0" count="1" selected="0">
            <x v="6"/>
          </reference>
          <reference field="4" count="1" selected="0">
            <x v="5"/>
          </reference>
          <reference field="60" count="1" selected="0">
            <x v="0"/>
          </reference>
        </references>
      </pivotArea>
    </format>
    <format dxfId="1979">
      <pivotArea outline="0" collapsedLevelsAreSubtotals="1" fieldPosition="0">
        <references count="4">
          <reference field="4294967294" count="1" selected="0">
            <x v="8"/>
          </reference>
          <reference field="0" count="1" selected="0">
            <x v="6"/>
          </reference>
          <reference field="4" count="1" selected="0">
            <x v="3"/>
          </reference>
          <reference field="60" count="1" selected="0">
            <x v="0"/>
          </reference>
        </references>
      </pivotArea>
    </format>
    <format dxfId="1978">
      <pivotArea outline="0" collapsedLevelsAreSubtotals="1" fieldPosition="0">
        <references count="4">
          <reference field="4294967294" count="1" selected="0">
            <x v="8"/>
          </reference>
          <reference field="0" count="1" selected="0">
            <x v="6"/>
          </reference>
          <reference field="4" count="1" selected="0">
            <x v="4"/>
          </reference>
          <reference field="60" count="1" selected="0">
            <x v="0"/>
          </reference>
        </references>
      </pivotArea>
    </format>
    <format dxfId="1977">
      <pivotArea outline="0" collapsedLevelsAreSubtotals="1" fieldPosition="0">
        <references count="4">
          <reference field="4294967294" count="1" selected="0">
            <x v="11"/>
          </reference>
          <reference field="0" count="1" selected="0">
            <x v="6"/>
          </reference>
          <reference field="4" count="1" selected="0">
            <x v="4"/>
          </reference>
          <reference field="60" count="1" selected="0">
            <x v="0"/>
          </reference>
        </references>
      </pivotArea>
    </format>
    <format dxfId="1976">
      <pivotArea outline="0" collapsedLevelsAreSubtotals="1" fieldPosition="0">
        <references count="4">
          <reference field="4294967294" count="1" selected="0">
            <x v="11"/>
          </reference>
          <reference field="0" count="1" selected="0">
            <x v="6"/>
          </reference>
          <reference field="4" count="1" selected="0">
            <x v="5"/>
          </reference>
          <reference field="60" count="1" selected="0">
            <x v="0"/>
          </reference>
        </references>
      </pivotArea>
    </format>
    <format dxfId="1975">
      <pivotArea outline="0" collapsedLevelsAreSubtotals="1" fieldPosition="0">
        <references count="4">
          <reference field="4294967294" count="1" selected="0">
            <x v="2"/>
          </reference>
          <reference field="0" count="1" selected="0">
            <x v="6"/>
          </reference>
          <reference field="4" count="1" selected="0">
            <x v="7"/>
          </reference>
          <reference field="60" count="1" selected="0">
            <x v="1"/>
          </reference>
        </references>
      </pivotArea>
    </format>
    <format dxfId="1974">
      <pivotArea outline="0" collapsedLevelsAreSubtotals="1" fieldPosition="0">
        <references count="4">
          <reference field="4294967294" count="1" selected="0">
            <x v="8"/>
          </reference>
          <reference field="0" count="1" selected="0">
            <x v="7"/>
          </reference>
          <reference field="4" count="1" selected="0">
            <x v="2"/>
          </reference>
          <reference field="60" count="1" selected="0">
            <x v="0"/>
          </reference>
        </references>
      </pivotArea>
    </format>
    <format dxfId="1973">
      <pivotArea outline="0" collapsedLevelsAreSubtotals="1" fieldPosition="0">
        <references count="4">
          <reference field="4294967294" count="1" selected="0">
            <x v="2"/>
          </reference>
          <reference field="0" count="1" selected="0">
            <x v="7"/>
          </reference>
          <reference field="4" count="3" selected="0">
            <x v="7"/>
            <x v="8"/>
            <x v="9"/>
          </reference>
          <reference field="60" count="1" selected="0">
            <x v="1"/>
          </reference>
        </references>
      </pivotArea>
    </format>
    <format dxfId="1972">
      <pivotArea outline="0" collapsedLevelsAreSubtotals="1" fieldPosition="0">
        <references count="3">
          <reference field="4294967294" count="1" selected="0">
            <x v="2"/>
          </reference>
          <reference field="0" count="1" selected="0">
            <x v="7"/>
          </reference>
          <reference field="60" count="1" selected="0" defaultSubtotal="1">
            <x v="1"/>
          </reference>
        </references>
      </pivotArea>
    </format>
    <format dxfId="1971">
      <pivotArea outline="0" collapsedLevelsAreSubtotals="1" fieldPosition="0">
        <references count="4">
          <reference field="4294967294" count="1" selected="0">
            <x v="2"/>
          </reference>
          <reference field="0" count="1" selected="0">
            <x v="9"/>
          </reference>
          <reference field="4" count="1" selected="0">
            <x v="5"/>
          </reference>
          <reference field="60" count="1" selected="0">
            <x v="0"/>
          </reference>
        </references>
      </pivotArea>
    </format>
    <format dxfId="1970">
      <pivotArea outline="0" collapsedLevelsAreSubtotals="1" fieldPosition="0">
        <references count="4">
          <reference field="4294967294" count="1" selected="0">
            <x v="8"/>
          </reference>
          <reference field="0" count="1" selected="0">
            <x v="9"/>
          </reference>
          <reference field="4" count="1" selected="0">
            <x v="3"/>
          </reference>
          <reference field="60" count="1" selected="0">
            <x v="0"/>
          </reference>
        </references>
      </pivotArea>
    </format>
    <format dxfId="1969">
      <pivotArea outline="0" collapsedLevelsAreSubtotals="1" fieldPosition="0">
        <references count="4">
          <reference field="4294967294" count="1" selected="0">
            <x v="8"/>
          </reference>
          <reference field="0" count="1" selected="0">
            <x v="9"/>
          </reference>
          <reference field="4" count="1" selected="0">
            <x v="5"/>
          </reference>
          <reference field="60" count="1" selected="0">
            <x v="0"/>
          </reference>
        </references>
      </pivotArea>
    </format>
    <format dxfId="1968">
      <pivotArea outline="0" collapsedLevelsAreSubtotals="1" fieldPosition="0">
        <references count="4">
          <reference field="4294967294" count="1" selected="0">
            <x v="2"/>
          </reference>
          <reference field="0" count="1" selected="0">
            <x v="7"/>
          </reference>
          <reference field="4" count="3" selected="0">
            <x v="7"/>
            <x v="8"/>
            <x v="9"/>
          </reference>
          <reference field="60" count="1" selected="0">
            <x v="1"/>
          </reference>
        </references>
      </pivotArea>
    </format>
    <format dxfId="1967">
      <pivotArea outline="0" collapsedLevelsAreSubtotals="1" fieldPosition="0">
        <references count="3">
          <reference field="4294967294" count="1" selected="0">
            <x v="2"/>
          </reference>
          <reference field="0" count="1" selected="0">
            <x v="7"/>
          </reference>
          <reference field="60" count="1" selected="0" defaultSubtotal="1">
            <x v="1"/>
          </reference>
        </references>
      </pivotArea>
    </format>
    <format dxfId="1966">
      <pivotArea outline="0" collapsedLevelsAreSubtotals="1" fieldPosition="0">
        <references count="4">
          <reference field="4294967294" count="1" selected="0">
            <x v="2"/>
          </reference>
          <reference field="0" count="1" selected="0">
            <x v="7"/>
          </reference>
          <reference field="4" count="1" selected="0">
            <x v="8"/>
          </reference>
          <reference field="60" count="1" selected="0">
            <x v="1"/>
          </reference>
        </references>
      </pivotArea>
    </format>
    <format dxfId="1965">
      <pivotArea outline="0" collapsedLevelsAreSubtotals="1" fieldPosition="0">
        <references count="4">
          <reference field="4294967294" count="1" selected="0">
            <x v="8"/>
          </reference>
          <reference field="0" count="1" selected="0">
            <x v="10"/>
          </reference>
          <reference field="4" count="1" selected="0">
            <x v="3"/>
          </reference>
          <reference field="60" count="1" selected="0">
            <x v="0"/>
          </reference>
        </references>
      </pivotArea>
    </format>
    <format dxfId="1964">
      <pivotArea outline="0" collapsedLevelsAreSubtotals="1" fieldPosition="0">
        <references count="4">
          <reference field="4294967294" count="1" selected="0">
            <x v="8"/>
          </reference>
          <reference field="0" count="1" selected="0">
            <x v="10"/>
          </reference>
          <reference field="4" count="1" selected="0">
            <x v="5"/>
          </reference>
          <reference field="60" count="1" selected="0">
            <x v="0"/>
          </reference>
        </references>
      </pivotArea>
    </format>
    <format dxfId="1963">
      <pivotArea outline="0" collapsedLevelsAreSubtotals="1" fieldPosition="0">
        <references count="4">
          <reference field="4294967294" count="1" selected="0">
            <x v="11"/>
          </reference>
          <reference field="0" count="1" selected="0">
            <x v="10"/>
          </reference>
          <reference field="4" count="1" selected="0">
            <x v="6"/>
          </reference>
          <reference field="60" count="1" selected="0">
            <x v="1"/>
          </reference>
        </references>
      </pivotArea>
    </format>
    <format dxfId="1962">
      <pivotArea outline="0" collapsedLevelsAreSubtotals="1" fieldPosition="0">
        <references count="4">
          <reference field="4294967294" count="1" selected="0">
            <x v="2"/>
          </reference>
          <reference field="0" count="1" selected="0">
            <x v="10"/>
          </reference>
          <reference field="4" count="1" selected="0">
            <x v="6"/>
          </reference>
          <reference field="60" count="1" selected="0">
            <x v="1"/>
          </reference>
        </references>
      </pivotArea>
    </format>
    <format dxfId="1961">
      <pivotArea outline="0" collapsedLevelsAreSubtotals="1" fieldPosition="0">
        <references count="4">
          <reference field="4294967294" count="1" selected="0">
            <x v="8"/>
          </reference>
          <reference field="0" count="1" selected="0">
            <x v="13"/>
          </reference>
          <reference field="4" count="1" selected="0">
            <x v="4"/>
          </reference>
          <reference field="60" count="1" selected="0">
            <x v="0"/>
          </reference>
        </references>
      </pivotArea>
    </format>
    <format dxfId="1960">
      <pivotArea outline="0" collapsedLevelsAreSubtotals="1" fieldPosition="0">
        <references count="4">
          <reference field="4294967294" count="1" selected="0">
            <x v="8"/>
          </reference>
          <reference field="0" count="1" selected="0">
            <x v="15"/>
          </reference>
          <reference field="4" count="1" selected="0">
            <x v="2"/>
          </reference>
          <reference field="60" count="1" selected="0">
            <x v="0"/>
          </reference>
        </references>
      </pivotArea>
    </format>
    <format dxfId="1959">
      <pivotArea outline="0" collapsedLevelsAreSubtotals="1" fieldPosition="0">
        <references count="4">
          <reference field="4294967294" count="1" selected="0">
            <x v="8"/>
          </reference>
          <reference field="0" count="1" selected="0">
            <x v="15"/>
          </reference>
          <reference field="4" count="1" selected="0">
            <x v="5"/>
          </reference>
          <reference field="60" count="1" selected="0">
            <x v="0"/>
          </reference>
        </references>
      </pivotArea>
    </format>
    <format dxfId="1958">
      <pivotArea outline="0" collapsedLevelsAreSubtotals="1" fieldPosition="0">
        <references count="4">
          <reference field="4294967294" count="1" selected="0">
            <x v="8"/>
          </reference>
          <reference field="0" count="1" selected="0">
            <x v="15"/>
          </reference>
          <reference field="4" count="1" selected="0">
            <x v="0"/>
          </reference>
          <reference field="60" count="1" selected="0">
            <x v="0"/>
          </reference>
        </references>
      </pivotArea>
    </format>
    <format dxfId="1957">
      <pivotArea outline="0" collapsedLevelsAreSubtotals="1" fieldPosition="0">
        <references count="4">
          <reference field="4294967294" count="1" selected="0">
            <x v="2"/>
          </reference>
          <reference field="0" count="1" selected="0">
            <x v="15"/>
          </reference>
          <reference field="4" count="1" selected="0">
            <x v="8"/>
          </reference>
          <reference field="60" count="1" selected="0">
            <x v="1"/>
          </reference>
        </references>
      </pivotArea>
    </format>
    <format dxfId="1956">
      <pivotArea outline="0" collapsedLevelsAreSubtotals="1" fieldPosition="0">
        <references count="4">
          <reference field="4294967294" count="1" selected="0">
            <x v="8"/>
          </reference>
          <reference field="0" count="1" selected="0">
            <x v="2"/>
          </reference>
          <reference field="4" count="1" selected="0">
            <x v="2"/>
          </reference>
          <reference field="60" count="1" selected="0">
            <x v="0"/>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3" cacheId="1" dataOnRows="1" applyNumberFormats="0" applyBorderFormats="0" applyFontFormats="0" applyPatternFormats="0" applyAlignmentFormats="0" applyWidthHeightFormats="1" dataCaption="Data" updatedVersion="6" minRefreshableVersion="3" asteriskTotals="1" showMemberPropertyTips="0" useAutoFormatting="1" colGrandTotals="0" itemPrintTitles="1" createdVersion="3" indent="0" compact="0" compactData="0" gridDropZones="1">
  <location ref="A3:AA124" firstHeaderRow="1" firstDataRow="3" firstDataCol="2"/>
  <pivotFields count="47">
    <pivotField axis="axisRow" compact="0" outline="0" subtotalTop="0" showAll="0" includeNewItemsInFilter="1" sortType="ascending">
      <items count="17">
        <item x="0"/>
        <item x="1"/>
        <item x="2"/>
        <item x="3"/>
        <item x="4"/>
        <item x="5"/>
        <item x="6"/>
        <item x="7"/>
        <item x="8"/>
        <item x="9"/>
        <item x="10"/>
        <item x="11"/>
        <item x="12"/>
        <item x="13"/>
        <item x="14"/>
        <item x="15"/>
        <item t="default"/>
      </items>
    </pivotField>
    <pivotField compact="0" outline="0" subtotalTop="0" showAll="0" includeNewItemsInFilter="1"/>
    <pivotField compact="0" outline="0" showAll="0" defaultSubtotal="0"/>
    <pivotField compact="0" outline="0" subtotalTop="0" showAll="0" includeNewItemsInFilter="1"/>
    <pivotField axis="axisCol" compact="0" outline="0" subtotalTop="0" showAll="0" includeNewItemsInFilter="1">
      <items count="20">
        <item x="0"/>
        <item x="1"/>
        <item x="2"/>
        <item x="3"/>
        <item x="4"/>
        <item x="5"/>
        <item x="11"/>
        <item x="7"/>
        <item x="6"/>
        <item x="8"/>
        <item x="12"/>
        <item x="9"/>
        <item x="10"/>
        <item m="1" x="17"/>
        <item m="1" x="18"/>
        <item x="13"/>
        <item x="14"/>
        <item x="15"/>
        <item x="16"/>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3" outline="0" subtotalTop="0" showAll="0" includeNewItemsInFilter="1"/>
    <pivotField compact="0" numFmtId="3" outline="0" subtotalTop="0" showAll="0" includeNewItemsInFilter="1"/>
    <pivotField compact="0" numFmtId="3" outline="0" subtotalTop="0" showAll="0" includeNewItemsInFilter="1"/>
    <pivotField compact="0" numFmtId="3" outline="0" subtotalTop="0" showAll="0" includeNewItemsInFilter="1"/>
    <pivotField compact="0" outline="0" subtotalTop="0" showAll="0" includeNewItemsInFilter="1"/>
    <pivotField compact="0" outline="0" subtotalTop="0" showAll="0" includeNewItemsInFilter="1"/>
    <pivotField compact="0" numFmtId="3" outline="0" showAll="0" defaultSubtotal="0"/>
    <pivotField compact="0" numFmtId="3"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3" outline="0" subtotalTop="0" showAll="0" includeNewItemsInFilter="1"/>
    <pivotField compact="0" numFmtId="3" outline="0" subtotalTop="0" showAll="0" includeNewItemsInFilter="1"/>
    <pivotField compact="0" numFmtId="3" outline="0" subtotalTop="0" showAll="0" includeNewItemsInFilter="1"/>
    <pivotField compact="0" numFmtId="3" outline="0" subtotalTop="0" showAll="0" includeNewItemsInFilter="1"/>
    <pivotField compact="0" outline="0" subtotalTop="0" showAll="0" includeNewItemsInFilter="1"/>
    <pivotField compact="0" outline="0" subtotalTop="0" showAll="0" includeNewItemsInFilter="1"/>
    <pivotField compact="0" numFmtId="3" outline="0" showAll="0" defaultSubtotal="0"/>
    <pivotField compact="0" numFmtId="3" outline="0" showAll="0"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axis="axisCol" compact="0" outline="0" subtotalTop="0" showAll="0" includeNewItemsInFilter="1">
      <items count="10">
        <item n="Four-Year" x="2"/>
        <item n="Two-Year" x="3"/>
        <item x="1"/>
        <item n="Technical" x="4"/>
        <item x="0"/>
        <item x="5"/>
        <item x="6"/>
        <item x="7"/>
        <item x="8"/>
        <item t="default"/>
      </items>
    </pivotField>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dragToRow="0" dragToCol="0" dragToPage="0" showAll="0" defaultSubtotal="0"/>
  </pivotFields>
  <rowFields count="2">
    <field x="0"/>
    <field x="-2"/>
  </rowFields>
  <rowItems count="119">
    <i>
      <x/>
      <x/>
    </i>
    <i r="1" i="1">
      <x v="1"/>
    </i>
    <i r="1" i="2">
      <x v="2"/>
    </i>
    <i r="1" i="3">
      <x v="3"/>
    </i>
    <i r="1" i="4">
      <x v="4"/>
    </i>
    <i r="1" i="5">
      <x v="5"/>
    </i>
    <i r="1" i="6">
      <x v="6"/>
    </i>
    <i>
      <x v="1"/>
      <x/>
    </i>
    <i r="1" i="1">
      <x v="1"/>
    </i>
    <i r="1" i="2">
      <x v="2"/>
    </i>
    <i r="1" i="3">
      <x v="3"/>
    </i>
    <i r="1" i="4">
      <x v="4"/>
    </i>
    <i r="1" i="5">
      <x v="5"/>
    </i>
    <i r="1" i="6">
      <x v="6"/>
    </i>
    <i>
      <x v="2"/>
      <x/>
    </i>
    <i r="1" i="1">
      <x v="1"/>
    </i>
    <i r="1" i="2">
      <x v="2"/>
    </i>
    <i r="1" i="3">
      <x v="3"/>
    </i>
    <i r="1" i="4">
      <x v="4"/>
    </i>
    <i r="1" i="5">
      <x v="5"/>
    </i>
    <i r="1" i="6">
      <x v="6"/>
    </i>
    <i>
      <x v="3"/>
      <x/>
    </i>
    <i r="1" i="1">
      <x v="1"/>
    </i>
    <i r="1" i="2">
      <x v="2"/>
    </i>
    <i r="1" i="3">
      <x v="3"/>
    </i>
    <i r="1" i="4">
      <x v="4"/>
    </i>
    <i r="1" i="5">
      <x v="5"/>
    </i>
    <i r="1" i="6">
      <x v="6"/>
    </i>
    <i>
      <x v="4"/>
      <x/>
    </i>
    <i r="1" i="1">
      <x v="1"/>
    </i>
    <i r="1" i="2">
      <x v="2"/>
    </i>
    <i r="1" i="3">
      <x v="3"/>
    </i>
    <i r="1" i="4">
      <x v="4"/>
    </i>
    <i r="1" i="5">
      <x v="5"/>
    </i>
    <i r="1" i="6">
      <x v="6"/>
    </i>
    <i>
      <x v="5"/>
      <x/>
    </i>
    <i r="1" i="1">
      <x v="1"/>
    </i>
    <i r="1" i="2">
      <x v="2"/>
    </i>
    <i r="1" i="3">
      <x v="3"/>
    </i>
    <i r="1" i="4">
      <x v="4"/>
    </i>
    <i r="1" i="5">
      <x v="5"/>
    </i>
    <i r="1" i="6">
      <x v="6"/>
    </i>
    <i>
      <x v="6"/>
      <x/>
    </i>
    <i r="1" i="1">
      <x v="1"/>
    </i>
    <i r="1" i="2">
      <x v="2"/>
    </i>
    <i r="1" i="3">
      <x v="3"/>
    </i>
    <i r="1" i="4">
      <x v="4"/>
    </i>
    <i r="1" i="5">
      <x v="5"/>
    </i>
    <i r="1" i="6">
      <x v="6"/>
    </i>
    <i>
      <x v="7"/>
      <x/>
    </i>
    <i r="1" i="1">
      <x v="1"/>
    </i>
    <i r="1" i="2">
      <x v="2"/>
    </i>
    <i r="1" i="3">
      <x v="3"/>
    </i>
    <i r="1" i="4">
      <x v="4"/>
    </i>
    <i r="1" i="5">
      <x v="5"/>
    </i>
    <i r="1" i="6">
      <x v="6"/>
    </i>
    <i>
      <x v="8"/>
      <x/>
    </i>
    <i r="1" i="1">
      <x v="1"/>
    </i>
    <i r="1" i="2">
      <x v="2"/>
    </i>
    <i r="1" i="3">
      <x v="3"/>
    </i>
    <i r="1" i="4">
      <x v="4"/>
    </i>
    <i r="1" i="5">
      <x v="5"/>
    </i>
    <i r="1" i="6">
      <x v="6"/>
    </i>
    <i>
      <x v="9"/>
      <x/>
    </i>
    <i r="1" i="1">
      <x v="1"/>
    </i>
    <i r="1" i="2">
      <x v="2"/>
    </i>
    <i r="1" i="3">
      <x v="3"/>
    </i>
    <i r="1" i="4">
      <x v="4"/>
    </i>
    <i r="1" i="5">
      <x v="5"/>
    </i>
    <i r="1" i="6">
      <x v="6"/>
    </i>
    <i>
      <x v="10"/>
      <x/>
    </i>
    <i r="1" i="1">
      <x v="1"/>
    </i>
    <i r="1" i="2">
      <x v="2"/>
    </i>
    <i r="1" i="3">
      <x v="3"/>
    </i>
    <i r="1" i="4">
      <x v="4"/>
    </i>
    <i r="1" i="5">
      <x v="5"/>
    </i>
    <i r="1" i="6">
      <x v="6"/>
    </i>
    <i>
      <x v="11"/>
      <x/>
    </i>
    <i r="1" i="1">
      <x v="1"/>
    </i>
    <i r="1" i="2">
      <x v="2"/>
    </i>
    <i r="1" i="3">
      <x v="3"/>
    </i>
    <i r="1" i="4">
      <x v="4"/>
    </i>
    <i r="1" i="5">
      <x v="5"/>
    </i>
    <i r="1" i="6">
      <x v="6"/>
    </i>
    <i>
      <x v="12"/>
      <x/>
    </i>
    <i r="1" i="1">
      <x v="1"/>
    </i>
    <i r="1" i="2">
      <x v="2"/>
    </i>
    <i r="1" i="3">
      <x v="3"/>
    </i>
    <i r="1" i="4">
      <x v="4"/>
    </i>
    <i r="1" i="5">
      <x v="5"/>
    </i>
    <i r="1" i="6">
      <x v="6"/>
    </i>
    <i>
      <x v="13"/>
      <x/>
    </i>
    <i r="1" i="1">
      <x v="1"/>
    </i>
    <i r="1" i="2">
      <x v="2"/>
    </i>
    <i r="1" i="3">
      <x v="3"/>
    </i>
    <i r="1" i="4">
      <x v="4"/>
    </i>
    <i r="1" i="5">
      <x v="5"/>
    </i>
    <i r="1" i="6">
      <x v="6"/>
    </i>
    <i>
      <x v="14"/>
      <x/>
    </i>
    <i r="1" i="1">
      <x v="1"/>
    </i>
    <i r="1" i="2">
      <x v="2"/>
    </i>
    <i r="1" i="3">
      <x v="3"/>
    </i>
    <i r="1" i="4">
      <x v="4"/>
    </i>
    <i r="1" i="5">
      <x v="5"/>
    </i>
    <i r="1" i="6">
      <x v="6"/>
    </i>
    <i>
      <x v="15"/>
      <x/>
    </i>
    <i r="1" i="1">
      <x v="1"/>
    </i>
    <i r="1" i="2">
      <x v="2"/>
    </i>
    <i r="1" i="3">
      <x v="3"/>
    </i>
    <i r="1" i="4">
      <x v="4"/>
    </i>
    <i r="1" i="5">
      <x v="5"/>
    </i>
    <i r="1" i="6">
      <x v="6"/>
    </i>
    <i t="grand">
      <x/>
    </i>
    <i t="grand" i="1">
      <x/>
    </i>
    <i t="grand" i="2">
      <x/>
    </i>
    <i t="grand" i="3">
      <x/>
    </i>
    <i t="grand" i="4">
      <x/>
    </i>
    <i t="grand" i="5">
      <x/>
    </i>
    <i t="grand" i="6">
      <x/>
    </i>
  </rowItems>
  <colFields count="2">
    <field x="43"/>
    <field x="4"/>
  </colFields>
  <colItems count="25">
    <i>
      <x/>
      <x/>
    </i>
    <i r="1">
      <x v="1"/>
    </i>
    <i r="1">
      <x v="2"/>
    </i>
    <i r="1">
      <x v="3"/>
    </i>
    <i r="1">
      <x v="4"/>
    </i>
    <i r="1">
      <x v="5"/>
    </i>
    <i t="default">
      <x/>
    </i>
    <i>
      <x v="1"/>
      <x v="6"/>
    </i>
    <i r="1">
      <x v="7"/>
    </i>
    <i r="1">
      <x v="8"/>
    </i>
    <i r="1">
      <x v="9"/>
    </i>
    <i t="default">
      <x v="1"/>
    </i>
    <i>
      <x v="2"/>
      <x v="10"/>
    </i>
    <i t="default">
      <x v="2"/>
    </i>
    <i>
      <x v="3"/>
      <x v="11"/>
    </i>
    <i r="1">
      <x v="12"/>
    </i>
    <i t="default">
      <x v="3"/>
    </i>
    <i>
      <x v="5"/>
      <x v="15"/>
    </i>
    <i t="default">
      <x v="5"/>
    </i>
    <i>
      <x v="6"/>
      <x v="16"/>
    </i>
    <i t="default">
      <x v="6"/>
    </i>
    <i>
      <x v="7"/>
      <x v="17"/>
    </i>
    <i t="default">
      <x v="7"/>
    </i>
    <i>
      <x v="8"/>
      <x v="18"/>
    </i>
    <i t="default">
      <x v="8"/>
    </i>
  </colItems>
  <dataFields count="7">
    <dataField name="Sum of Old-Total UGH" fld="44" baseField="0" baseItem="0" numFmtId="3"/>
    <dataField name="Sum of Old-Total HSH" fld="45" baseField="0" baseItem="0" numFmtId="3"/>
    <dataField name="Sum of Old-HS % of Total" fld="42" baseField="0" baseItem="0" numFmtId="3"/>
    <dataField name="Sum of New-Total UGH" fld="40" baseField="0" baseItem="0" numFmtId="3"/>
    <dataField name="Sum of New-Total HSH" fld="39" baseField="0" baseItem="0" numFmtId="3"/>
    <dataField name="Sum of New-HS % of Total" fld="41" baseField="0" baseItem="0" numFmtId="3"/>
    <dataField name=" HS Percentage-point Change" fld="46" baseField="0" baseItem="0" numFmtId="3"/>
  </dataFields>
  <formats count="262">
    <format dxfId="1955">
      <pivotArea dataOnly="0" labelOnly="1" outline="0" fieldPosition="0">
        <references count="1">
          <reference field="0" count="1">
            <x v="4"/>
          </reference>
        </references>
      </pivotArea>
    </format>
    <format dxfId="1954">
      <pivotArea type="all" dataOnly="0" outline="0" fieldPosition="0"/>
    </format>
    <format dxfId="1953">
      <pivotArea dataOnly="0" labelOnly="1" outline="0" fieldPosition="0">
        <references count="2">
          <reference field="4294967294" count="1">
            <x v="0"/>
          </reference>
          <reference field="0" count="1" selected="0">
            <x v="4"/>
          </reference>
        </references>
      </pivotArea>
    </format>
    <format dxfId="1952">
      <pivotArea dataOnly="0" labelOnly="1" outline="0" fieldPosition="0">
        <references count="2">
          <reference field="4294967294" count="1">
            <x v="2"/>
          </reference>
          <reference field="0" count="1" selected="0">
            <x v="4"/>
          </reference>
        </references>
      </pivotArea>
    </format>
    <format dxfId="1951">
      <pivotArea dataOnly="0" labelOnly="1" outline="0" fieldPosition="0">
        <references count="2">
          <reference field="4294967294" count="1">
            <x v="5"/>
          </reference>
          <reference field="0" count="1" selected="0">
            <x v="4"/>
          </reference>
        </references>
      </pivotArea>
    </format>
    <format dxfId="1950">
      <pivotArea field="0" grandRow="1" outline="0" collapsedLevelsAreSubtotals="1" axis="axisRow" fieldPosition="0">
        <references count="1">
          <reference field="4294967294" count="1" selected="0">
            <x v="2"/>
          </reference>
        </references>
      </pivotArea>
    </format>
    <format dxfId="1949">
      <pivotArea field="0" grandRow="1" outline="0" collapsedLevelsAreSubtotals="1" axis="axisRow" fieldPosition="0">
        <references count="1">
          <reference field="4294967294" count="1" selected="0">
            <x v="2"/>
          </reference>
        </references>
      </pivotArea>
    </format>
    <format dxfId="1948">
      <pivotArea field="43" grandRow="1" outline="0" collapsedLevelsAreSubtotals="1" axis="axisCol" fieldPosition="0">
        <references count="3">
          <reference field="4294967294" count="1" selected="0">
            <x v="5"/>
          </reference>
          <reference field="4" count="1" selected="0">
            <x v="3"/>
          </reference>
          <reference field="43" count="1" selected="0">
            <x v="0"/>
          </reference>
        </references>
      </pivotArea>
    </format>
    <format dxfId="1947">
      <pivotArea outline="0" collapsedLevelsAreSubtotals="1" fieldPosition="0">
        <references count="4">
          <reference field="4294967294" count="1" selected="0">
            <x v="2"/>
          </reference>
          <reference field="0" count="1" selected="0">
            <x v="4"/>
          </reference>
          <reference field="4" count="1" selected="0">
            <x v="3"/>
          </reference>
          <reference field="43" count="1" selected="0">
            <x v="0"/>
          </reference>
        </references>
      </pivotArea>
    </format>
    <format dxfId="1946">
      <pivotArea field="0" dataOnly="0" labelOnly="1" grandRow="1" outline="0" axis="axisRow" fieldPosition="0">
        <references count="1">
          <reference field="4294967294" count="1" selected="0">
            <x v="0"/>
          </reference>
        </references>
      </pivotArea>
    </format>
    <format dxfId="1945">
      <pivotArea field="0" dataOnly="0" labelOnly="1" grandRow="1" outline="0" axis="axisRow" fieldPosition="0">
        <references count="1">
          <reference field="4294967294" count="1" selected="0">
            <x v="1"/>
          </reference>
        </references>
      </pivotArea>
    </format>
    <format dxfId="1944">
      <pivotArea field="0" dataOnly="0" labelOnly="1" grandRow="1" outline="0" axis="axisRow" fieldPosition="0">
        <references count="1">
          <reference field="4294967294" count="1" selected="0">
            <x v="2"/>
          </reference>
        </references>
      </pivotArea>
    </format>
    <format dxfId="1943">
      <pivotArea field="0" dataOnly="0" labelOnly="1" grandRow="1" outline="0" axis="axisRow" fieldPosition="0">
        <references count="1">
          <reference field="4294967294" count="1" selected="0">
            <x v="3"/>
          </reference>
        </references>
      </pivotArea>
    </format>
    <format dxfId="1942">
      <pivotArea field="0" dataOnly="0" labelOnly="1" grandRow="1" outline="0" axis="axisRow" fieldPosition="0">
        <references count="1">
          <reference field="4294967294" count="1" selected="0">
            <x v="4"/>
          </reference>
        </references>
      </pivotArea>
    </format>
    <format dxfId="1941">
      <pivotArea field="0" dataOnly="0" labelOnly="1" grandRow="1" outline="0" axis="axisRow" fieldPosition="0">
        <references count="1">
          <reference field="4294967294" count="1" selected="0">
            <x v="5"/>
          </reference>
        </references>
      </pivotArea>
    </format>
    <format dxfId="1940">
      <pivotArea field="0" dataOnly="0" labelOnly="1" grandRow="1" outline="0" axis="axisRow" fieldPosition="0">
        <references count="1">
          <reference field="4294967294" count="1" selected="0">
            <x v="6"/>
          </reference>
        </references>
      </pivotArea>
    </format>
    <format dxfId="1939">
      <pivotArea field="43" grandRow="1" outline="0" collapsedLevelsAreSubtotals="1" axis="axisCol" fieldPosition="0">
        <references count="3">
          <reference field="4294967294" count="1" selected="0">
            <x v="6"/>
          </reference>
          <reference field="4" count="1" selected="0">
            <x v="0"/>
          </reference>
          <reference field="43" count="1" selected="0">
            <x v="0"/>
          </reference>
        </references>
      </pivotArea>
    </format>
    <format dxfId="1938">
      <pivotArea field="43" grandRow="1" outline="0" collapsedLevelsAreSubtotals="1" axis="axisCol" fieldPosition="0">
        <references count="3">
          <reference field="4294967294" count="1" selected="0">
            <x v="6"/>
          </reference>
          <reference field="4" count="5" selected="0">
            <x v="1"/>
            <x v="2"/>
            <x v="3"/>
            <x v="4"/>
            <x v="5"/>
          </reference>
          <reference field="43" count="1" selected="0">
            <x v="0"/>
          </reference>
        </references>
      </pivotArea>
    </format>
    <format dxfId="1937">
      <pivotArea field="43" grandRow="1" outline="0" collapsedLevelsAreSubtotals="1" axis="axisCol" fieldPosition="0">
        <references count="2">
          <reference field="4294967294" count="1" selected="0">
            <x v="6"/>
          </reference>
          <reference field="43" count="1" selected="0" defaultSubtotal="1">
            <x v="0"/>
          </reference>
        </references>
      </pivotArea>
    </format>
    <format dxfId="1936">
      <pivotArea field="43" grandRow="1" outline="0" collapsedLevelsAreSubtotals="1" axis="axisCol" fieldPosition="0">
        <references count="2">
          <reference field="4294967294" count="1" selected="0">
            <x v="6"/>
          </reference>
          <reference field="43" count="3" selected="0" defaultSubtotal="1">
            <x v="1"/>
            <x v="3"/>
            <x v="4"/>
          </reference>
        </references>
      </pivotArea>
    </format>
    <format dxfId="1935">
      <pivotArea field="0" dataOnly="0" labelOnly="1" grandRow="1" outline="0" axis="axisRow" fieldPosition="0">
        <references count="1">
          <reference field="4294967294" count="1" selected="0">
            <x v="0"/>
          </reference>
        </references>
      </pivotArea>
    </format>
    <format dxfId="1934">
      <pivotArea field="0" dataOnly="0" labelOnly="1" grandRow="1" outline="0" axis="axisRow" fieldPosition="0">
        <references count="1">
          <reference field="4294967294" count="1" selected="0">
            <x v="1"/>
          </reference>
        </references>
      </pivotArea>
    </format>
    <format dxfId="1933">
      <pivotArea field="0" dataOnly="0" labelOnly="1" grandRow="1" outline="0" axis="axisRow" fieldPosition="0">
        <references count="1">
          <reference field="4294967294" count="1" selected="0">
            <x v="2"/>
          </reference>
        </references>
      </pivotArea>
    </format>
    <format dxfId="1932">
      <pivotArea field="0" dataOnly="0" labelOnly="1" grandRow="1" outline="0" axis="axisRow" fieldPosition="0">
        <references count="1">
          <reference field="4294967294" count="1" selected="0">
            <x v="3"/>
          </reference>
        </references>
      </pivotArea>
    </format>
    <format dxfId="1931">
      <pivotArea field="0" dataOnly="0" labelOnly="1" grandRow="1" outline="0" axis="axisRow" fieldPosition="0">
        <references count="1">
          <reference field="4294967294" count="1" selected="0">
            <x v="4"/>
          </reference>
        </references>
      </pivotArea>
    </format>
    <format dxfId="1930">
      <pivotArea field="0" dataOnly="0" labelOnly="1" grandRow="1" outline="0" axis="axisRow" fieldPosition="0">
        <references count="1">
          <reference field="4294967294" count="1" selected="0">
            <x v="5"/>
          </reference>
        </references>
      </pivotArea>
    </format>
    <format dxfId="1929">
      <pivotArea field="0" dataOnly="0" labelOnly="1" grandRow="1" outline="0" axis="axisRow" fieldPosition="0">
        <references count="1">
          <reference field="4294967294" count="1" selected="0">
            <x v="6"/>
          </reference>
        </references>
      </pivotArea>
    </format>
    <format dxfId="1928">
      <pivotArea field="43" grandRow="1" outline="0" collapsedLevelsAreSubtotals="1" axis="axisCol" fieldPosition="0">
        <references count="3">
          <reference field="4294967294" count="1" selected="0">
            <x v="6"/>
          </reference>
          <reference field="4" count="2" selected="0">
            <x v="12"/>
            <x v="13"/>
          </reference>
          <reference field="43" count="1" selected="0">
            <x v="3"/>
          </reference>
        </references>
      </pivotArea>
    </format>
    <format dxfId="1927">
      <pivotArea field="43" grandRow="1" outline="0" collapsedLevelsAreSubtotals="1" axis="axisCol" fieldPosition="0">
        <references count="2">
          <reference field="4294967294" count="1" selected="0">
            <x v="6"/>
          </reference>
          <reference field="43" count="1" selected="0" defaultSubtotal="1">
            <x v="3"/>
          </reference>
        </references>
      </pivotArea>
    </format>
    <format dxfId="1926">
      <pivotArea field="43" grandRow="1" outline="0" collapsedLevelsAreSubtotals="1" axis="axisCol" fieldPosition="0">
        <references count="2">
          <reference field="4294967294" count="1" selected="0">
            <x v="6"/>
          </reference>
          <reference field="43" count="1" selected="0" defaultSubtotal="1">
            <x v="4"/>
          </reference>
        </references>
      </pivotArea>
    </format>
    <format dxfId="1925">
      <pivotArea field="43" grandRow="1" outline="0" collapsedLevelsAreSubtotals="1" axis="axisCol" fieldPosition="0">
        <references count="2">
          <reference field="4294967294" count="1" selected="0">
            <x v="6"/>
          </reference>
          <reference field="43" count="2" selected="0" defaultSubtotal="1">
            <x v="0"/>
            <x v="1"/>
          </reference>
        </references>
      </pivotArea>
    </format>
    <format dxfId="1924">
      <pivotArea field="43" grandRow="1" outline="0" collapsedLevelsAreSubtotals="1" axis="axisCol" fieldPosition="0">
        <references count="3">
          <reference field="4294967294" count="1" selected="0">
            <x v="6"/>
          </reference>
          <reference field="4" count="1" selected="0">
            <x v="11"/>
          </reference>
          <reference field="43" count="1" selected="0">
            <x v="3"/>
          </reference>
        </references>
      </pivotArea>
    </format>
    <format dxfId="1923">
      <pivotArea outline="0" collapsedLevelsAreSubtotals="1" fieldPosition="0">
        <references count="1">
          <reference field="43" count="3" selected="0" defaultSubtotal="1">
            <x v="0"/>
            <x v="1"/>
            <x v="3"/>
          </reference>
        </references>
      </pivotArea>
    </format>
    <format dxfId="1922">
      <pivotArea field="0" grandRow="1" outline="0" collapsedLevelsAreSubtotals="1" axis="axisRow" fieldPosition="0">
        <references count="1">
          <reference field="4294967294" count="1" selected="0">
            <x v="6"/>
          </reference>
        </references>
      </pivotArea>
    </format>
    <format dxfId="1921">
      <pivotArea field="0" dataOnly="0" labelOnly="1" grandRow="1" outline="0" offset="IV256" axis="axisRow" fieldPosition="0">
        <references count="1">
          <reference field="4294967294" count="1" selected="0">
            <x v="0"/>
          </reference>
        </references>
      </pivotArea>
    </format>
    <format dxfId="1920">
      <pivotArea field="0" dataOnly="0" labelOnly="1" grandRow="1" outline="0" offset="IV256" axis="axisRow" fieldPosition="0">
        <references count="1">
          <reference field="4294967294" count="1" selected="0">
            <x v="1"/>
          </reference>
        </references>
      </pivotArea>
    </format>
    <format dxfId="1919">
      <pivotArea field="0" dataOnly="0" labelOnly="1" grandRow="1" outline="0" offset="IV256" axis="axisRow" fieldPosition="0">
        <references count="1">
          <reference field="4294967294" count="1" selected="0">
            <x v="2"/>
          </reference>
        </references>
      </pivotArea>
    </format>
    <format dxfId="1918">
      <pivotArea field="0" dataOnly="0" labelOnly="1" grandRow="1" outline="0" offset="IV256" axis="axisRow" fieldPosition="0">
        <references count="1">
          <reference field="4294967294" count="1" selected="0">
            <x v="3"/>
          </reference>
        </references>
      </pivotArea>
    </format>
    <format dxfId="1917">
      <pivotArea field="0" dataOnly="0" labelOnly="1" grandRow="1" outline="0" offset="IV256" axis="axisRow" fieldPosition="0">
        <references count="1">
          <reference field="4294967294" count="1" selected="0">
            <x v="4"/>
          </reference>
        </references>
      </pivotArea>
    </format>
    <format dxfId="1916">
      <pivotArea field="0" dataOnly="0" labelOnly="1" grandRow="1" outline="0" offset="IV256" axis="axisRow" fieldPosition="0">
        <references count="1">
          <reference field="4294967294" count="1" selected="0">
            <x v="5"/>
          </reference>
        </references>
      </pivotArea>
    </format>
    <format dxfId="1915">
      <pivotArea field="0" dataOnly="0" labelOnly="1" grandRow="1" outline="0" offset="IV256" axis="axisRow" fieldPosition="0">
        <references count="1">
          <reference field="4294967294" count="1" selected="0">
            <x v="6"/>
          </reference>
        </references>
      </pivotArea>
    </format>
    <format dxfId="1914">
      <pivotArea outline="0" collapsedLevelsAreSubtotals="1" fieldPosition="0">
        <references count="3">
          <reference field="4294967294" count="1" selected="0">
            <x v="2"/>
          </reference>
          <reference field="0" count="1" selected="0">
            <x v="4"/>
          </reference>
          <reference field="43" count="3" selected="0" defaultSubtotal="1">
            <x v="0"/>
            <x v="1"/>
            <x v="2"/>
          </reference>
        </references>
      </pivotArea>
    </format>
    <format dxfId="1913">
      <pivotArea outline="0" collapsedLevelsAreSubtotals="1" fieldPosition="0">
        <references count="4">
          <reference field="4294967294" count="1" selected="0">
            <x v="2"/>
          </reference>
          <reference field="0" count="1" selected="0">
            <x v="4"/>
          </reference>
          <reference field="4" count="1" selected="0">
            <x v="11"/>
          </reference>
          <reference field="43" count="1" selected="0">
            <x v="3"/>
          </reference>
        </references>
      </pivotArea>
    </format>
    <format dxfId="1912">
      <pivotArea outline="0" collapsedLevelsAreSubtotals="1" fieldPosition="0">
        <references count="3">
          <reference field="4294967294" count="2" selected="0">
            <x v="5"/>
            <x v="6"/>
          </reference>
          <reference field="0" count="1" selected="0">
            <x v="4"/>
          </reference>
          <reference field="43" count="3" selected="0" defaultSubtotal="1">
            <x v="0"/>
            <x v="1"/>
            <x v="2"/>
          </reference>
        </references>
      </pivotArea>
    </format>
    <format dxfId="1911">
      <pivotArea outline="0" collapsedLevelsAreSubtotals="1" fieldPosition="0">
        <references count="4">
          <reference field="4294967294" count="2" selected="0">
            <x v="5"/>
            <x v="6"/>
          </reference>
          <reference field="0" count="1" selected="0">
            <x v="4"/>
          </reference>
          <reference field="4" count="1" selected="0">
            <x v="11"/>
          </reference>
          <reference field="43" count="1" selected="0">
            <x v="3"/>
          </reference>
        </references>
      </pivotArea>
    </format>
    <format dxfId="1910">
      <pivotArea outline="0" collapsedLevelsAreSubtotals="1" fieldPosition="0">
        <references count="2">
          <reference field="4" count="1" selected="0">
            <x v="12"/>
          </reference>
          <reference field="43" count="1" selected="0">
            <x v="3"/>
          </reference>
        </references>
      </pivotArea>
    </format>
    <format dxfId="1909">
      <pivotArea outline="0" collapsedLevelsAreSubtotals="1" fieldPosition="0">
        <references count="1">
          <reference field="43" count="1" selected="0" defaultSubtotal="1">
            <x v="3"/>
          </reference>
        </references>
      </pivotArea>
    </format>
    <format dxfId="1908">
      <pivotArea outline="0" collapsedLevelsAreSubtotals="1" fieldPosition="0">
        <references count="4">
          <reference field="4294967294" count="1" selected="0">
            <x v="6"/>
          </reference>
          <reference field="0" count="1" selected="0">
            <x v="0"/>
          </reference>
          <reference field="4" count="1" selected="0">
            <x v="12"/>
          </reference>
          <reference field="43" count="1" selected="0">
            <x v="3"/>
          </reference>
        </references>
      </pivotArea>
    </format>
    <format dxfId="1907">
      <pivotArea outline="0" collapsedLevelsAreSubtotals="1" fieldPosition="0">
        <references count="4">
          <reference field="4294967294" count="1" selected="0">
            <x v="6"/>
          </reference>
          <reference field="0" count="1" selected="0">
            <x v="4"/>
          </reference>
          <reference field="4" count="2" selected="0">
            <x v="6"/>
            <x v="7"/>
          </reference>
          <reference field="43" count="1" selected="0">
            <x v="1"/>
          </reference>
        </references>
      </pivotArea>
    </format>
    <format dxfId="1906">
      <pivotArea outline="0" collapsedLevelsAreSubtotals="1" fieldPosition="0">
        <references count="4">
          <reference field="4294967294" count="1" selected="0">
            <x v="6"/>
          </reference>
          <reference field="0" count="1" selected="0">
            <x v="5"/>
          </reference>
          <reference field="4" count="2" selected="0">
            <x v="8"/>
            <x v="9"/>
          </reference>
          <reference field="43" count="1" selected="0">
            <x v="1"/>
          </reference>
        </references>
      </pivotArea>
    </format>
    <format dxfId="1905">
      <pivotArea outline="0" collapsedLevelsAreSubtotals="1" fieldPosition="0">
        <references count="4">
          <reference field="4294967294" count="1" selected="0">
            <x v="6"/>
          </reference>
          <reference field="0" count="1" selected="0">
            <x v="10"/>
          </reference>
          <reference field="4" count="1" selected="0">
            <x v="8"/>
          </reference>
          <reference field="43" count="1" selected="0">
            <x v="1"/>
          </reference>
        </references>
      </pivotArea>
    </format>
    <format dxfId="1904">
      <pivotArea outline="0" collapsedLevelsAreSubtotals="1" fieldPosition="0">
        <references count="4">
          <reference field="4294967294" count="1" selected="0">
            <x v="6"/>
          </reference>
          <reference field="0" count="1" selected="0">
            <x v="13"/>
          </reference>
          <reference field="4" count="1" selected="0">
            <x v="10"/>
          </reference>
          <reference field="43" count="1" selected="0">
            <x v="2"/>
          </reference>
        </references>
      </pivotArea>
    </format>
    <format dxfId="1903">
      <pivotArea outline="0" collapsedLevelsAreSubtotals="1" fieldPosition="0">
        <references count="4">
          <reference field="4294967294" count="1" selected="0">
            <x v="6"/>
          </reference>
          <reference field="0" count="1" selected="0">
            <x v="14"/>
          </reference>
          <reference field="4" count="1" selected="0">
            <x v="10"/>
          </reference>
          <reference field="43" count="1" selected="0">
            <x v="2"/>
          </reference>
        </references>
      </pivotArea>
    </format>
    <format dxfId="1902">
      <pivotArea field="0" dataOnly="0" labelOnly="1" grandRow="1" outline="0" offset="A256" axis="axisRow" fieldPosition="0">
        <references count="1">
          <reference field="4294967294" count="1" selected="0">
            <x v="0"/>
          </reference>
        </references>
      </pivotArea>
    </format>
    <format dxfId="1901">
      <pivotArea field="0" dataOnly="0" labelOnly="1" grandRow="1" outline="0" offset="A256" axis="axisRow" fieldPosition="0">
        <references count="1">
          <reference field="4294967294" count="1" selected="0">
            <x v="1"/>
          </reference>
        </references>
      </pivotArea>
    </format>
    <format dxfId="1900">
      <pivotArea field="0" dataOnly="0" labelOnly="1" grandRow="1" outline="0" offset="A256" axis="axisRow" fieldPosition="0">
        <references count="1">
          <reference field="4294967294" count="1" selected="0">
            <x v="2"/>
          </reference>
        </references>
      </pivotArea>
    </format>
    <format dxfId="1899">
      <pivotArea field="0" dataOnly="0" labelOnly="1" grandRow="1" outline="0" offset="A256" axis="axisRow" fieldPosition="0">
        <references count="1">
          <reference field="4294967294" count="1" selected="0">
            <x v="3"/>
          </reference>
        </references>
      </pivotArea>
    </format>
    <format dxfId="1898">
      <pivotArea field="0" dataOnly="0" labelOnly="1" grandRow="1" outline="0" offset="A256" axis="axisRow" fieldPosition="0">
        <references count="1">
          <reference field="4294967294" count="1" selected="0">
            <x v="4"/>
          </reference>
        </references>
      </pivotArea>
    </format>
    <format dxfId="1897">
      <pivotArea field="0" dataOnly="0" labelOnly="1" grandRow="1" outline="0" offset="A256" axis="axisRow" fieldPosition="0">
        <references count="1">
          <reference field="4294967294" count="1" selected="0">
            <x v="5"/>
          </reference>
        </references>
      </pivotArea>
    </format>
    <format dxfId="1896">
      <pivotArea field="0" dataOnly="0" labelOnly="1" grandRow="1" outline="0" offset="A256" axis="axisRow" fieldPosition="0">
        <references count="1">
          <reference field="4294967294" count="1" selected="0">
            <x v="6"/>
          </reference>
        </references>
      </pivotArea>
    </format>
    <format dxfId="1895">
      <pivotArea field="43" grandRow="1" outline="0" collapsedLevelsAreSubtotals="1" axis="axisCol" fieldPosition="0">
        <references count="2">
          <reference field="4294967294" count="7" selected="0">
            <x v="0"/>
            <x v="1"/>
            <x v="2"/>
            <x v="3"/>
            <x v="4"/>
            <x v="5"/>
            <x v="6"/>
          </reference>
          <reference field="43" count="4" selected="0" defaultSubtotal="1">
            <x v="0"/>
            <x v="1"/>
            <x v="2"/>
            <x v="3"/>
          </reference>
        </references>
      </pivotArea>
    </format>
    <format dxfId="1894">
      <pivotArea field="0" dataOnly="0" labelOnly="1" grandRow="1" outline="0" axis="axisRow" fieldPosition="0">
        <references count="1">
          <reference field="4294967294" count="1" selected="0">
            <x v="0"/>
          </reference>
        </references>
      </pivotArea>
    </format>
    <format dxfId="1893">
      <pivotArea field="0" dataOnly="0" labelOnly="1" grandRow="1" outline="0" axis="axisRow" fieldPosition="0">
        <references count="1">
          <reference field="4294967294" count="1" selected="0">
            <x v="1"/>
          </reference>
        </references>
      </pivotArea>
    </format>
    <format dxfId="1892">
      <pivotArea field="0" dataOnly="0" labelOnly="1" grandRow="1" outline="0" axis="axisRow" fieldPosition="0">
        <references count="1">
          <reference field="4294967294" count="1" selected="0">
            <x v="2"/>
          </reference>
        </references>
      </pivotArea>
    </format>
    <format dxfId="1891">
      <pivotArea field="0" dataOnly="0" labelOnly="1" grandRow="1" outline="0" axis="axisRow" fieldPosition="0">
        <references count="1">
          <reference field="4294967294" count="1" selected="0">
            <x v="3"/>
          </reference>
        </references>
      </pivotArea>
    </format>
    <format dxfId="1890">
      <pivotArea field="0" dataOnly="0" labelOnly="1" grandRow="1" outline="0" axis="axisRow" fieldPosition="0">
        <references count="1">
          <reference field="4294967294" count="1" selected="0">
            <x v="4"/>
          </reference>
        </references>
      </pivotArea>
    </format>
    <format dxfId="1889">
      <pivotArea field="0" dataOnly="0" labelOnly="1" grandRow="1" outline="0" axis="axisRow" fieldPosition="0">
        <references count="1">
          <reference field="4294967294" count="1" selected="0">
            <x v="5"/>
          </reference>
        </references>
      </pivotArea>
    </format>
    <format dxfId="1888">
      <pivotArea field="0" dataOnly="0" labelOnly="1" grandRow="1" outline="0" axis="axisRow" fieldPosition="0">
        <references count="1">
          <reference field="4294967294" count="1" selected="0">
            <x v="6"/>
          </reference>
        </references>
      </pivotArea>
    </format>
    <format dxfId="1887">
      <pivotArea outline="0" collapsedLevelsAreSubtotals="1" fieldPosition="0">
        <references count="3">
          <reference field="4294967294" count="7" selected="0">
            <x v="0"/>
            <x v="1"/>
            <x v="2"/>
            <x v="3"/>
            <x v="4"/>
            <x v="5"/>
            <x v="6"/>
          </reference>
          <reference field="0" count="1" selected="0">
            <x v="12"/>
          </reference>
          <reference field="43" count="4" selected="0" defaultSubtotal="1">
            <x v="5"/>
            <x v="6"/>
            <x v="7"/>
            <x v="8"/>
          </reference>
        </references>
      </pivotArea>
    </format>
    <format dxfId="1886">
      <pivotArea outline="0" collapsedLevelsAreSubtotals="1" fieldPosition="0">
        <references count="4">
          <reference field="4294967294" count="1" selected="0">
            <x v="6"/>
          </reference>
          <reference field="0" count="1" selected="0">
            <x v="6"/>
          </reference>
          <reference field="4" count="4" selected="0">
            <x v="2"/>
            <x v="3"/>
            <x v="4"/>
            <x v="5"/>
          </reference>
          <reference field="43" count="1" selected="0">
            <x v="0"/>
          </reference>
        </references>
      </pivotArea>
    </format>
    <format dxfId="1885">
      <pivotArea outline="0" collapsedLevelsAreSubtotals="1" fieldPosition="0">
        <references count="4">
          <reference field="4294967294" count="1" selected="0">
            <x v="6"/>
          </reference>
          <reference field="0" count="1" selected="0">
            <x v="6"/>
          </reference>
          <reference field="4" count="1" selected="0">
            <x v="11"/>
          </reference>
          <reference field="43" count="1" selected="0">
            <x v="3"/>
          </reference>
        </references>
      </pivotArea>
    </format>
    <format dxfId="1884">
      <pivotArea outline="0" collapsedLevelsAreSubtotals="1" fieldPosition="0">
        <references count="4">
          <reference field="4294967294" count="1" selected="0">
            <x v="5"/>
          </reference>
          <reference field="0" count="1" selected="0">
            <x v="1"/>
          </reference>
          <reference field="4" count="1" selected="0">
            <x v="0"/>
          </reference>
          <reference field="43" count="1" selected="0">
            <x v="0"/>
          </reference>
        </references>
      </pivotArea>
    </format>
    <format dxfId="1883">
      <pivotArea outline="0" collapsedLevelsAreSubtotals="1" fieldPosition="0">
        <references count="4">
          <reference field="4294967294" count="1" selected="0">
            <x v="5"/>
          </reference>
          <reference field="0" count="1" selected="0">
            <x v="9"/>
          </reference>
          <reference field="4" count="1" selected="0">
            <x v="0"/>
          </reference>
          <reference field="43" count="1" selected="0">
            <x v="0"/>
          </reference>
        </references>
      </pivotArea>
    </format>
    <format dxfId="1882">
      <pivotArea outline="0" collapsedLevelsAreSubtotals="1" fieldPosition="0">
        <references count="4">
          <reference field="4294967294" count="1" selected="0">
            <x v="5"/>
          </reference>
          <reference field="0" count="1" selected="0">
            <x v="13"/>
          </reference>
          <reference field="4" count="1" selected="0">
            <x v="0"/>
          </reference>
          <reference field="43" count="1" selected="0">
            <x v="0"/>
          </reference>
        </references>
      </pivotArea>
    </format>
    <format dxfId="1881">
      <pivotArea outline="0" collapsedLevelsAreSubtotals="1" fieldPosition="0">
        <references count="4">
          <reference field="4294967294" count="1" selected="0">
            <x v="5"/>
          </reference>
          <reference field="0" count="1" selected="0">
            <x v="14"/>
          </reference>
          <reference field="4" count="1" selected="0">
            <x v="3"/>
          </reference>
          <reference field="43" count="1" selected="0">
            <x v="0"/>
          </reference>
        </references>
      </pivotArea>
    </format>
    <format dxfId="1880">
      <pivotArea outline="0" collapsedLevelsAreSubtotals="1" fieldPosition="0">
        <references count="4">
          <reference field="4294967294" count="1" selected="0">
            <x v="5"/>
          </reference>
          <reference field="0" count="1" selected="0">
            <x v="14"/>
          </reference>
          <reference field="4" count="1" selected="0">
            <x v="4"/>
          </reference>
          <reference field="43" count="1" selected="0">
            <x v="0"/>
          </reference>
        </references>
      </pivotArea>
    </format>
    <format dxfId="1879">
      <pivotArea outline="0" collapsedLevelsAreSubtotals="1" fieldPosition="0">
        <references count="4">
          <reference field="4294967294" count="1" selected="0">
            <x v="5"/>
          </reference>
          <reference field="0" count="1" selected="0">
            <x v="14"/>
          </reference>
          <reference field="4" count="1" selected="0">
            <x v="5"/>
          </reference>
          <reference field="43" count="1" selected="0">
            <x v="0"/>
          </reference>
        </references>
      </pivotArea>
    </format>
    <format dxfId="1878">
      <pivotArea outline="0" collapsedLevelsAreSubtotals="1" fieldPosition="0">
        <references count="4">
          <reference field="4294967294" count="1" selected="0">
            <x v="5"/>
          </reference>
          <reference field="0" count="1" selected="0">
            <x v="15"/>
          </reference>
          <reference field="4" count="1" selected="0">
            <x v="4"/>
          </reference>
          <reference field="43" count="1" selected="0">
            <x v="0"/>
          </reference>
        </references>
      </pivotArea>
    </format>
    <format dxfId="1877">
      <pivotArea outline="0" collapsedLevelsAreSubtotals="1" fieldPosition="0">
        <references count="4">
          <reference field="4294967294" count="1" selected="0">
            <x v="2"/>
          </reference>
          <reference field="0" count="1" selected="0">
            <x v="15"/>
          </reference>
          <reference field="4" count="1" selected="0">
            <x v="4"/>
          </reference>
          <reference field="43" count="1" selected="0">
            <x v="0"/>
          </reference>
        </references>
      </pivotArea>
    </format>
    <format dxfId="1876">
      <pivotArea outline="0" collapsedLevelsAreSubtotals="1" fieldPosition="0">
        <references count="3">
          <reference field="4294967294" count="7" selected="0">
            <x v="0"/>
            <x v="1"/>
            <x v="2"/>
            <x v="3"/>
            <x v="4"/>
            <x v="5"/>
            <x v="6"/>
          </reference>
          <reference field="0" count="0" selected="0"/>
          <reference field="43" count="4" selected="0" defaultSubtotal="1">
            <x v="0"/>
            <x v="1"/>
            <x v="2"/>
            <x v="3"/>
          </reference>
        </references>
      </pivotArea>
    </format>
    <format dxfId="1875">
      <pivotArea field="43" type="button" dataOnly="0" labelOnly="1" outline="0" axis="axisCol" fieldPosition="0"/>
    </format>
    <format dxfId="1874">
      <pivotArea field="4" type="button" dataOnly="0" labelOnly="1" outline="0" axis="axisCol" fieldPosition="1"/>
    </format>
    <format dxfId="1873">
      <pivotArea type="topRight" dataOnly="0" labelOnly="1" outline="0" fieldPosition="0"/>
    </format>
    <format dxfId="1872">
      <pivotArea dataOnly="0" labelOnly="1" outline="0" fieldPosition="0">
        <references count="1">
          <reference field="43" count="4">
            <x v="0"/>
            <x v="1"/>
            <x v="2"/>
            <x v="3"/>
          </reference>
        </references>
      </pivotArea>
    </format>
    <format dxfId="1871">
      <pivotArea dataOnly="0" labelOnly="1" outline="0" fieldPosition="0">
        <references count="1">
          <reference field="43" count="4" defaultSubtotal="1">
            <x v="0"/>
            <x v="1"/>
            <x v="2"/>
            <x v="3"/>
          </reference>
        </references>
      </pivotArea>
    </format>
    <format dxfId="1870">
      <pivotArea dataOnly="0" labelOnly="1" outline="0" fieldPosition="0">
        <references count="2">
          <reference field="4" count="6">
            <x v="0"/>
            <x v="1"/>
            <x v="2"/>
            <x v="3"/>
            <x v="4"/>
            <x v="5"/>
          </reference>
          <reference field="43" count="1" selected="0">
            <x v="0"/>
          </reference>
        </references>
      </pivotArea>
    </format>
    <format dxfId="1869">
      <pivotArea dataOnly="0" labelOnly="1" outline="0" fieldPosition="0">
        <references count="2">
          <reference field="4" count="4">
            <x v="6"/>
            <x v="7"/>
            <x v="8"/>
            <x v="9"/>
          </reference>
          <reference field="43" count="1" selected="0">
            <x v="1"/>
          </reference>
        </references>
      </pivotArea>
    </format>
    <format dxfId="1868">
      <pivotArea dataOnly="0" labelOnly="1" outline="0" fieldPosition="0">
        <references count="2">
          <reference field="4" count="1">
            <x v="10"/>
          </reference>
          <reference field="43" count="1" selected="0">
            <x v="2"/>
          </reference>
        </references>
      </pivotArea>
    </format>
    <format dxfId="1867">
      <pivotArea dataOnly="0" labelOnly="1" outline="0" fieldPosition="0">
        <references count="2">
          <reference field="4" count="2">
            <x v="11"/>
            <x v="12"/>
          </reference>
          <reference field="43" count="1" selected="0">
            <x v="3"/>
          </reference>
        </references>
      </pivotArea>
    </format>
    <format dxfId="1866">
      <pivotArea outline="0" collapsedLevelsAreSubtotals="1" fieldPosition="0">
        <references count="4">
          <reference field="4294967294" count="1" selected="0">
            <x v="6"/>
          </reference>
          <reference field="0" count="1" selected="0">
            <x v="0"/>
          </reference>
          <reference field="4" count="1" selected="0">
            <x v="4"/>
          </reference>
          <reference field="43" count="1" selected="0">
            <x v="0"/>
          </reference>
        </references>
      </pivotArea>
    </format>
    <format dxfId="1865">
      <pivotArea outline="0" collapsedLevelsAreSubtotals="1" fieldPosition="0">
        <references count="4">
          <reference field="4294967294" count="1" selected="0">
            <x v="6"/>
          </reference>
          <reference field="0" count="1" selected="0">
            <x v="1"/>
          </reference>
          <reference field="4" count="1" selected="0">
            <x v="9"/>
          </reference>
          <reference field="43" count="1" selected="0">
            <x v="1"/>
          </reference>
        </references>
      </pivotArea>
    </format>
    <format dxfId="1864">
      <pivotArea outline="0" collapsedLevelsAreSubtotals="1" fieldPosition="0">
        <references count="4">
          <reference field="4294967294" count="1" selected="0">
            <x v="6"/>
          </reference>
          <reference field="0" count="1" selected="0">
            <x v="1"/>
          </reference>
          <reference field="4" count="1" selected="0">
            <x v="8"/>
          </reference>
          <reference field="43" count="1" selected="0">
            <x v="1"/>
          </reference>
        </references>
      </pivotArea>
    </format>
    <format dxfId="1863">
      <pivotArea outline="0" collapsedLevelsAreSubtotals="1" fieldPosition="0">
        <references count="4">
          <reference field="4294967294" count="1" selected="0">
            <x v="6"/>
          </reference>
          <reference field="0" count="1" selected="0">
            <x v="1"/>
          </reference>
          <reference field="4" count="1" selected="0">
            <x v="7"/>
          </reference>
          <reference field="43" count="1" selected="0">
            <x v="1"/>
          </reference>
        </references>
      </pivotArea>
    </format>
    <format dxfId="1862">
      <pivotArea outline="0" collapsedLevelsAreSubtotals="1" fieldPosition="0">
        <references count="4">
          <reference field="4294967294" count="1" selected="0">
            <x v="6"/>
          </reference>
          <reference field="0" count="1" selected="0">
            <x v="6"/>
          </reference>
          <reference field="4" count="2" selected="0">
            <x v="8"/>
            <x v="9"/>
          </reference>
          <reference field="43" count="1" selected="0">
            <x v="1"/>
          </reference>
        </references>
      </pivotArea>
    </format>
    <format dxfId="1861">
      <pivotArea outline="0" collapsedLevelsAreSubtotals="1" fieldPosition="0">
        <references count="4">
          <reference field="4294967294" count="1" selected="0">
            <x v="6"/>
          </reference>
          <reference field="0" count="1" selected="0">
            <x v="6"/>
          </reference>
          <reference field="4" count="1" selected="0">
            <x v="2"/>
          </reference>
          <reference field="43" count="1" selected="0">
            <x v="0"/>
          </reference>
        </references>
      </pivotArea>
    </format>
    <format dxfId="1860">
      <pivotArea outline="0" collapsedLevelsAreSubtotals="1" fieldPosition="0">
        <references count="4">
          <reference field="4294967294" count="1" selected="0">
            <x v="6"/>
          </reference>
          <reference field="0" count="1" selected="0">
            <x v="10"/>
          </reference>
          <reference field="4" count="1" selected="0">
            <x v="9"/>
          </reference>
          <reference field="43" count="1" selected="0">
            <x v="1"/>
          </reference>
        </references>
      </pivotArea>
    </format>
    <format dxfId="1859">
      <pivotArea outline="0" collapsedLevelsAreSubtotals="1" fieldPosition="0">
        <references count="4">
          <reference field="4294967294" count="1" selected="0">
            <x v="6"/>
          </reference>
          <reference field="0" count="1" selected="0">
            <x v="11"/>
          </reference>
          <reference field="4" count="1" selected="0">
            <x v="8"/>
          </reference>
          <reference field="43" count="1" selected="0">
            <x v="1"/>
          </reference>
        </references>
      </pivotArea>
    </format>
    <format dxfId="1858">
      <pivotArea outline="0" collapsedLevelsAreSubtotals="1" fieldPosition="0">
        <references count="4">
          <reference field="4294967294" count="1" selected="0">
            <x v="6"/>
          </reference>
          <reference field="0" count="1" selected="0">
            <x v="12"/>
          </reference>
          <reference field="4" count="1" selected="0">
            <x v="8"/>
          </reference>
          <reference field="43" count="1" selected="0">
            <x v="1"/>
          </reference>
        </references>
      </pivotArea>
    </format>
    <format dxfId="1857">
      <pivotArea outline="0" collapsedLevelsAreSubtotals="1" fieldPosition="0">
        <references count="4">
          <reference field="4294967294" count="1" selected="0">
            <x v="6"/>
          </reference>
          <reference field="0" count="1" selected="0">
            <x v="13"/>
          </reference>
          <reference field="4" count="1" selected="0">
            <x v="9"/>
          </reference>
          <reference field="43" count="1" selected="0">
            <x v="1"/>
          </reference>
        </references>
      </pivotArea>
    </format>
    <format dxfId="1856">
      <pivotArea outline="0" collapsedLevelsAreSubtotals="1" fieldPosition="0">
        <references count="4">
          <reference field="4294967294" count="1" selected="0">
            <x v="6"/>
          </reference>
          <reference field="0" count="1" selected="0">
            <x v="14"/>
          </reference>
          <reference field="4" count="2" selected="0">
            <x v="8"/>
            <x v="9"/>
          </reference>
          <reference field="43" count="1" selected="0">
            <x v="1"/>
          </reference>
        </references>
      </pivotArea>
    </format>
    <format dxfId="1855">
      <pivotArea outline="0" collapsedLevelsAreSubtotals="1" fieldPosition="0">
        <references count="4">
          <reference field="4294967294" count="1" selected="0">
            <x v="6"/>
          </reference>
          <reference field="0" count="1" selected="0">
            <x v="0"/>
          </reference>
          <reference field="4" count="1" selected="0">
            <x v="4"/>
          </reference>
          <reference field="43" count="1" selected="0">
            <x v="0"/>
          </reference>
        </references>
      </pivotArea>
    </format>
    <format dxfId="1854">
      <pivotArea outline="0" collapsedLevelsAreSubtotals="1" fieldPosition="0">
        <references count="4">
          <reference field="4294967294" count="1" selected="0">
            <x v="6"/>
          </reference>
          <reference field="0" count="1" selected="0">
            <x v="0"/>
          </reference>
          <reference field="4" count="1" selected="0">
            <x v="3"/>
          </reference>
          <reference field="43" count="1" selected="0">
            <x v="0"/>
          </reference>
        </references>
      </pivotArea>
    </format>
    <format dxfId="1853">
      <pivotArea outline="0" collapsedLevelsAreSubtotals="1" fieldPosition="0">
        <references count="4">
          <reference field="4294967294" count="1" selected="0">
            <x v="6"/>
          </reference>
          <reference field="0" count="1" selected="0">
            <x v="0"/>
          </reference>
          <reference field="4" count="1" selected="0">
            <x v="12"/>
          </reference>
          <reference field="43" count="1" selected="0">
            <x v="3"/>
          </reference>
        </references>
      </pivotArea>
    </format>
    <format dxfId="1852">
      <pivotArea outline="0" collapsedLevelsAreSubtotals="1" fieldPosition="0">
        <references count="1">
          <reference field="43" count="4" selected="0" defaultSubtotal="1">
            <x v="0"/>
            <x v="1"/>
            <x v="2"/>
            <x v="3"/>
          </reference>
        </references>
      </pivotArea>
    </format>
    <format dxfId="1851">
      <pivotArea type="origin" dataOnly="0" labelOnly="1" outline="0" fieldPosition="0"/>
    </format>
    <format dxfId="1850">
      <pivotArea field="43" type="button" dataOnly="0" labelOnly="1" outline="0" axis="axisCol" fieldPosition="0"/>
    </format>
    <format dxfId="1849">
      <pivotArea field="4" type="button" dataOnly="0" labelOnly="1" outline="0" axis="axisCol" fieldPosition="1"/>
    </format>
    <format dxfId="1848">
      <pivotArea type="topRight" dataOnly="0" labelOnly="1" outline="0" offset="A1:O1" fieldPosition="0"/>
    </format>
    <format dxfId="1847">
      <pivotArea field="0" type="button" dataOnly="0" labelOnly="1" outline="0" axis="axisRow" fieldPosition="0"/>
    </format>
    <format dxfId="1846">
      <pivotArea field="-2" type="button" dataOnly="0" labelOnly="1" outline="0" axis="axisRow" fieldPosition="1"/>
    </format>
    <format dxfId="1845">
      <pivotArea dataOnly="0" labelOnly="1" outline="0" fieldPosition="0">
        <references count="1">
          <reference field="0" count="0"/>
        </references>
      </pivotArea>
    </format>
    <format dxfId="1844">
      <pivotArea field="0" dataOnly="0" labelOnly="1" grandRow="1" outline="0" axis="axisRow" fieldPosition="0">
        <references count="1">
          <reference field="4294967294" count="1" selected="0">
            <x v="0"/>
          </reference>
        </references>
      </pivotArea>
    </format>
    <format dxfId="1843">
      <pivotArea field="0" dataOnly="0" labelOnly="1" grandRow="1" outline="0" axis="axisRow" fieldPosition="0">
        <references count="1">
          <reference field="4294967294" count="1" selected="0">
            <x v="1"/>
          </reference>
        </references>
      </pivotArea>
    </format>
    <format dxfId="1842">
      <pivotArea field="0" dataOnly="0" labelOnly="1" grandRow="1" outline="0" axis="axisRow" fieldPosition="0">
        <references count="1">
          <reference field="4294967294" count="1" selected="0">
            <x v="2"/>
          </reference>
        </references>
      </pivotArea>
    </format>
    <format dxfId="1841">
      <pivotArea field="0" dataOnly="0" labelOnly="1" grandRow="1" outline="0" axis="axisRow" fieldPosition="0">
        <references count="1">
          <reference field="4294967294" count="1" selected="0">
            <x v="3"/>
          </reference>
        </references>
      </pivotArea>
    </format>
    <format dxfId="1840">
      <pivotArea field="0" dataOnly="0" labelOnly="1" grandRow="1" outline="0" axis="axisRow" fieldPosition="0">
        <references count="1">
          <reference field="4294967294" count="1" selected="0">
            <x v="4"/>
          </reference>
        </references>
      </pivotArea>
    </format>
    <format dxfId="1839">
      <pivotArea field="0" dataOnly="0" labelOnly="1" grandRow="1" outline="0" axis="axisRow" fieldPosition="0">
        <references count="1">
          <reference field="4294967294" count="1" selected="0">
            <x v="5"/>
          </reference>
        </references>
      </pivotArea>
    </format>
    <format dxfId="1838">
      <pivotArea field="0" dataOnly="0" labelOnly="1" grandRow="1" outline="0" axis="axisRow" fieldPosition="0">
        <references count="1">
          <reference field="4294967294" count="1" selected="0">
            <x v="6"/>
          </reference>
        </references>
      </pivotArea>
    </format>
    <format dxfId="1837">
      <pivotArea field="0" dataOnly="0" labelOnly="1" grandRow="1" outline="0" axis="axisRow" fieldPosition="0">
        <references count="1">
          <reference field="4294967294" count="1" selected="0">
            <x v="0"/>
          </reference>
        </references>
      </pivotArea>
    </format>
    <format dxfId="1836">
      <pivotArea field="0" dataOnly="0" labelOnly="1" grandRow="1" outline="0" axis="axisRow" fieldPosition="0">
        <references count="1">
          <reference field="4294967294" count="1" selected="0">
            <x v="1"/>
          </reference>
        </references>
      </pivotArea>
    </format>
    <format dxfId="1835">
      <pivotArea field="0" dataOnly="0" labelOnly="1" grandRow="1" outline="0" axis="axisRow" fieldPosition="0">
        <references count="1">
          <reference field="4294967294" count="1" selected="0">
            <x v="2"/>
          </reference>
        </references>
      </pivotArea>
    </format>
    <format dxfId="1834">
      <pivotArea field="0" dataOnly="0" labelOnly="1" grandRow="1" outline="0" axis="axisRow" fieldPosition="0">
        <references count="1">
          <reference field="4294967294" count="1" selected="0">
            <x v="3"/>
          </reference>
        </references>
      </pivotArea>
    </format>
    <format dxfId="1833">
      <pivotArea field="0" dataOnly="0" labelOnly="1" grandRow="1" outline="0" axis="axisRow" fieldPosition="0">
        <references count="1">
          <reference field="4294967294" count="1" selected="0">
            <x v="4"/>
          </reference>
        </references>
      </pivotArea>
    </format>
    <format dxfId="1832">
      <pivotArea field="0" dataOnly="0" labelOnly="1" grandRow="1" outline="0" axis="axisRow" fieldPosition="0">
        <references count="1">
          <reference field="4294967294" count="1" selected="0">
            <x v="5"/>
          </reference>
        </references>
      </pivotArea>
    </format>
    <format dxfId="1831">
      <pivotArea field="0" dataOnly="0" labelOnly="1" grandRow="1" outline="0" axis="axisRow" fieldPosition="0">
        <references count="1">
          <reference field="4294967294" count="1" selected="0">
            <x v="6"/>
          </reference>
        </references>
      </pivotArea>
    </format>
    <format dxfId="1830">
      <pivotArea field="0" dataOnly="0" labelOnly="1" grandRow="1" outline="0" axis="axisRow" fieldPosition="0">
        <references count="1">
          <reference field="4294967294" count="1" selected="0">
            <x v="0"/>
          </reference>
        </references>
      </pivotArea>
    </format>
    <format dxfId="1829">
      <pivotArea field="0" dataOnly="0" labelOnly="1" grandRow="1" outline="0" axis="axisRow" fieldPosition="0">
        <references count="1">
          <reference field="4294967294" count="1" selected="0">
            <x v="1"/>
          </reference>
        </references>
      </pivotArea>
    </format>
    <format dxfId="1828">
      <pivotArea field="0" dataOnly="0" labelOnly="1" grandRow="1" outline="0" axis="axisRow" fieldPosition="0">
        <references count="1">
          <reference field="4294967294" count="1" selected="0">
            <x v="2"/>
          </reference>
        </references>
      </pivotArea>
    </format>
    <format dxfId="1827">
      <pivotArea field="0" dataOnly="0" labelOnly="1" grandRow="1" outline="0" axis="axisRow" fieldPosition="0">
        <references count="1">
          <reference field="4294967294" count="1" selected="0">
            <x v="3"/>
          </reference>
        </references>
      </pivotArea>
    </format>
    <format dxfId="1826">
      <pivotArea field="0" dataOnly="0" labelOnly="1" grandRow="1" outline="0" axis="axisRow" fieldPosition="0">
        <references count="1">
          <reference field="4294967294" count="1" selected="0">
            <x v="4"/>
          </reference>
        </references>
      </pivotArea>
    </format>
    <format dxfId="1825">
      <pivotArea field="0" dataOnly="0" labelOnly="1" grandRow="1" outline="0" axis="axisRow" fieldPosition="0">
        <references count="1">
          <reference field="4294967294" count="1" selected="0">
            <x v="5"/>
          </reference>
        </references>
      </pivotArea>
    </format>
    <format dxfId="1824">
      <pivotArea field="0" dataOnly="0" labelOnly="1" grandRow="1" outline="0" axis="axisRow" fieldPosition="0">
        <references count="1">
          <reference field="4294967294" count="1" selected="0">
            <x v="6"/>
          </reference>
        </references>
      </pivotArea>
    </format>
    <format dxfId="1823">
      <pivotArea field="0" dataOnly="0" labelOnly="1" grandRow="1" outline="0" axis="axisRow" fieldPosition="0">
        <references count="1">
          <reference field="4294967294" count="1" selected="0">
            <x v="0"/>
          </reference>
        </references>
      </pivotArea>
    </format>
    <format dxfId="1822">
      <pivotArea field="0" dataOnly="0" labelOnly="1" grandRow="1" outline="0" axis="axisRow" fieldPosition="0">
        <references count="1">
          <reference field="4294967294" count="1" selected="0">
            <x v="1"/>
          </reference>
        </references>
      </pivotArea>
    </format>
    <format dxfId="1821">
      <pivotArea field="0" dataOnly="0" labelOnly="1" grandRow="1" outline="0" axis="axisRow" fieldPosition="0">
        <references count="1">
          <reference field="4294967294" count="1" selected="0">
            <x v="2"/>
          </reference>
        </references>
      </pivotArea>
    </format>
    <format dxfId="1820">
      <pivotArea field="0" dataOnly="0" labelOnly="1" grandRow="1" outline="0" axis="axisRow" fieldPosition="0">
        <references count="1">
          <reference field="4294967294" count="1" selected="0">
            <x v="3"/>
          </reference>
        </references>
      </pivotArea>
    </format>
    <format dxfId="1819">
      <pivotArea field="0" dataOnly="0" labelOnly="1" grandRow="1" outline="0" axis="axisRow" fieldPosition="0">
        <references count="1">
          <reference field="4294967294" count="1" selected="0">
            <x v="4"/>
          </reference>
        </references>
      </pivotArea>
    </format>
    <format dxfId="1818">
      <pivotArea field="0" dataOnly="0" labelOnly="1" grandRow="1" outline="0" axis="axisRow" fieldPosition="0">
        <references count="1">
          <reference field="4294967294" count="1" selected="0">
            <x v="5"/>
          </reference>
        </references>
      </pivotArea>
    </format>
    <format dxfId="1817">
      <pivotArea field="0" dataOnly="0" labelOnly="1" grandRow="1" outline="0" axis="axisRow" fieldPosition="0">
        <references count="1">
          <reference field="4294967294" count="1" selected="0">
            <x v="6"/>
          </reference>
        </references>
      </pivotArea>
    </format>
    <format dxfId="1816">
      <pivotArea field="0" dataOnly="0" labelOnly="1" grandRow="1" outline="0" axis="axisRow" fieldPosition="0">
        <references count="1">
          <reference field="4294967294" count="1" selected="0">
            <x v="0"/>
          </reference>
        </references>
      </pivotArea>
    </format>
    <format dxfId="1815">
      <pivotArea field="0" dataOnly="0" labelOnly="1" grandRow="1" outline="0" axis="axisRow" fieldPosition="0">
        <references count="1">
          <reference field="4294967294" count="1" selected="0">
            <x v="1"/>
          </reference>
        </references>
      </pivotArea>
    </format>
    <format dxfId="1814">
      <pivotArea field="0" dataOnly="0" labelOnly="1" grandRow="1" outline="0" axis="axisRow" fieldPosition="0">
        <references count="1">
          <reference field="4294967294" count="1" selected="0">
            <x v="2"/>
          </reference>
        </references>
      </pivotArea>
    </format>
    <format dxfId="1813">
      <pivotArea field="0" dataOnly="0" labelOnly="1" grandRow="1" outline="0" axis="axisRow" fieldPosition="0">
        <references count="1">
          <reference field="4294967294" count="1" selected="0">
            <x v="3"/>
          </reference>
        </references>
      </pivotArea>
    </format>
    <format dxfId="1812">
      <pivotArea field="0" dataOnly="0" labelOnly="1" grandRow="1" outline="0" axis="axisRow" fieldPosition="0">
        <references count="1">
          <reference field="4294967294" count="1" selected="0">
            <x v="4"/>
          </reference>
        </references>
      </pivotArea>
    </format>
    <format dxfId="1811">
      <pivotArea field="0" dataOnly="0" labelOnly="1" grandRow="1" outline="0" axis="axisRow" fieldPosition="0">
        <references count="1">
          <reference field="4294967294" count="1" selected="0">
            <x v="5"/>
          </reference>
        </references>
      </pivotArea>
    </format>
    <format dxfId="1810">
      <pivotArea field="0" dataOnly="0" labelOnly="1" grandRow="1" outline="0" axis="axisRow" fieldPosition="0">
        <references count="1">
          <reference field="4294967294" count="1" selected="0">
            <x v="6"/>
          </reference>
        </references>
      </pivotArea>
    </format>
    <format dxfId="1809">
      <pivotArea field="0" dataOnly="0" labelOnly="1" grandRow="1" outline="0" axis="axisRow" fieldPosition="0">
        <references count="1">
          <reference field="4294967294" count="1" selected="0">
            <x v="0"/>
          </reference>
        </references>
      </pivotArea>
    </format>
    <format dxfId="1808">
      <pivotArea field="0" dataOnly="0" labelOnly="1" grandRow="1" outline="0" axis="axisRow" fieldPosition="0">
        <references count="1">
          <reference field="4294967294" count="1" selected="0">
            <x v="1"/>
          </reference>
        </references>
      </pivotArea>
    </format>
    <format dxfId="1807">
      <pivotArea field="0" dataOnly="0" labelOnly="1" grandRow="1" outline="0" axis="axisRow" fieldPosition="0">
        <references count="1">
          <reference field="4294967294" count="1" selected="0">
            <x v="2"/>
          </reference>
        </references>
      </pivotArea>
    </format>
    <format dxfId="1806">
      <pivotArea field="0" dataOnly="0" labelOnly="1" grandRow="1" outline="0" axis="axisRow" fieldPosition="0">
        <references count="1">
          <reference field="4294967294" count="1" selected="0">
            <x v="3"/>
          </reference>
        </references>
      </pivotArea>
    </format>
    <format dxfId="1805">
      <pivotArea field="0" dataOnly="0" labelOnly="1" grandRow="1" outline="0" axis="axisRow" fieldPosition="0">
        <references count="1">
          <reference field="4294967294" count="1" selected="0">
            <x v="4"/>
          </reference>
        </references>
      </pivotArea>
    </format>
    <format dxfId="1804">
      <pivotArea field="0" dataOnly="0" labelOnly="1" grandRow="1" outline="0" axis="axisRow" fieldPosition="0">
        <references count="1">
          <reference field="4294967294" count="1" selected="0">
            <x v="5"/>
          </reference>
        </references>
      </pivotArea>
    </format>
    <format dxfId="1803">
      <pivotArea field="0" dataOnly="0" labelOnly="1" grandRow="1" outline="0" axis="axisRow" fieldPosition="0">
        <references count="1">
          <reference field="4294967294" count="1" selected="0">
            <x v="6"/>
          </reference>
        </references>
      </pivotArea>
    </format>
    <format dxfId="1802">
      <pivotArea field="0" dataOnly="0" labelOnly="1" grandRow="1" outline="0" axis="axisRow" fieldPosition="0">
        <references count="1">
          <reference field="4294967294" count="1" selected="0">
            <x v="0"/>
          </reference>
        </references>
      </pivotArea>
    </format>
    <format dxfId="1801">
      <pivotArea field="0" dataOnly="0" labelOnly="1" grandRow="1" outline="0" axis="axisRow" fieldPosition="0">
        <references count="1">
          <reference field="4294967294" count="1" selected="0">
            <x v="1"/>
          </reference>
        </references>
      </pivotArea>
    </format>
    <format dxfId="1800">
      <pivotArea field="0" dataOnly="0" labelOnly="1" grandRow="1" outline="0" axis="axisRow" fieldPosition="0">
        <references count="1">
          <reference field="4294967294" count="1" selected="0">
            <x v="2"/>
          </reference>
        </references>
      </pivotArea>
    </format>
    <format dxfId="1799">
      <pivotArea field="0" dataOnly="0" labelOnly="1" grandRow="1" outline="0" axis="axisRow" fieldPosition="0">
        <references count="1">
          <reference field="4294967294" count="1" selected="0">
            <x v="3"/>
          </reference>
        </references>
      </pivotArea>
    </format>
    <format dxfId="1798">
      <pivotArea field="0" dataOnly="0" labelOnly="1" grandRow="1" outline="0" axis="axisRow" fieldPosition="0">
        <references count="1">
          <reference field="4294967294" count="1" selected="0">
            <x v="4"/>
          </reference>
        </references>
      </pivotArea>
    </format>
    <format dxfId="1797">
      <pivotArea field="0" dataOnly="0" labelOnly="1" grandRow="1" outline="0" axis="axisRow" fieldPosition="0">
        <references count="1">
          <reference field="4294967294" count="1" selected="0">
            <x v="5"/>
          </reference>
        </references>
      </pivotArea>
    </format>
    <format dxfId="1796">
      <pivotArea field="0" dataOnly="0" labelOnly="1" grandRow="1" outline="0" axis="axisRow" fieldPosition="0">
        <references count="1">
          <reference field="4294967294" count="1" selected="0">
            <x v="6"/>
          </reference>
        </references>
      </pivotArea>
    </format>
    <format dxfId="1795">
      <pivotArea dataOnly="0" labelOnly="1" outline="0" fieldPosition="0">
        <references count="2">
          <reference field="4294967294" count="7">
            <x v="0"/>
            <x v="1"/>
            <x v="2"/>
            <x v="3"/>
            <x v="4"/>
            <x v="5"/>
            <x v="6"/>
          </reference>
          <reference field="0" count="1" selected="0">
            <x v="0"/>
          </reference>
        </references>
      </pivotArea>
    </format>
    <format dxfId="1794">
      <pivotArea dataOnly="0" labelOnly="1" outline="0" fieldPosition="0">
        <references count="2">
          <reference field="4294967294" count="7">
            <x v="0"/>
            <x v="1"/>
            <x v="2"/>
            <x v="3"/>
            <x v="4"/>
            <x v="5"/>
            <x v="6"/>
          </reference>
          <reference field="0" count="1" selected="0">
            <x v="1"/>
          </reference>
        </references>
      </pivotArea>
    </format>
    <format dxfId="1793">
      <pivotArea dataOnly="0" labelOnly="1" outline="0" fieldPosition="0">
        <references count="2">
          <reference field="4294967294" count="7">
            <x v="0"/>
            <x v="1"/>
            <x v="2"/>
            <x v="3"/>
            <x v="4"/>
            <x v="5"/>
            <x v="6"/>
          </reference>
          <reference field="0" count="1" selected="0">
            <x v="2"/>
          </reference>
        </references>
      </pivotArea>
    </format>
    <format dxfId="1792">
      <pivotArea dataOnly="0" labelOnly="1" outline="0" fieldPosition="0">
        <references count="2">
          <reference field="4294967294" count="7">
            <x v="0"/>
            <x v="1"/>
            <x v="2"/>
            <x v="3"/>
            <x v="4"/>
            <x v="5"/>
            <x v="6"/>
          </reference>
          <reference field="0" count="1" selected="0">
            <x v="3"/>
          </reference>
        </references>
      </pivotArea>
    </format>
    <format dxfId="1791">
      <pivotArea dataOnly="0" labelOnly="1" outline="0" fieldPosition="0">
        <references count="2">
          <reference field="4294967294" count="7">
            <x v="0"/>
            <x v="1"/>
            <x v="2"/>
            <x v="3"/>
            <x v="4"/>
            <x v="5"/>
            <x v="6"/>
          </reference>
          <reference field="0" count="1" selected="0">
            <x v="4"/>
          </reference>
        </references>
      </pivotArea>
    </format>
    <format dxfId="1790">
      <pivotArea dataOnly="0" labelOnly="1" outline="0" fieldPosition="0">
        <references count="2">
          <reference field="4294967294" count="7">
            <x v="0"/>
            <x v="1"/>
            <x v="2"/>
            <x v="3"/>
            <x v="4"/>
            <x v="5"/>
            <x v="6"/>
          </reference>
          <reference field="0" count="1" selected="0">
            <x v="5"/>
          </reference>
        </references>
      </pivotArea>
    </format>
    <format dxfId="1789">
      <pivotArea dataOnly="0" labelOnly="1" outline="0" fieldPosition="0">
        <references count="2">
          <reference field="4294967294" count="7">
            <x v="0"/>
            <x v="1"/>
            <x v="2"/>
            <x v="3"/>
            <x v="4"/>
            <x v="5"/>
            <x v="6"/>
          </reference>
          <reference field="0" count="1" selected="0">
            <x v="6"/>
          </reference>
        </references>
      </pivotArea>
    </format>
    <format dxfId="1788">
      <pivotArea dataOnly="0" labelOnly="1" outline="0" fieldPosition="0">
        <references count="2">
          <reference field="4294967294" count="7">
            <x v="0"/>
            <x v="1"/>
            <x v="2"/>
            <x v="3"/>
            <x v="4"/>
            <x v="5"/>
            <x v="6"/>
          </reference>
          <reference field="0" count="1" selected="0">
            <x v="7"/>
          </reference>
        </references>
      </pivotArea>
    </format>
    <format dxfId="1787">
      <pivotArea dataOnly="0" labelOnly="1" outline="0" fieldPosition="0">
        <references count="2">
          <reference field="4294967294" count="7">
            <x v="0"/>
            <x v="1"/>
            <x v="2"/>
            <x v="3"/>
            <x v="4"/>
            <x v="5"/>
            <x v="6"/>
          </reference>
          <reference field="0" count="1" selected="0">
            <x v="8"/>
          </reference>
        </references>
      </pivotArea>
    </format>
    <format dxfId="1786">
      <pivotArea dataOnly="0" labelOnly="1" outline="0" fieldPosition="0">
        <references count="2">
          <reference field="4294967294" count="7">
            <x v="0"/>
            <x v="1"/>
            <x v="2"/>
            <x v="3"/>
            <x v="4"/>
            <x v="5"/>
            <x v="6"/>
          </reference>
          <reference field="0" count="1" selected="0">
            <x v="9"/>
          </reference>
        </references>
      </pivotArea>
    </format>
    <format dxfId="1785">
      <pivotArea dataOnly="0" labelOnly="1" outline="0" fieldPosition="0">
        <references count="2">
          <reference field="4294967294" count="7">
            <x v="0"/>
            <x v="1"/>
            <x v="2"/>
            <x v="3"/>
            <x v="4"/>
            <x v="5"/>
            <x v="6"/>
          </reference>
          <reference field="0" count="1" selected="0">
            <x v="10"/>
          </reference>
        </references>
      </pivotArea>
    </format>
    <format dxfId="1784">
      <pivotArea dataOnly="0" labelOnly="1" outline="0" fieldPosition="0">
        <references count="2">
          <reference field="4294967294" count="7">
            <x v="0"/>
            <x v="1"/>
            <x v="2"/>
            <x v="3"/>
            <x v="4"/>
            <x v="5"/>
            <x v="6"/>
          </reference>
          <reference field="0" count="1" selected="0">
            <x v="11"/>
          </reference>
        </references>
      </pivotArea>
    </format>
    <format dxfId="1783">
      <pivotArea dataOnly="0" labelOnly="1" outline="0" fieldPosition="0">
        <references count="2">
          <reference field="4294967294" count="7">
            <x v="0"/>
            <x v="1"/>
            <x v="2"/>
            <x v="3"/>
            <x v="4"/>
            <x v="5"/>
            <x v="6"/>
          </reference>
          <reference field="0" count="1" selected="0">
            <x v="12"/>
          </reference>
        </references>
      </pivotArea>
    </format>
    <format dxfId="1782">
      <pivotArea dataOnly="0" labelOnly="1" outline="0" fieldPosition="0">
        <references count="2">
          <reference field="4294967294" count="7">
            <x v="0"/>
            <x v="1"/>
            <x v="2"/>
            <x v="3"/>
            <x v="4"/>
            <x v="5"/>
            <x v="6"/>
          </reference>
          <reference field="0" count="1" selected="0">
            <x v="13"/>
          </reference>
        </references>
      </pivotArea>
    </format>
    <format dxfId="1781">
      <pivotArea dataOnly="0" labelOnly="1" outline="0" fieldPosition="0">
        <references count="2">
          <reference field="4294967294" count="7">
            <x v="0"/>
            <x v="1"/>
            <x v="2"/>
            <x v="3"/>
            <x v="4"/>
            <x v="5"/>
            <x v="6"/>
          </reference>
          <reference field="0" count="1" selected="0">
            <x v="14"/>
          </reference>
        </references>
      </pivotArea>
    </format>
    <format dxfId="1780">
      <pivotArea dataOnly="0" labelOnly="1" outline="0" fieldPosition="0">
        <references count="2">
          <reference field="4294967294" count="7">
            <x v="0"/>
            <x v="1"/>
            <x v="2"/>
            <x v="3"/>
            <x v="4"/>
            <x v="5"/>
            <x v="6"/>
          </reference>
          <reference field="0" count="1" selected="0">
            <x v="15"/>
          </reference>
        </references>
      </pivotArea>
    </format>
    <format dxfId="1779">
      <pivotArea dataOnly="0" labelOnly="1" outline="0" fieldPosition="0">
        <references count="1">
          <reference field="43" count="4">
            <x v="0"/>
            <x v="1"/>
            <x v="2"/>
            <x v="3"/>
          </reference>
        </references>
      </pivotArea>
    </format>
    <format dxfId="1778">
      <pivotArea dataOnly="0" labelOnly="1" outline="0" fieldPosition="0">
        <references count="1">
          <reference field="43" count="4" defaultSubtotal="1">
            <x v="0"/>
            <x v="1"/>
            <x v="2"/>
            <x v="3"/>
          </reference>
        </references>
      </pivotArea>
    </format>
    <format dxfId="1777">
      <pivotArea dataOnly="0" labelOnly="1" outline="0" fieldPosition="0">
        <references count="2">
          <reference field="4" count="6">
            <x v="0"/>
            <x v="1"/>
            <x v="2"/>
            <x v="3"/>
            <x v="4"/>
            <x v="5"/>
          </reference>
          <reference field="43" count="1" selected="0">
            <x v="0"/>
          </reference>
        </references>
      </pivotArea>
    </format>
    <format dxfId="1776">
      <pivotArea dataOnly="0" labelOnly="1" outline="0" fieldPosition="0">
        <references count="2">
          <reference field="4" count="4">
            <x v="6"/>
            <x v="7"/>
            <x v="8"/>
            <x v="9"/>
          </reference>
          <reference field="43" count="1" selected="0">
            <x v="1"/>
          </reference>
        </references>
      </pivotArea>
    </format>
    <format dxfId="1775">
      <pivotArea dataOnly="0" labelOnly="1" outline="0" fieldPosition="0">
        <references count="2">
          <reference field="4" count="1">
            <x v="10"/>
          </reference>
          <reference field="43" count="1" selected="0">
            <x v="2"/>
          </reference>
        </references>
      </pivotArea>
    </format>
    <format dxfId="1774">
      <pivotArea dataOnly="0" labelOnly="1" outline="0" fieldPosition="0">
        <references count="2">
          <reference field="4" count="2">
            <x v="11"/>
            <x v="12"/>
          </reference>
          <reference field="43" count="1" selected="0">
            <x v="3"/>
          </reference>
        </references>
      </pivotArea>
    </format>
    <format dxfId="1773">
      <pivotArea outline="0" collapsedLevelsAreSubtotals="1" fieldPosition="0">
        <references count="4">
          <reference field="4294967294" count="1" selected="0">
            <x v="6"/>
          </reference>
          <reference field="0" count="1" selected="0">
            <x v="0"/>
          </reference>
          <reference field="4" count="1" selected="0">
            <x v="3"/>
          </reference>
          <reference field="43" count="1" selected="0">
            <x v="0"/>
          </reference>
        </references>
      </pivotArea>
    </format>
    <format dxfId="1772">
      <pivotArea outline="0" collapsedLevelsAreSubtotals="1" fieldPosition="0">
        <references count="3">
          <reference field="4294967294" count="1" selected="0">
            <x v="6"/>
          </reference>
          <reference field="0" count="1" selected="0">
            <x v="0"/>
          </reference>
          <reference field="43" count="1" selected="0" defaultSubtotal="1">
            <x v="3"/>
          </reference>
        </references>
      </pivotArea>
    </format>
    <format dxfId="1771">
      <pivotArea outline="0" collapsedLevelsAreSubtotals="1" fieldPosition="0">
        <references count="3">
          <reference field="4294967294" count="1" selected="0">
            <x v="6"/>
          </reference>
          <reference field="0" count="1" selected="0">
            <x v="0"/>
          </reference>
          <reference field="43" count="1" selected="0" defaultSubtotal="1">
            <x v="3"/>
          </reference>
        </references>
      </pivotArea>
    </format>
    <format dxfId="1770">
      <pivotArea outline="0" collapsedLevelsAreSubtotals="1" fieldPosition="0">
        <references count="4">
          <reference field="4294967294" count="1" selected="0">
            <x v="6"/>
          </reference>
          <reference field="0" count="1" selected="0">
            <x v="0"/>
          </reference>
          <reference field="4" count="1" selected="0">
            <x v="12"/>
          </reference>
          <reference field="43" count="1" selected="0">
            <x v="3"/>
          </reference>
        </references>
      </pivotArea>
    </format>
    <format dxfId="1769">
      <pivotArea outline="0" collapsedLevelsAreSubtotals="1" fieldPosition="0">
        <references count="4">
          <reference field="4294967294" count="1" selected="0">
            <x v="2"/>
          </reference>
          <reference field="0" count="1" selected="0">
            <x v="5"/>
          </reference>
          <reference field="4" count="1" selected="0">
            <x v="8"/>
          </reference>
          <reference field="43" count="1" selected="0">
            <x v="1"/>
          </reference>
        </references>
      </pivotArea>
    </format>
    <format dxfId="1768">
      <pivotArea outline="0" collapsedLevelsAreSubtotals="1" fieldPosition="0">
        <references count="4">
          <reference field="4294967294" count="1" selected="0">
            <x v="5"/>
          </reference>
          <reference field="0" count="1" selected="0">
            <x v="5"/>
          </reference>
          <reference field="4" count="1" selected="0">
            <x v="9"/>
          </reference>
          <reference field="43" count="1" selected="0">
            <x v="1"/>
          </reference>
        </references>
      </pivotArea>
    </format>
    <format dxfId="1767">
      <pivotArea outline="0" collapsedLevelsAreSubtotals="1" fieldPosition="0">
        <references count="4">
          <reference field="4294967294" count="1" selected="0">
            <x v="5"/>
          </reference>
          <reference field="0" count="1" selected="0">
            <x v="5"/>
          </reference>
          <reference field="4" count="1" selected="0">
            <x v="8"/>
          </reference>
          <reference field="43" count="1" selected="0">
            <x v="1"/>
          </reference>
        </references>
      </pivotArea>
    </format>
    <format dxfId="1766">
      <pivotArea outline="0" collapsedLevelsAreSubtotals="1" fieldPosition="0">
        <references count="4">
          <reference field="4294967294" count="1" selected="0">
            <x v="2"/>
          </reference>
          <reference field="0" count="1" selected="0">
            <x v="5"/>
          </reference>
          <reference field="4" count="1" selected="0">
            <x v="8"/>
          </reference>
          <reference field="43" count="1" selected="0">
            <x v="1"/>
          </reference>
        </references>
      </pivotArea>
    </format>
    <format dxfId="1765">
      <pivotArea outline="0" collapsedLevelsAreSubtotals="1" fieldPosition="0">
        <references count="4">
          <reference field="4294967294" count="1" selected="0">
            <x v="5"/>
          </reference>
          <reference field="0" count="1" selected="0">
            <x v="6"/>
          </reference>
          <reference field="4" count="1" selected="0">
            <x v="11"/>
          </reference>
          <reference field="43" count="1" selected="0">
            <x v="3"/>
          </reference>
        </references>
      </pivotArea>
    </format>
    <format dxfId="1764">
      <pivotArea outline="0" collapsedLevelsAreSubtotals="1" fieldPosition="0">
        <references count="4">
          <reference field="4294967294" count="1" selected="0">
            <x v="2"/>
          </reference>
          <reference field="0" count="1" selected="0">
            <x v="10"/>
          </reference>
          <reference field="4" count="1" selected="0">
            <x v="9"/>
          </reference>
          <reference field="43" count="1" selected="0">
            <x v="1"/>
          </reference>
        </references>
      </pivotArea>
    </format>
    <format dxfId="1763">
      <pivotArea outline="0" collapsedLevelsAreSubtotals="1" fieldPosition="0">
        <references count="4">
          <reference field="4294967294" count="1" selected="0">
            <x v="6"/>
          </reference>
          <reference field="0" count="1" selected="0">
            <x v="10"/>
          </reference>
          <reference field="4" count="1" selected="0">
            <x v="9"/>
          </reference>
          <reference field="43" count="1" selected="0">
            <x v="1"/>
          </reference>
        </references>
      </pivotArea>
    </format>
    <format dxfId="1762">
      <pivotArea outline="0" collapsedLevelsAreSubtotals="1" fieldPosition="0">
        <references count="4">
          <reference field="4294967294" count="1" selected="0">
            <x v="5"/>
          </reference>
          <reference field="0" count="1" selected="0">
            <x v="11"/>
          </reference>
          <reference field="4" count="1" selected="0">
            <x v="9"/>
          </reference>
          <reference field="43" count="1" selected="0">
            <x v="1"/>
          </reference>
        </references>
      </pivotArea>
    </format>
    <format dxfId="1761">
      <pivotArea outline="0" collapsedLevelsAreSubtotals="1" fieldPosition="0">
        <references count="4">
          <reference field="4294967294" count="1" selected="0">
            <x v="5"/>
          </reference>
          <reference field="0" count="1" selected="0">
            <x v="12"/>
          </reference>
          <reference field="4" count="1" selected="0">
            <x v="8"/>
          </reference>
          <reference field="43" count="1" selected="0">
            <x v="1"/>
          </reference>
        </references>
      </pivotArea>
    </format>
    <format dxfId="1760">
      <pivotArea outline="0" collapsedLevelsAreSubtotals="1" fieldPosition="0">
        <references count="4">
          <reference field="4294967294" count="1" selected="0">
            <x v="5"/>
          </reference>
          <reference field="0" count="1" selected="0">
            <x v="14"/>
          </reference>
          <reference field="4" count="1" selected="0">
            <x v="10"/>
          </reference>
          <reference field="43" count="1" selected="0">
            <x v="2"/>
          </reference>
        </references>
      </pivotArea>
    </format>
    <format dxfId="1759">
      <pivotArea outline="0" collapsedLevelsAreSubtotals="1" fieldPosition="0">
        <references count="3">
          <reference field="4294967294" count="1" selected="0">
            <x v="5"/>
          </reference>
          <reference field="0" count="1" selected="0">
            <x v="14"/>
          </reference>
          <reference field="43" count="1" selected="0" defaultSubtotal="1">
            <x v="2"/>
          </reference>
        </references>
      </pivotArea>
    </format>
    <format dxfId="1758">
      <pivotArea outline="0" collapsedLevelsAreSubtotals="1" fieldPosition="0">
        <references count="3">
          <reference field="4294967294" count="1" selected="0">
            <x v="5"/>
          </reference>
          <reference field="0" count="1" selected="0">
            <x v="14"/>
          </reference>
          <reference field="43" count="1" selected="0" defaultSubtotal="1">
            <x v="2"/>
          </reference>
        </references>
      </pivotArea>
    </format>
    <format dxfId="1757">
      <pivotArea outline="0" collapsedLevelsAreSubtotals="1" fieldPosition="0">
        <references count="4">
          <reference field="4294967294" count="1" selected="0">
            <x v="6"/>
          </reference>
          <reference field="0" count="1" selected="0">
            <x v="0"/>
          </reference>
          <reference field="4" count="1" selected="0">
            <x v="3"/>
          </reference>
          <reference field="43" count="1" selected="0">
            <x v="0"/>
          </reference>
        </references>
      </pivotArea>
    </format>
    <format dxfId="1756">
      <pivotArea outline="0" collapsedLevelsAreSubtotals="1" fieldPosition="0">
        <references count="4">
          <reference field="4294967294" count="1" selected="0">
            <x v="5"/>
          </reference>
          <reference field="0" count="1" selected="0">
            <x v="5"/>
          </reference>
          <reference field="4" count="2" selected="0">
            <x v="8"/>
            <x v="9"/>
          </reference>
          <reference field="43" count="1" selected="0">
            <x v="1"/>
          </reference>
        </references>
      </pivotArea>
    </format>
    <format dxfId="1755">
      <pivotArea outline="0" collapsedLevelsAreSubtotals="1" fieldPosition="0">
        <references count="4">
          <reference field="4294967294" count="1" selected="0">
            <x v="6"/>
          </reference>
          <reference field="0" count="1" selected="0">
            <x v="5"/>
          </reference>
          <reference field="4" count="1" selected="0">
            <x v="9"/>
          </reference>
          <reference field="43" count="1" selected="0">
            <x v="1"/>
          </reference>
        </references>
      </pivotArea>
    </format>
    <format dxfId="1754">
      <pivotArea outline="0" collapsedLevelsAreSubtotals="1" fieldPosition="0">
        <references count="4">
          <reference field="4294967294" count="1" selected="0">
            <x v="6"/>
          </reference>
          <reference field="0" count="1" selected="0">
            <x v="6"/>
          </reference>
          <reference field="4" count="1" selected="0">
            <x v="11"/>
          </reference>
          <reference field="43" count="1" selected="0">
            <x v="3"/>
          </reference>
        </references>
      </pivotArea>
    </format>
    <format dxfId="1753">
      <pivotArea outline="0" collapsedLevelsAreSubtotals="1" fieldPosition="0">
        <references count="4">
          <reference field="4294967294" count="1" selected="0">
            <x v="6"/>
          </reference>
          <reference field="0" count="1" selected="0">
            <x v="6"/>
          </reference>
          <reference field="4" count="1" selected="0">
            <x v="9"/>
          </reference>
          <reference field="43" count="1" selected="0">
            <x v="1"/>
          </reference>
        </references>
      </pivotArea>
    </format>
    <format dxfId="1752">
      <pivotArea outline="0" collapsedLevelsAreSubtotals="1" fieldPosition="0">
        <references count="4">
          <reference field="4294967294" count="1" selected="0">
            <x v="5"/>
          </reference>
          <reference field="0" count="1" selected="0">
            <x v="12"/>
          </reference>
          <reference field="4" count="1" selected="0">
            <x v="8"/>
          </reference>
          <reference field="43" count="1" selected="0">
            <x v="1"/>
          </reference>
        </references>
      </pivotArea>
    </format>
    <format dxfId="1751">
      <pivotArea outline="0" collapsedLevelsAreSubtotals="1" fieldPosition="0">
        <references count="4">
          <reference field="4294967294" count="1" selected="0">
            <x v="6"/>
          </reference>
          <reference field="0" count="1" selected="0">
            <x v="12"/>
          </reference>
          <reference field="4" count="1" selected="0">
            <x v="8"/>
          </reference>
          <reference field="43" count="1" selected="0">
            <x v="1"/>
          </reference>
        </references>
      </pivotArea>
    </format>
    <format dxfId="1750">
      <pivotArea outline="0" collapsedLevelsAreSubtotals="1" fieldPosition="0">
        <references count="1">
          <reference field="43" count="4" selected="0" defaultSubtotal="1">
            <x v="0"/>
            <x v="1"/>
            <x v="2"/>
            <x v="3"/>
          </reference>
        </references>
      </pivotArea>
    </format>
    <format dxfId="1749">
      <pivotArea dataOnly="0" labelOnly="1" outline="0" offset="IV256" fieldPosition="0">
        <references count="1">
          <reference field="43" count="1" defaultSubtotal="1">
            <x v="0"/>
          </reference>
        </references>
      </pivotArea>
    </format>
    <format dxfId="1748">
      <pivotArea dataOnly="0" labelOnly="1" outline="0" offset="IV256" fieldPosition="0">
        <references count="1">
          <reference field="43" count="1" defaultSubtotal="1">
            <x v="1"/>
          </reference>
        </references>
      </pivotArea>
    </format>
    <format dxfId="1747">
      <pivotArea dataOnly="0" labelOnly="1" outline="0" offset="IV256" fieldPosition="0">
        <references count="1">
          <reference field="43" count="1" defaultSubtotal="1">
            <x v="2"/>
          </reference>
        </references>
      </pivotArea>
    </format>
    <format dxfId="1746">
      <pivotArea dataOnly="0" labelOnly="1" outline="0" offset="IV256" fieldPosition="0">
        <references count="1">
          <reference field="43" count="1" defaultSubtotal="1">
            <x v="3"/>
          </reference>
        </references>
      </pivotArea>
    </format>
    <format dxfId="1745">
      <pivotArea dataOnly="0" labelOnly="1" outline="0" fieldPosition="0">
        <references count="2">
          <reference field="4" count="6">
            <x v="0"/>
            <x v="1"/>
            <x v="2"/>
            <x v="3"/>
            <x v="4"/>
            <x v="5"/>
          </reference>
          <reference field="43" count="1" selected="0">
            <x v="0"/>
          </reference>
        </references>
      </pivotArea>
    </format>
    <format dxfId="1744">
      <pivotArea dataOnly="0" labelOnly="1" outline="0" fieldPosition="0">
        <references count="2">
          <reference field="4" count="4">
            <x v="6"/>
            <x v="7"/>
            <x v="8"/>
            <x v="9"/>
          </reference>
          <reference field="43" count="1" selected="0">
            <x v="1"/>
          </reference>
        </references>
      </pivotArea>
    </format>
    <format dxfId="1743">
      <pivotArea dataOnly="0" labelOnly="1" outline="0" fieldPosition="0">
        <references count="2">
          <reference field="4" count="1">
            <x v="10"/>
          </reference>
          <reference field="43" count="1" selected="0">
            <x v="2"/>
          </reference>
        </references>
      </pivotArea>
    </format>
    <format dxfId="1742">
      <pivotArea dataOnly="0" labelOnly="1" outline="0" fieldPosition="0">
        <references count="2">
          <reference field="4" count="2">
            <x v="11"/>
            <x v="12"/>
          </reference>
          <reference field="43" count="1" selected="0">
            <x v="3"/>
          </reference>
        </references>
      </pivotArea>
    </format>
    <format dxfId="1741">
      <pivotArea outline="0" collapsedLevelsAreSubtotals="1" fieldPosition="0">
        <references count="4">
          <reference field="4294967294" count="1" selected="0">
            <x v="6"/>
          </reference>
          <reference field="0" count="1" selected="0">
            <x v="1"/>
          </reference>
          <reference field="4" count="1" selected="0">
            <x v="1"/>
          </reference>
          <reference field="43" count="1" selected="0">
            <x v="0"/>
          </reference>
        </references>
      </pivotArea>
    </format>
    <format dxfId="1740">
      <pivotArea outline="0" collapsedLevelsAreSubtotals="1" fieldPosition="0">
        <references count="4">
          <reference field="4294967294" count="1" selected="0">
            <x v="6"/>
          </reference>
          <reference field="0" count="1" selected="0">
            <x v="1"/>
          </reference>
          <reference field="4" count="1" selected="0">
            <x v="4"/>
          </reference>
          <reference field="43" count="1" selected="0">
            <x v="0"/>
          </reference>
        </references>
      </pivotArea>
    </format>
    <format dxfId="1739">
      <pivotArea outline="0" collapsedLevelsAreSubtotals="1" fieldPosition="0">
        <references count="4">
          <reference field="4294967294" count="1" selected="0">
            <x v="6"/>
          </reference>
          <reference field="0" count="1" selected="0">
            <x v="1"/>
          </reference>
          <reference field="4" count="1" selected="0">
            <x v="5"/>
          </reference>
          <reference field="43" count="1" selected="0">
            <x v="0"/>
          </reference>
        </references>
      </pivotArea>
    </format>
    <format dxfId="1738">
      <pivotArea outline="0" collapsedLevelsAreSubtotals="1" fieldPosition="0">
        <references count="4">
          <reference field="4294967294" count="1" selected="0">
            <x v="2"/>
          </reference>
          <reference field="0" count="1" selected="0">
            <x v="1"/>
          </reference>
          <reference field="4" count="1" selected="0">
            <x v="1"/>
          </reference>
          <reference field="43" count="1" selected="0">
            <x v="0"/>
          </reference>
        </references>
      </pivotArea>
    </format>
    <format dxfId="1737">
      <pivotArea outline="0" collapsedLevelsAreSubtotals="1" fieldPosition="0">
        <references count="4">
          <reference field="4294967294" count="1" selected="0">
            <x v="5"/>
          </reference>
          <reference field="0" count="1" selected="0">
            <x v="1"/>
          </reference>
          <reference field="4" count="1" selected="0">
            <x v="1"/>
          </reference>
          <reference field="43" count="1" selected="0">
            <x v="0"/>
          </reference>
        </references>
      </pivotArea>
    </format>
    <format dxfId="1736">
      <pivotArea outline="0" collapsedLevelsAreSubtotals="1" fieldPosition="0">
        <references count="4">
          <reference field="4294967294" count="1" selected="0">
            <x v="2"/>
          </reference>
          <reference field="0" count="1" selected="0">
            <x v="1"/>
          </reference>
          <reference field="4" count="1" selected="0">
            <x v="4"/>
          </reference>
          <reference field="43" count="1" selected="0">
            <x v="0"/>
          </reference>
        </references>
      </pivotArea>
    </format>
    <format dxfId="1735">
      <pivotArea outline="0" collapsedLevelsAreSubtotals="1" fieldPosition="0">
        <references count="4">
          <reference field="4294967294" count="1" selected="0">
            <x v="5"/>
          </reference>
          <reference field="0" count="1" selected="0">
            <x v="1"/>
          </reference>
          <reference field="4" count="1" selected="0">
            <x v="4"/>
          </reference>
          <reference field="43" count="1" selected="0">
            <x v="0"/>
          </reference>
        </references>
      </pivotArea>
    </format>
    <format dxfId="1734">
      <pivotArea outline="0" collapsedLevelsAreSubtotals="1" fieldPosition="0">
        <references count="4">
          <reference field="4294967294" count="1" selected="0">
            <x v="2"/>
          </reference>
          <reference field="0" count="1" selected="0">
            <x v="1"/>
          </reference>
          <reference field="4" count="1" selected="0">
            <x v="8"/>
          </reference>
          <reference field="43" count="1" selected="0">
            <x v="1"/>
          </reference>
        </references>
      </pivotArea>
    </format>
    <format dxfId="1733">
      <pivotArea outline="0" collapsedLevelsAreSubtotals="1" fieldPosition="0">
        <references count="4">
          <reference field="4294967294" count="1" selected="0">
            <x v="5"/>
          </reference>
          <reference field="0" count="1" selected="0">
            <x v="1"/>
          </reference>
          <reference field="4" count="1" selected="0">
            <x v="8"/>
          </reference>
          <reference field="43" count="1" selected="0">
            <x v="1"/>
          </reference>
        </references>
      </pivotArea>
    </format>
    <format dxfId="1732">
      <pivotArea outline="0" collapsedLevelsAreSubtotals="1" fieldPosition="0">
        <references count="4">
          <reference field="4294967294" count="1" selected="0">
            <x v="2"/>
          </reference>
          <reference field="0" count="1" selected="0">
            <x v="1"/>
          </reference>
          <reference field="4" count="1" selected="0">
            <x v="9"/>
          </reference>
          <reference field="43" count="1" selected="0">
            <x v="1"/>
          </reference>
        </references>
      </pivotArea>
    </format>
    <format dxfId="1731">
      <pivotArea outline="0" collapsedLevelsAreSubtotals="1" fieldPosition="0">
        <references count="4">
          <reference field="4294967294" count="1" selected="0">
            <x v="5"/>
          </reference>
          <reference field="0" count="1" selected="0">
            <x v="1"/>
          </reference>
          <reference field="4" count="1" selected="0">
            <x v="9"/>
          </reference>
          <reference field="43" count="1" selected="0">
            <x v="1"/>
          </reference>
        </references>
      </pivotArea>
    </format>
    <format dxfId="1730">
      <pivotArea outline="0" collapsedLevelsAreSubtotals="1" fieldPosition="0">
        <references count="4">
          <reference field="4294967294" count="1" selected="0">
            <x v="2"/>
          </reference>
          <reference field="0" count="1" selected="0">
            <x v="3"/>
          </reference>
          <reference field="4" count="1" selected="0">
            <x v="8"/>
          </reference>
          <reference field="43" count="1" selected="0">
            <x v="1"/>
          </reference>
        </references>
      </pivotArea>
    </format>
    <format dxfId="1729">
      <pivotArea outline="0" collapsedLevelsAreSubtotals="1" fieldPosition="0">
        <references count="4">
          <reference field="4294967294" count="1" selected="0">
            <x v="5"/>
          </reference>
          <reference field="0" count="1" selected="0">
            <x v="3"/>
          </reference>
          <reference field="4" count="1" selected="0">
            <x v="8"/>
          </reference>
          <reference field="43" count="1" selected="0">
            <x v="1"/>
          </reference>
        </references>
      </pivotArea>
    </format>
    <format dxfId="1728">
      <pivotArea outline="0" collapsedLevelsAreSubtotals="1" fieldPosition="0">
        <references count="4">
          <reference field="4294967294" count="1" selected="0">
            <x v="6"/>
          </reference>
          <reference field="0" count="1" selected="0">
            <x v="3"/>
          </reference>
          <reference field="4" count="1" selected="0">
            <x v="8"/>
          </reference>
          <reference field="43" count="1" selected="0">
            <x v="1"/>
          </reference>
        </references>
      </pivotArea>
    </format>
    <format dxfId="1727">
      <pivotArea outline="0" collapsedLevelsAreSubtotals="1" fieldPosition="0">
        <references count="4">
          <reference field="4294967294" count="1" selected="0">
            <x v="6"/>
          </reference>
          <reference field="0" count="1" selected="0">
            <x v="4"/>
          </reference>
          <reference field="4" count="1" selected="0">
            <x v="8"/>
          </reference>
          <reference field="43" count="1" selected="0">
            <x v="1"/>
          </reference>
        </references>
      </pivotArea>
    </format>
    <format dxfId="1726">
      <pivotArea outline="0" collapsedLevelsAreSubtotals="1" fieldPosition="0">
        <references count="4">
          <reference field="4294967294" count="1" selected="0">
            <x v="6"/>
          </reference>
          <reference field="0" count="1" selected="0">
            <x v="4"/>
          </reference>
          <reference field="4" count="1" selected="0">
            <x v="11"/>
          </reference>
          <reference field="43" count="1" selected="0">
            <x v="3"/>
          </reference>
        </references>
      </pivotArea>
    </format>
    <format dxfId="1725">
      <pivotArea outline="0" collapsedLevelsAreSubtotals="1" fieldPosition="0">
        <references count="4">
          <reference field="4294967294" count="1" selected="0">
            <x v="6"/>
          </reference>
          <reference field="0" count="1" selected="0">
            <x v="5"/>
          </reference>
          <reference field="4" count="1" selected="0">
            <x v="11"/>
          </reference>
          <reference field="43" count="1" selected="0">
            <x v="3"/>
          </reference>
        </references>
      </pivotArea>
    </format>
    <format dxfId="1724">
      <pivotArea outline="0" collapsedLevelsAreSubtotals="1" fieldPosition="0">
        <references count="4">
          <reference field="4294967294" count="1" selected="0">
            <x v="6"/>
          </reference>
          <reference field="0" count="1" selected="0">
            <x v="6"/>
          </reference>
          <reference field="4" count="1" selected="0">
            <x v="5"/>
          </reference>
          <reference field="43" count="1" selected="0">
            <x v="0"/>
          </reference>
        </references>
      </pivotArea>
    </format>
    <format dxfId="1723">
      <pivotArea outline="0" collapsedLevelsAreSubtotals="1" fieldPosition="0">
        <references count="4">
          <reference field="4294967294" count="1" selected="0">
            <x v="2"/>
          </reference>
          <reference field="0" count="1" selected="0">
            <x v="6"/>
          </reference>
          <reference field="4" count="1" selected="0">
            <x v="5"/>
          </reference>
          <reference field="43" count="1" selected="0">
            <x v="0"/>
          </reference>
        </references>
      </pivotArea>
    </format>
    <format dxfId="1722">
      <pivotArea outline="0" collapsedLevelsAreSubtotals="1" fieldPosition="0">
        <references count="4">
          <reference field="4294967294" count="1" selected="0">
            <x v="5"/>
          </reference>
          <reference field="0" count="1" selected="0">
            <x v="6"/>
          </reference>
          <reference field="4" count="1" selected="0">
            <x v="5"/>
          </reference>
          <reference field="43" count="1" selected="0">
            <x v="0"/>
          </reference>
        </references>
      </pivotArea>
    </format>
    <format dxfId="1721">
      <pivotArea outline="0" collapsedLevelsAreSubtotals="1" fieldPosition="0">
        <references count="4">
          <reference field="4294967294" count="1" selected="0">
            <x v="2"/>
          </reference>
          <reference field="0" count="1" selected="0">
            <x v="6"/>
          </reference>
          <reference field="4" count="1" selected="0">
            <x v="9"/>
          </reference>
          <reference field="43" count="1" selected="0">
            <x v="1"/>
          </reference>
        </references>
      </pivotArea>
    </format>
    <format dxfId="1720">
      <pivotArea outline="0" collapsedLevelsAreSubtotals="1" fieldPosition="0">
        <references count="4">
          <reference field="4294967294" count="1" selected="0">
            <x v="5"/>
          </reference>
          <reference field="0" count="1" selected="0">
            <x v="6"/>
          </reference>
          <reference field="4" count="1" selected="0">
            <x v="9"/>
          </reference>
          <reference field="43" count="1" selected="0">
            <x v="1"/>
          </reference>
        </references>
      </pivotArea>
    </format>
    <format dxfId="1719">
      <pivotArea outline="0" collapsedLevelsAreSubtotals="1" fieldPosition="0">
        <references count="4">
          <reference field="4294967294" count="1" selected="0">
            <x v="6"/>
          </reference>
          <reference field="0" count="1" selected="0">
            <x v="9"/>
          </reference>
          <reference field="4" count="1" selected="0">
            <x v="3"/>
          </reference>
          <reference field="43" count="1" selected="0">
            <x v="0"/>
          </reference>
        </references>
      </pivotArea>
    </format>
    <format dxfId="1718">
      <pivotArea outline="0" collapsedLevelsAreSubtotals="1" fieldPosition="0">
        <references count="4">
          <reference field="4294967294" count="1" selected="0">
            <x v="2"/>
          </reference>
          <reference field="0" count="1" selected="0">
            <x v="9"/>
          </reference>
          <reference field="4" count="1" selected="0">
            <x v="8"/>
          </reference>
          <reference field="43" count="1" selected="0">
            <x v="1"/>
          </reference>
        </references>
      </pivotArea>
    </format>
    <format dxfId="1717">
      <pivotArea outline="0" collapsedLevelsAreSubtotals="1" fieldPosition="0">
        <references count="4">
          <reference field="4294967294" count="1" selected="0">
            <x v="5"/>
          </reference>
          <reference field="0" count="1" selected="0">
            <x v="9"/>
          </reference>
          <reference field="4" count="1" selected="0">
            <x v="8"/>
          </reference>
          <reference field="43" count="1" selected="0">
            <x v="1"/>
          </reference>
        </references>
      </pivotArea>
    </format>
    <format dxfId="1716">
      <pivotArea outline="0" collapsedLevelsAreSubtotals="1" fieldPosition="0">
        <references count="4">
          <reference field="4294967294" count="1" selected="0">
            <x v="6"/>
          </reference>
          <reference field="0" count="1" selected="0">
            <x v="9"/>
          </reference>
          <reference field="4" count="1" selected="0">
            <x v="8"/>
          </reference>
          <reference field="43" count="1" selected="0">
            <x v="1"/>
          </reference>
        </references>
      </pivotArea>
    </format>
    <format dxfId="1715">
      <pivotArea outline="0" collapsedLevelsAreSubtotals="1" fieldPosition="0">
        <references count="4">
          <reference field="4294967294" count="1" selected="0">
            <x v="2"/>
          </reference>
          <reference field="0" count="1" selected="0">
            <x v="9"/>
          </reference>
          <reference field="4" count="1" selected="0">
            <x v="9"/>
          </reference>
          <reference field="43" count="1" selected="0">
            <x v="1"/>
          </reference>
        </references>
      </pivotArea>
    </format>
    <format dxfId="1714">
      <pivotArea outline="0" collapsedLevelsAreSubtotals="1" fieldPosition="0">
        <references count="4">
          <reference field="4294967294" count="1" selected="0">
            <x v="5"/>
          </reference>
          <reference field="0" count="1" selected="0">
            <x v="9"/>
          </reference>
          <reference field="4" count="1" selected="0">
            <x v="9"/>
          </reference>
          <reference field="43" count="1" selected="0">
            <x v="1"/>
          </reference>
        </references>
      </pivotArea>
    </format>
    <format dxfId="1713">
      <pivotArea outline="0" collapsedLevelsAreSubtotals="1" fieldPosition="0">
        <references count="4">
          <reference field="4294967294" count="1" selected="0">
            <x v="6"/>
          </reference>
          <reference field="0" count="1" selected="0">
            <x v="9"/>
          </reference>
          <reference field="4" count="1" selected="0">
            <x v="9"/>
          </reference>
          <reference field="43" count="1" selected="0">
            <x v="1"/>
          </reference>
        </references>
      </pivotArea>
    </format>
    <format dxfId="1712">
      <pivotArea outline="0" collapsedLevelsAreSubtotals="1" fieldPosition="0">
        <references count="4">
          <reference field="4294967294" count="1" selected="0">
            <x v="2"/>
          </reference>
          <reference field="0" count="1" selected="0">
            <x v="11"/>
          </reference>
          <reference field="4" count="1" selected="0">
            <x v="4"/>
          </reference>
          <reference field="43" count="1" selected="0">
            <x v="0"/>
          </reference>
        </references>
      </pivotArea>
    </format>
    <format dxfId="1711">
      <pivotArea outline="0" collapsedLevelsAreSubtotals="1" fieldPosition="0">
        <references count="4">
          <reference field="4294967294" count="1" selected="0">
            <x v="5"/>
          </reference>
          <reference field="0" count="1" selected="0">
            <x v="11"/>
          </reference>
          <reference field="4" count="1" selected="0">
            <x v="4"/>
          </reference>
          <reference field="43" count="1" selected="0">
            <x v="0"/>
          </reference>
        </references>
      </pivotArea>
    </format>
    <format dxfId="1710">
      <pivotArea outline="0" collapsedLevelsAreSubtotals="1" fieldPosition="0">
        <references count="4">
          <reference field="4294967294" count="1" selected="0">
            <x v="6"/>
          </reference>
          <reference field="0" count="1" selected="0">
            <x v="11"/>
          </reference>
          <reference field="4" count="1" selected="0">
            <x v="5"/>
          </reference>
          <reference field="43" count="1" selected="0">
            <x v="0"/>
          </reference>
        </references>
      </pivotArea>
    </format>
    <format dxfId="1709">
      <pivotArea outline="0" collapsedLevelsAreSubtotals="1" fieldPosition="0">
        <references count="4">
          <reference field="4294967294" count="1" selected="0">
            <x v="6"/>
          </reference>
          <reference field="0" count="1" selected="0">
            <x v="11"/>
          </reference>
          <reference field="4" count="1" selected="0">
            <x v="9"/>
          </reference>
          <reference field="43" count="1" selected="0">
            <x v="1"/>
          </reference>
        </references>
      </pivotArea>
    </format>
    <format dxfId="1708">
      <pivotArea outline="0" collapsedLevelsAreSubtotals="1" fieldPosition="0">
        <references count="4">
          <reference field="4294967294" count="1" selected="0">
            <x v="5"/>
          </reference>
          <reference field="0" count="1" selected="0">
            <x v="12"/>
          </reference>
          <reference field="4" count="1" selected="0">
            <x v="0"/>
          </reference>
          <reference field="43" count="1" selected="0">
            <x v="0"/>
          </reference>
        </references>
      </pivotArea>
    </format>
    <format dxfId="1707">
      <pivotArea outline="0" collapsedLevelsAreSubtotals="1" fieldPosition="0">
        <references count="4">
          <reference field="4294967294" count="1" selected="0">
            <x v="6"/>
          </reference>
          <reference field="0" count="1" selected="0">
            <x v="12"/>
          </reference>
          <reference field="4" count="1" selected="0">
            <x v="0"/>
          </reference>
          <reference field="43" count="1" selected="0">
            <x v="0"/>
          </reference>
        </references>
      </pivotArea>
    </format>
    <format dxfId="1706">
      <pivotArea outline="0" collapsedLevelsAreSubtotals="1" fieldPosition="0">
        <references count="4">
          <reference field="4294967294" count="1" selected="0">
            <x v="2"/>
          </reference>
          <reference field="0" count="1" selected="0">
            <x v="13"/>
          </reference>
          <reference field="4" count="1" selected="0">
            <x v="2"/>
          </reference>
          <reference field="43" count="1" selected="0">
            <x v="0"/>
          </reference>
        </references>
      </pivotArea>
    </format>
    <format dxfId="1705">
      <pivotArea outline="0" collapsedLevelsAreSubtotals="1" fieldPosition="0">
        <references count="4">
          <reference field="4294967294" count="1" selected="0">
            <x v="5"/>
          </reference>
          <reference field="0" count="1" selected="0">
            <x v="13"/>
          </reference>
          <reference field="4" count="1" selected="0">
            <x v="2"/>
          </reference>
          <reference field="43" count="1" selected="0">
            <x v="0"/>
          </reference>
        </references>
      </pivotArea>
    </format>
    <format dxfId="1704">
      <pivotArea outline="0" collapsedLevelsAreSubtotals="1" fieldPosition="0">
        <references count="4">
          <reference field="4294967294" count="1" selected="0">
            <x v="2"/>
          </reference>
          <reference field="0" count="1" selected="0">
            <x v="13"/>
          </reference>
          <reference field="4" count="1" selected="0">
            <x v="6"/>
          </reference>
          <reference field="43" count="1" selected="0">
            <x v="1"/>
          </reference>
        </references>
      </pivotArea>
    </format>
    <format dxfId="1703">
      <pivotArea outline="0" collapsedLevelsAreSubtotals="1" fieldPosition="0">
        <references count="4">
          <reference field="4294967294" count="1" selected="0">
            <x v="5"/>
          </reference>
          <reference field="0" count="1" selected="0">
            <x v="13"/>
          </reference>
          <reference field="4" count="1" selected="0">
            <x v="6"/>
          </reference>
          <reference field="43" count="1" selected="0">
            <x v="1"/>
          </reference>
        </references>
      </pivotArea>
    </format>
    <format dxfId="1702">
      <pivotArea outline="0" collapsedLevelsAreSubtotals="1" fieldPosition="0">
        <references count="4">
          <reference field="4294967294" count="1" selected="0">
            <x v="6"/>
          </reference>
          <reference field="0" count="1" selected="0">
            <x v="13"/>
          </reference>
          <reference field="4" count="1" selected="0">
            <x v="6"/>
          </reference>
          <reference field="43" count="1" selected="0">
            <x v="1"/>
          </reference>
        </references>
      </pivotArea>
    </format>
    <format dxfId="1701">
      <pivotArea outline="0" collapsedLevelsAreSubtotals="1" fieldPosition="0">
        <references count="4">
          <reference field="4294967294" count="1" selected="0">
            <x v="2"/>
          </reference>
          <reference field="0" count="1" selected="0">
            <x v="14"/>
          </reference>
          <reference field="4" count="1" selected="0">
            <x v="8"/>
          </reference>
          <reference field="43" count="1" selected="0">
            <x v="1"/>
          </reference>
        </references>
      </pivotArea>
    </format>
    <format dxfId="1700">
      <pivotArea outline="0" collapsedLevelsAreSubtotals="1" fieldPosition="0">
        <references count="4">
          <reference field="4294967294" count="1" selected="0">
            <x v="5"/>
          </reference>
          <reference field="0" count="1" selected="0">
            <x v="14"/>
          </reference>
          <reference field="4" count="1" selected="0">
            <x v="8"/>
          </reference>
          <reference field="43" count="1" selected="0">
            <x v="1"/>
          </reference>
        </references>
      </pivotArea>
    </format>
    <format dxfId="1699">
      <pivotArea outline="0" collapsedLevelsAreSubtotals="1" fieldPosition="0">
        <references count="4">
          <reference field="4294967294" count="1" selected="0">
            <x v="2"/>
          </reference>
          <reference field="0" count="1" selected="0">
            <x v="14"/>
          </reference>
          <reference field="4" count="1" selected="0">
            <x v="9"/>
          </reference>
          <reference field="43" count="1" selected="0">
            <x v="1"/>
          </reference>
        </references>
      </pivotArea>
    </format>
    <format dxfId="1698">
      <pivotArea outline="0" collapsedLevelsAreSubtotals="1" fieldPosition="0">
        <references count="4">
          <reference field="4294967294" count="1" selected="0">
            <x v="5"/>
          </reference>
          <reference field="0" count="1" selected="0">
            <x v="14"/>
          </reference>
          <reference field="4" count="1" selected="0">
            <x v="9"/>
          </reference>
          <reference field="43" count="1" selected="0">
            <x v="1"/>
          </reference>
        </references>
      </pivotArea>
    </format>
    <format dxfId="1697">
      <pivotArea outline="0" collapsedLevelsAreSubtotals="1" fieldPosition="0">
        <references count="4">
          <reference field="4294967294" count="1" selected="0">
            <x v="6"/>
          </reference>
          <reference field="0" count="1" selected="0">
            <x v="14"/>
          </reference>
          <reference field="4" count="1" selected="0">
            <x v="8"/>
          </reference>
          <reference field="43" count="1" selected="0">
            <x v="1"/>
          </reference>
        </references>
      </pivotArea>
    </format>
    <format dxfId="1696">
      <pivotArea outline="0" collapsedLevelsAreSubtotals="1" fieldPosition="0">
        <references count="4">
          <reference field="4294967294" count="1" selected="0">
            <x v="6"/>
          </reference>
          <reference field="0" count="1" selected="0">
            <x v="14"/>
          </reference>
          <reference field="4" count="1" selected="0">
            <x v="9"/>
          </reference>
          <reference field="43" count="1" selected="0">
            <x v="1"/>
          </reference>
        </references>
      </pivotArea>
    </format>
    <format dxfId="1695">
      <pivotArea outline="0" collapsedLevelsAreSubtotals="1" fieldPosition="0">
        <references count="4">
          <reference field="4294967294" count="1" selected="0">
            <x v="2"/>
          </reference>
          <reference field="0" count="1" selected="0">
            <x v="1"/>
          </reference>
          <reference field="4" count="1" selected="0">
            <x v="5"/>
          </reference>
          <reference field="43" count="1" selected="0">
            <x v="0"/>
          </reference>
        </references>
      </pivotArea>
    </format>
    <format dxfId="1694">
      <pivotArea outline="0" collapsedLevelsAreSubtotals="1" fieldPosition="0">
        <references count="4">
          <reference field="4294967294" count="1" selected="0">
            <x v="5"/>
          </reference>
          <reference field="0" count="1" selected="0">
            <x v="1"/>
          </reference>
          <reference field="4" count="1" selected="0">
            <x v="5"/>
          </reference>
          <reference field="43" count="1" selected="0">
            <x v="0"/>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name="Dual07_1" connectionId="9"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SCH15ug1" connectionId="15" autoFormatId="16" applyNumberFormats="0" applyBorderFormats="0" applyFontFormats="0" applyPatternFormats="0" applyAlignmentFormats="0" applyWidthHeightFormats="0"/>
</file>

<file path=xl/queryTables/queryTable3.xml><?xml version="1.0" encoding="utf-8"?>
<queryTable xmlns="http://schemas.openxmlformats.org/spreadsheetml/2006/main" name="Dual07_3" connectionId="9"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queryTable" Target="../queryTables/queryTable3.xml"/><Relationship Id="rId4" Type="http://schemas.openxmlformats.org/officeDocument/2006/relationships/queryTable" Target="../queryTables/queryTable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16"/>
  </sheetPr>
  <dimension ref="A1:CJ266"/>
  <sheetViews>
    <sheetView showZeros="0" tabSelected="1" view="pageBreakPreview" zoomScaleNormal="80" zoomScaleSheetLayoutView="100" workbookViewId="0">
      <selection activeCell="C13" sqref="C13"/>
    </sheetView>
  </sheetViews>
  <sheetFormatPr defaultRowHeight="12.75"/>
  <cols>
    <col min="1" max="1" width="16.83203125" style="1" customWidth="1"/>
    <col min="2" max="2" width="12.1640625" style="1" customWidth="1"/>
    <col min="3" max="3" width="12" style="1" customWidth="1"/>
    <col min="4" max="4" width="12.1640625" style="1" customWidth="1"/>
    <col min="5" max="5" width="11.6640625" style="1" customWidth="1"/>
    <col min="6" max="6" width="12.83203125" style="1" customWidth="1"/>
    <col min="7" max="7" width="11.6640625" style="1" customWidth="1"/>
    <col min="8" max="8" width="11.83203125" style="4" customWidth="1"/>
    <col min="9" max="9" width="11.6640625" style="1" customWidth="1"/>
    <col min="10" max="10" width="11.1640625" style="4" customWidth="1"/>
    <col min="11" max="11" width="11.6640625" style="4" customWidth="1"/>
    <col min="12" max="12" width="9" style="4" customWidth="1"/>
    <col min="13" max="13" width="9.6640625" style="73" customWidth="1"/>
    <col min="14" max="14" width="12.1640625" style="1" bestFit="1" customWidth="1"/>
    <col min="15" max="15" width="9.6640625" style="1" customWidth="1"/>
    <col min="16" max="16" width="12" style="1" customWidth="1"/>
    <col min="17" max="17" width="12.33203125" style="1" customWidth="1"/>
    <col min="18" max="18" width="14.6640625" style="1" customWidth="1"/>
    <col min="19" max="19" width="15.6640625" style="1" customWidth="1"/>
    <col min="20" max="20" width="13.6640625" style="1" customWidth="1"/>
    <col min="21" max="21" width="13.83203125" style="1" customWidth="1"/>
    <col min="22" max="22" width="12.33203125" style="1" customWidth="1"/>
    <col min="23" max="23" width="12.83203125" style="1" customWidth="1"/>
    <col min="24" max="24" width="11.33203125" style="1" customWidth="1"/>
    <col min="25" max="26" width="13.33203125" style="1" customWidth="1"/>
    <col min="27" max="27" width="12.1640625" style="1" customWidth="1"/>
    <col min="28" max="28" width="12.5" style="1" customWidth="1"/>
    <col min="29" max="29" width="16.33203125" style="1" customWidth="1"/>
    <col min="30" max="30" width="9.83203125" style="1" customWidth="1"/>
    <col min="31" max="31" width="11.5" style="1" customWidth="1"/>
    <col min="32" max="32" width="10.83203125" style="1" customWidth="1"/>
    <col min="33" max="33" width="10" style="1" customWidth="1"/>
    <col min="34" max="34" width="11.1640625" style="1" customWidth="1"/>
    <col min="35" max="35" width="13.1640625" style="1" customWidth="1"/>
    <col min="36" max="36" width="13.5" style="1" customWidth="1"/>
    <col min="37" max="37" width="9.5" style="1" customWidth="1"/>
    <col min="38" max="38" width="12.5" style="1" customWidth="1"/>
    <col min="39" max="39" width="10" style="1" customWidth="1"/>
    <col min="40" max="40" width="11.5" style="1" customWidth="1"/>
    <col min="41" max="41" width="13.5" style="1" customWidth="1"/>
    <col min="42" max="42" width="12" style="1" customWidth="1"/>
    <col min="43" max="43" width="13" style="1" customWidth="1"/>
    <col min="44" max="44" width="17.5" style="1" customWidth="1"/>
    <col min="45" max="45" width="9.5" style="1" bestFit="1" customWidth="1"/>
    <col min="46" max="46" width="11" style="1" customWidth="1"/>
    <col min="47" max="48" width="9.33203125" style="1"/>
    <col min="49" max="49" width="11.1640625" style="1" customWidth="1"/>
    <col min="50" max="50" width="9.33203125" style="1"/>
    <col min="51" max="52" width="15.1640625" style="1" customWidth="1"/>
    <col min="53" max="56" width="9.33203125" style="1"/>
    <col min="57" max="57" width="12.33203125" style="1" customWidth="1"/>
    <col min="58" max="16384" width="9.33203125" style="1"/>
  </cols>
  <sheetData>
    <row r="1" spans="1:50" ht="18">
      <c r="A1" s="41" t="s">
        <v>163</v>
      </c>
      <c r="B1" s="20"/>
      <c r="C1" s="20"/>
      <c r="D1" s="20"/>
      <c r="E1" s="20"/>
      <c r="F1" s="20"/>
      <c r="G1" s="20"/>
      <c r="H1" s="103"/>
      <c r="I1" s="20"/>
      <c r="J1" s="103"/>
      <c r="K1" s="103"/>
      <c r="L1" s="103"/>
      <c r="M1" s="220"/>
      <c r="N1" s="17"/>
      <c r="O1" s="22"/>
    </row>
    <row r="2" spans="1:50" ht="13.5" customHeight="1">
      <c r="A2" s="21"/>
      <c r="B2" s="21"/>
      <c r="C2" s="21"/>
      <c r="D2" s="21"/>
      <c r="E2" s="21"/>
      <c r="F2" s="21"/>
      <c r="G2" s="21"/>
      <c r="H2" s="104"/>
      <c r="I2" s="21"/>
      <c r="J2" s="104"/>
      <c r="K2" s="104"/>
      <c r="L2" s="104"/>
      <c r="M2" s="193"/>
      <c r="N2" s="221"/>
      <c r="O2" s="22"/>
    </row>
    <row r="3" spans="1:50" ht="15.75">
      <c r="A3" s="109" t="s">
        <v>32</v>
      </c>
      <c r="B3" s="22"/>
      <c r="C3" s="22"/>
      <c r="D3" s="22"/>
      <c r="E3" s="22"/>
      <c r="F3" s="22"/>
      <c r="G3" s="22"/>
      <c r="H3" s="105"/>
      <c r="I3" s="22"/>
      <c r="J3" s="105"/>
      <c r="K3" s="105"/>
      <c r="L3" s="105"/>
      <c r="M3" s="169"/>
      <c r="N3" s="22"/>
      <c r="O3" s="221"/>
    </row>
    <row r="4" spans="1:50" ht="15.75">
      <c r="A4" s="109" t="s">
        <v>971</v>
      </c>
      <c r="B4" s="22"/>
      <c r="C4" s="22"/>
      <c r="D4" s="22"/>
      <c r="E4" s="22"/>
      <c r="F4" s="22"/>
      <c r="G4" s="22"/>
      <c r="H4" s="105"/>
      <c r="I4" s="22"/>
      <c r="J4" s="105"/>
      <c r="K4" s="105"/>
      <c r="L4" s="105"/>
      <c r="M4" s="169"/>
      <c r="N4" s="222"/>
      <c r="O4" s="22"/>
    </row>
    <row r="5" spans="1:50" ht="12.75" customHeight="1">
      <c r="B5" s="2"/>
      <c r="C5" s="2"/>
      <c r="D5" s="2"/>
      <c r="E5" s="2"/>
      <c r="F5" s="2"/>
      <c r="G5" s="2"/>
      <c r="H5" s="106"/>
      <c r="I5" s="2"/>
      <c r="J5" s="106"/>
      <c r="K5" s="106"/>
      <c r="L5" s="106"/>
      <c r="M5" s="186"/>
      <c r="Q5" s="125" t="s">
        <v>38</v>
      </c>
      <c r="AI5" s="223" t="s">
        <v>251</v>
      </c>
      <c r="AR5" s="223" t="s">
        <v>251</v>
      </c>
    </row>
    <row r="6" spans="1:50" ht="15" customHeight="1">
      <c r="A6" s="61"/>
      <c r="B6" s="385" t="s">
        <v>62</v>
      </c>
      <c r="C6" s="386"/>
      <c r="D6" s="386"/>
      <c r="E6" s="386"/>
      <c r="F6" s="386"/>
      <c r="G6" s="386"/>
      <c r="H6" s="90"/>
      <c r="I6" s="384"/>
      <c r="J6" s="384"/>
      <c r="K6" s="384"/>
      <c r="L6" s="384"/>
      <c r="M6" s="384"/>
      <c r="N6" s="384"/>
      <c r="O6" s="384"/>
      <c r="Q6" s="223" t="s">
        <v>153</v>
      </c>
      <c r="AI6" s="484" t="s">
        <v>144</v>
      </c>
      <c r="AR6" s="484" t="s">
        <v>144</v>
      </c>
    </row>
    <row r="7" spans="1:50" ht="17.25" customHeight="1">
      <c r="A7" s="45"/>
      <c r="B7" s="184">
        <v>1</v>
      </c>
      <c r="C7" s="22"/>
      <c r="D7" s="185">
        <v>2</v>
      </c>
      <c r="E7" s="22"/>
      <c r="F7" s="185">
        <v>3</v>
      </c>
      <c r="G7" s="22"/>
      <c r="H7" s="185">
        <v>4</v>
      </c>
      <c r="I7" s="65"/>
      <c r="J7" s="185">
        <v>5</v>
      </c>
      <c r="K7" s="65"/>
      <c r="L7" s="185">
        <v>6</v>
      </c>
      <c r="M7" s="187"/>
      <c r="N7" s="185" t="s">
        <v>30</v>
      </c>
      <c r="O7" s="65"/>
      <c r="P7" s="204"/>
      <c r="Q7" s="36"/>
      <c r="R7" s="36" t="s">
        <v>155</v>
      </c>
      <c r="S7" s="36"/>
      <c r="T7" s="228">
        <v>2</v>
      </c>
      <c r="U7" s="36"/>
      <c r="V7" s="228">
        <v>3</v>
      </c>
      <c r="W7" s="36"/>
      <c r="X7" s="228">
        <v>4</v>
      </c>
      <c r="Y7" s="36"/>
      <c r="Z7" s="228">
        <v>5</v>
      </c>
      <c r="AA7" s="36"/>
      <c r="AB7" s="228">
        <v>6</v>
      </c>
      <c r="AC7" s="36"/>
      <c r="AD7" s="228" t="s">
        <v>3</v>
      </c>
      <c r="AE7" s="36"/>
      <c r="AI7" s="479" t="s">
        <v>155</v>
      </c>
      <c r="AJ7" s="479">
        <v>2</v>
      </c>
      <c r="AK7" s="479">
        <v>3</v>
      </c>
      <c r="AL7" s="479">
        <v>4</v>
      </c>
      <c r="AM7" s="479">
        <v>5</v>
      </c>
      <c r="AN7" s="479">
        <v>6</v>
      </c>
      <c r="AO7" s="479" t="s">
        <v>30</v>
      </c>
      <c r="AR7" s="479" t="s">
        <v>155</v>
      </c>
      <c r="AS7" s="479">
        <v>2</v>
      </c>
      <c r="AT7" s="479">
        <v>3</v>
      </c>
      <c r="AU7" s="479">
        <v>4</v>
      </c>
      <c r="AV7" s="479">
        <v>5</v>
      </c>
      <c r="AW7" s="479">
        <v>6</v>
      </c>
      <c r="AX7" s="479" t="s">
        <v>30</v>
      </c>
    </row>
    <row r="8" spans="1:50" ht="77.25" customHeight="1">
      <c r="A8" s="183"/>
      <c r="B8" s="189" t="s">
        <v>143</v>
      </c>
      <c r="C8" s="165" t="s">
        <v>22</v>
      </c>
      <c r="D8" s="190" t="s">
        <v>143</v>
      </c>
      <c r="E8" s="165" t="s">
        <v>22</v>
      </c>
      <c r="F8" s="190" t="s">
        <v>143</v>
      </c>
      <c r="G8" s="165" t="s">
        <v>22</v>
      </c>
      <c r="H8" s="190" t="s">
        <v>143</v>
      </c>
      <c r="I8" s="165" t="s">
        <v>22</v>
      </c>
      <c r="J8" s="190" t="s">
        <v>143</v>
      </c>
      <c r="K8" s="165" t="s">
        <v>22</v>
      </c>
      <c r="L8" s="190" t="s">
        <v>143</v>
      </c>
      <c r="M8" s="120" t="s">
        <v>22</v>
      </c>
      <c r="N8" s="190" t="s">
        <v>143</v>
      </c>
      <c r="O8" s="165" t="s">
        <v>22</v>
      </c>
      <c r="P8" s="42"/>
      <c r="Q8" s="226"/>
      <c r="R8" s="227" t="s">
        <v>151</v>
      </c>
      <c r="S8" s="227" t="s">
        <v>4</v>
      </c>
      <c r="T8" s="229" t="s">
        <v>151</v>
      </c>
      <c r="U8" s="227" t="s">
        <v>4</v>
      </c>
      <c r="V8" s="229" t="s">
        <v>151</v>
      </c>
      <c r="W8" s="227" t="s">
        <v>4</v>
      </c>
      <c r="X8" s="229" t="s">
        <v>151</v>
      </c>
      <c r="Y8" s="227" t="s">
        <v>4</v>
      </c>
      <c r="Z8" s="229" t="s">
        <v>151</v>
      </c>
      <c r="AA8" s="227" t="s">
        <v>4</v>
      </c>
      <c r="AB8" s="229" t="s">
        <v>151</v>
      </c>
      <c r="AC8" s="227" t="s">
        <v>4</v>
      </c>
      <c r="AD8" s="229" t="s">
        <v>151</v>
      </c>
      <c r="AE8" s="227" t="s">
        <v>4</v>
      </c>
      <c r="AI8" s="478" t="s">
        <v>250</v>
      </c>
      <c r="AJ8" s="478" t="s">
        <v>250</v>
      </c>
      <c r="AK8" s="478" t="s">
        <v>250</v>
      </c>
      <c r="AL8" s="478" t="s">
        <v>250</v>
      </c>
      <c r="AM8" s="478" t="s">
        <v>250</v>
      </c>
      <c r="AN8" s="478" t="s">
        <v>250</v>
      </c>
      <c r="AO8" s="478" t="s">
        <v>250</v>
      </c>
      <c r="AR8" s="478" t="s">
        <v>250</v>
      </c>
      <c r="AS8" s="478" t="s">
        <v>250</v>
      </c>
      <c r="AT8" s="478" t="s">
        <v>250</v>
      </c>
      <c r="AU8" s="478" t="s">
        <v>250</v>
      </c>
      <c r="AV8" s="478" t="s">
        <v>250</v>
      </c>
      <c r="AW8" s="478" t="s">
        <v>250</v>
      </c>
      <c r="AX8" s="478" t="s">
        <v>250</v>
      </c>
    </row>
    <row r="9" spans="1:50" ht="15" customHeight="1">
      <c r="A9" s="1" t="s">
        <v>64</v>
      </c>
      <c r="B9" s="202">
        <f>+GETPIVOTDATA("Undergrad Student Credit Hour FTE - New",'FTE Pivot for regular counts'!$A$2,"Category",1,"Category2","Group1")</f>
        <v>961675.25</v>
      </c>
      <c r="C9" s="249"/>
      <c r="D9" s="203">
        <f>+GETPIVOTDATA("Undergrad Student Credit Hour FTE - New",'FTE Pivot for regular counts'!$A$2,"Category",2,"Category2","Four-Year")</f>
        <v>191384.64633333337</v>
      </c>
      <c r="E9" s="249"/>
      <c r="F9" s="181">
        <f>+GETPIVOTDATA("Undergrad Student Credit Hour FTE - New",'FTE Pivot for regular counts'!$A$2,"Category",3,"Category2","Four-Year")</f>
        <v>581296.43333333335</v>
      </c>
      <c r="G9" s="249"/>
      <c r="H9" s="181">
        <f>+GETPIVOTDATA("Undergrad Student Credit Hour FTE - New",'FTE Pivot for regular counts'!$A$2,"Category",4,"Category2","Four-Year")</f>
        <v>143398.68333333335</v>
      </c>
      <c r="I9" s="249"/>
      <c r="J9" s="181">
        <f>+GETPIVOTDATA("Undergrad Student Credit Hour FTE - New",'FTE Pivot for regular counts'!$A$2,"Category",5,"Category2","Four-Year")</f>
        <v>87864.5</v>
      </c>
      <c r="K9" s="249"/>
      <c r="L9" s="181">
        <f>+GETPIVOTDATA("Undergrad Student Credit Hour FTE - New",'FTE Pivot for regular counts'!$A$2,"Category",6,"Category2","Four-Year")</f>
        <v>72570.509999999995</v>
      </c>
      <c r="M9" s="249"/>
      <c r="N9" s="181">
        <f>+GETPIVOTDATA("Undergrad Student Credit Hour FTE - New",'FTE Pivot for regular counts'!$A$2,"Category2","Four-Year")</f>
        <v>2038190.023</v>
      </c>
      <c r="O9" s="249"/>
      <c r="Q9" s="1" t="s">
        <v>64</v>
      </c>
      <c r="R9" s="400"/>
      <c r="S9" s="437">
        <f>(C9-R9)*100</f>
        <v>0</v>
      </c>
      <c r="T9" s="234"/>
      <c r="U9" s="437">
        <f>(E9-T9)*100</f>
        <v>0</v>
      </c>
      <c r="V9" s="234"/>
      <c r="W9" s="437">
        <f>(G9-V9)*100</f>
        <v>0</v>
      </c>
      <c r="X9" s="234"/>
      <c r="Y9" s="437">
        <f>(I9-X9)*100</f>
        <v>0</v>
      </c>
      <c r="Z9" s="234"/>
      <c r="AA9" s="437">
        <f>(K9-Z9)*100</f>
        <v>0</v>
      </c>
      <c r="AB9" s="234"/>
      <c r="AC9" s="437">
        <f>(M9-AB9)*100</f>
        <v>0</v>
      </c>
      <c r="AD9" s="234"/>
      <c r="AE9" s="437">
        <f>(O9-AD9)*100</f>
        <v>0</v>
      </c>
      <c r="AF9" s="1" t="s">
        <v>64</v>
      </c>
      <c r="AH9" s="480" t="s">
        <v>64</v>
      </c>
      <c r="AQ9" s="480" t="s">
        <v>64</v>
      </c>
    </row>
    <row r="10" spans="1:50" ht="12.75" customHeight="1">
      <c r="B10" s="387"/>
      <c r="C10" s="250" t="s">
        <v>171</v>
      </c>
      <c r="D10" s="388"/>
      <c r="E10" s="250" t="s">
        <v>172</v>
      </c>
      <c r="F10" s="388"/>
      <c r="G10" s="250" t="s">
        <v>173</v>
      </c>
      <c r="H10" s="388"/>
      <c r="I10" s="250" t="s">
        <v>174</v>
      </c>
      <c r="J10" s="388"/>
      <c r="K10" s="250" t="s">
        <v>175</v>
      </c>
      <c r="L10" s="388"/>
      <c r="M10" s="250" t="s">
        <v>176</v>
      </c>
      <c r="N10" s="388"/>
      <c r="O10" s="250" t="s">
        <v>177</v>
      </c>
      <c r="R10" s="401" t="s">
        <v>208</v>
      </c>
      <c r="S10" s="438"/>
      <c r="T10" s="402" t="s">
        <v>209</v>
      </c>
      <c r="U10" s="438"/>
      <c r="V10" s="402" t="s">
        <v>210</v>
      </c>
      <c r="W10" s="438"/>
      <c r="X10" s="402" t="s">
        <v>211</v>
      </c>
      <c r="Y10" s="438"/>
      <c r="Z10" s="402" t="s">
        <v>212</v>
      </c>
      <c r="AA10" s="438"/>
      <c r="AB10" s="402" t="s">
        <v>213</v>
      </c>
      <c r="AC10" s="438"/>
      <c r="AD10" s="402" t="s">
        <v>214</v>
      </c>
      <c r="AE10" s="438"/>
      <c r="AH10" s="480"/>
      <c r="AQ10" s="480"/>
    </row>
    <row r="11" spans="1:50" ht="15" customHeight="1">
      <c r="A11" s="1" t="s">
        <v>65</v>
      </c>
      <c r="B11" s="5">
        <f>+GETPIVOTDATA("Undergrad Student Credit Hour FTE - New",'FTE Pivot for regular counts'!$A$2,"State","AL","Category",1,"Category2","Four-Year")</f>
        <v>50237.733333333337</v>
      </c>
      <c r="C11" s="166">
        <f>+GETPIVOTDATA("Sum of New-HS % of Total",'Pivot-HS Student % of Undergrad'!$A$3,"State","AL","Category",1,"Category2","Four-Year")</f>
        <v>3.7514962193092574E-3</v>
      </c>
      <c r="D11" s="181">
        <f>+GETPIVOTDATA("Undergrad Student Credit Hour FTE - New",'FTE Pivot for regular counts'!$A$2,"State","AL","Category",2,"Category2","Four-Year")</f>
        <v>13900.866666666667</v>
      </c>
      <c r="E11" s="166">
        <f>+GETPIVOTDATA("Sum of New-HS % of Total",'Pivot-HS Student % of Undergrad'!$A$3,"State","AL","Category",2,"Category2","Four-Year")</f>
        <v>1.2996791566952659E-3</v>
      </c>
      <c r="F11" s="181">
        <f>+GETPIVOTDATA("Undergrad Student Credit Hour FTE - New",'FTE Pivot for regular counts'!$A$2,"State","AL","Category",3,"Category2","Four-Year")</f>
        <v>28377.833333333336</v>
      </c>
      <c r="G11" s="166">
        <f>+GETPIVOTDATA("Sum of New-HS % of Total",'Pivot-HS Student % of Undergrad'!$A$3,"State","AL","Category",3,"Category2","Four-Year")</f>
        <v>6.8316232740343111E-3</v>
      </c>
      <c r="H11" s="181">
        <f>+GETPIVOTDATA("Undergrad Student Credit Hour FTE - New",'FTE Pivot for regular counts'!$A$2,"State","AL","Category",4,"Category2","Four-Year")</f>
        <v>13605.866666666665</v>
      </c>
      <c r="I11" s="166">
        <f>+GETPIVOTDATA("Sum of New-HS % of Total",'Pivot-HS Student % of Undergrad'!$A$3,"State","AL","Category",4,"Category2","Four-Year")</f>
        <v>5.2256869585668927E-3</v>
      </c>
      <c r="J11" s="181">
        <f>+GETPIVOTDATA("Undergrad Student Credit Hour FTE - New",'FTE Pivot for regular counts'!$A$2,"State","AL","Category",5,"Category2","Four-Year")</f>
        <v>4135.8999999999996</v>
      </c>
      <c r="K11" s="166">
        <f>+GETPIVOTDATA("Sum of New-HS % of Total",'Pivot-HS Student % of Undergrad'!$A$3,"State","AL","Category",5,"Category2","Four-Year")</f>
        <v>4.9727185538012688E-3</v>
      </c>
      <c r="L11" s="181">
        <f>+GETPIVOTDATA("Undergrad Student Credit Hour FTE - New",'FTE Pivot for regular counts'!$A$2,"State","AL","Category",6,"Category2","Four-Year")</f>
        <v>2347.1999999999998</v>
      </c>
      <c r="M11" s="166">
        <f>+GETPIVOTDATA("Sum of New-HS % of Total",'Pivot-HS Student % of Undergrad'!$A$3,"State","AL","Category",6,"Category2","Four-Year")</f>
        <v>0</v>
      </c>
      <c r="N11" s="181">
        <f>+GETPIVOTDATA("Undergrad Student Credit Hour FTE - New",'FTE Pivot for regular counts'!$A$2,"State","AL","Category2","Four-Year")</f>
        <v>112605.40000000001</v>
      </c>
      <c r="O11" s="166">
        <f>+GETPIVOTDATA("Sum of New-HS % of Total",'Pivot-HS Student % of Undergrad'!$A$3,"State","AL","Category2","Group1")</f>
        <v>4.3698318789921857E-3</v>
      </c>
      <c r="Q11" s="1" t="s">
        <v>65</v>
      </c>
      <c r="R11" s="233">
        <f>+GETPIVOTDATA("Sum of Old-HS % of Total",'Pivot-HS Student % of Undergrad'!$A$3,"State","AL","Category",1,"Category2","Four-Year")</f>
        <v>3.1230896086480021E-3</v>
      </c>
      <c r="S11" s="439">
        <f>(C11-R11)*100</f>
        <v>6.2840661066125528E-2</v>
      </c>
      <c r="T11" s="234">
        <f>+GETPIVOTDATA("Sum of Old-HS % of Total",'Pivot-HS Student % of Undergrad'!$A$3,"State","AL","Category",2,"Category2","Four-Year")</f>
        <v>1.1399903258816695E-3</v>
      </c>
      <c r="U11" s="439">
        <f t="shared" ref="U11:U29" si="0">(E11-T11)*100</f>
        <v>1.5968883081359637E-2</v>
      </c>
      <c r="V11" s="234">
        <f>GETPIVOTDATA("Sum of Old-HS % of Total",'Pivot-HS Student % of Undergrad'!$A$3,"State","AL","Category",3,"Category2","Four-Year")</f>
        <v>4.5263955306262139E-3</v>
      </c>
      <c r="W11" s="439">
        <f t="shared" ref="W11:W29" si="1">(G11-V11)*100</f>
        <v>0.23052277434080973</v>
      </c>
      <c r="X11" s="234">
        <f>+GETPIVOTDATA("Sum of Old-HS % of Total",'Pivot-HS Student % of Undergrad'!$A$3,"State","AL","Category",4,"Category2","Four-Year")</f>
        <v>5.3147378485433865E-3</v>
      </c>
      <c r="Y11" s="439">
        <f t="shared" ref="Y11:Y29" si="2">(I11-X11)*100</f>
        <v>-8.9050889976493783E-3</v>
      </c>
      <c r="Z11" s="234">
        <f>+GETPIVOTDATA("Sum of Old-HS % of Total",'Pivot-HS Student % of Undergrad'!$A$3,"State","AL","Category",5,"Category2","Four-Year")</f>
        <v>6.1007093663364761E-3</v>
      </c>
      <c r="AA11" s="439">
        <f t="shared" ref="AA11:AA29" si="3">(K11-Z11)*100</f>
        <v>-0.11279908125352073</v>
      </c>
      <c r="AB11" s="234">
        <f>+GETPIVOTDATA("Sum of Old-HS % of Total",'Pivot-HS Student % of Undergrad'!$A$3,"State","AL","Category",6,"Category2","Four-Year")</f>
        <v>0</v>
      </c>
      <c r="AC11" s="439">
        <f t="shared" ref="AC11:AC29" si="4">(M11-AB11)*100</f>
        <v>0</v>
      </c>
      <c r="AD11" s="234">
        <f>+GETPIVOTDATA("Sum of Old-HS % of Total",'Pivot-HS Student % of Undergrad'!$A$3,"State","AL","Category2","Four-Year")</f>
        <v>3.551448628321241E-3</v>
      </c>
      <c r="AE11" s="439">
        <f t="shared" ref="AE11:AE29" si="5">(O11-AD11)*100</f>
        <v>8.1838325067094472E-2</v>
      </c>
      <c r="AF11" s="1" t="s">
        <v>65</v>
      </c>
      <c r="AH11" s="480" t="s">
        <v>65</v>
      </c>
      <c r="AI11" s="477">
        <f>C11*100</f>
        <v>0.37514962193092571</v>
      </c>
      <c r="AJ11" s="477">
        <f>E11*100</f>
        <v>0.12996791566952659</v>
      </c>
      <c r="AK11" s="477">
        <f>G11*100</f>
        <v>0.68316232740343108</v>
      </c>
      <c r="AL11" s="477">
        <f>I11*100</f>
        <v>0.5225686958566893</v>
      </c>
      <c r="AM11" s="477">
        <f>K11*100</f>
        <v>0.49727185538012686</v>
      </c>
      <c r="AN11" s="477">
        <f>M11*100</f>
        <v>0</v>
      </c>
      <c r="AO11" s="477">
        <f>O11*100</f>
        <v>0.43698318789921858</v>
      </c>
      <c r="AQ11" s="480" t="s">
        <v>65</v>
      </c>
      <c r="AR11" s="477">
        <f>R11*100</f>
        <v>0.3123089608648002</v>
      </c>
      <c r="AS11" s="477">
        <f>T11*100</f>
        <v>0.11399903258816696</v>
      </c>
      <c r="AT11" s="477">
        <f>V11*100</f>
        <v>0.45263955306262138</v>
      </c>
      <c r="AU11" s="477">
        <f>X11*100</f>
        <v>0.5314737848543386</v>
      </c>
      <c r="AV11" s="477">
        <f>Z11*100</f>
        <v>0.61007093663364764</v>
      </c>
      <c r="AW11" s="477">
        <f>AB11*100</f>
        <v>0</v>
      </c>
      <c r="AX11" s="477">
        <f>AD11*100</f>
        <v>0.3551448628321241</v>
      </c>
    </row>
    <row r="12" spans="1:50" ht="15" customHeight="1">
      <c r="A12" s="4" t="s">
        <v>66</v>
      </c>
      <c r="B12" s="5">
        <f>+GETPIVOTDATA("Undergrad Student Credit Hour FTE - New",'FTE Pivot for regular counts'!$A$2,"State","AR","Category",1,"Category2","Four-Year")</f>
        <v>20970.033333333333</v>
      </c>
      <c r="C12" s="166">
        <f>+GETPIVOTDATA("Sum of New-HS % of Total",'Pivot-HS Student % of Undergrad'!$A$3,"State","AR","Category",1,"Category2","Four-Year")</f>
        <v>7.8779083167885601E-3</v>
      </c>
      <c r="D12" s="181">
        <f>+GETPIVOTDATA("Undergrad Student Credit Hour FTE - New",'FTE Pivot for regular counts'!$A$2,"State","AR","Category",2,"Category2","Four-Year")</f>
        <v>7088.8666666666668</v>
      </c>
      <c r="E12" s="166">
        <f>+GETPIVOTDATA("Sum of New-HS % of Total",'Pivot-HS Student % of Undergrad'!$A$3,"State","AR","Category",2,"Category2","Four-Year")</f>
        <v>8.780905269295515E-2</v>
      </c>
      <c r="F12" s="181">
        <f>+GETPIVOTDATA("Undergrad Student Credit Hour FTE - New",'FTE Pivot for regular counts'!$A$2,"State","AR","Category",3,"Category2","Four-Year")</f>
        <v>25630.266666666666</v>
      </c>
      <c r="G12" s="166">
        <f>+GETPIVOTDATA("Sum of New-HS % of Total",'Pivot-HS Student % of Undergrad'!$A$3,"State","AR","Category",3,"Category2","Four-Year")</f>
        <v>2.3340893839054869E-2</v>
      </c>
      <c r="H12" s="181">
        <f>+GETPIVOTDATA("Undergrad Student Credit Hour FTE - New",'FTE Pivot for regular counts'!$A$2,"State","AR","Category",4,"Category2","Four-Year")</f>
        <v>5846.1333333333332</v>
      </c>
      <c r="I12" s="166">
        <f>+GETPIVOTDATA("Sum of New-HS % of Total",'Pivot-HS Student % of Undergrad'!$A$3,"State","AR","Category",4,"Category2","Four-Year")</f>
        <v>7.5035351001231584E-3</v>
      </c>
      <c r="J12" s="181">
        <f>+GETPIVOTDATA("Undergrad Student Credit Hour FTE - New",'FTE Pivot for regular counts'!$A$2,"State","AR","Category",5,"Category2","Four-Year")</f>
        <v>2271.8333333333335</v>
      </c>
      <c r="K12" s="166">
        <f>+GETPIVOTDATA("Sum of New-HS % of Total",'Pivot-HS Student % of Undergrad'!$A$3,"State","AR","Category",5,"Category2","Four-Year")</f>
        <v>8.9883354119286926E-2</v>
      </c>
      <c r="L12" s="181">
        <f>+GETPIVOTDATA("Undergrad Student Credit Hour FTE - New",'FTE Pivot for regular counts'!$A$2,"State","AR","Category",6,"Category2","Four-Year")</f>
        <v>7900.333333333333</v>
      </c>
      <c r="M12" s="166">
        <f>+GETPIVOTDATA("Sum of New-HS % of Total",'Pivot-HS Student % of Undergrad'!$A$3,"State","AR","Category",6,"Category2","Four-Year")</f>
        <v>5.0457786591283069E-2</v>
      </c>
      <c r="N12" s="181">
        <f>+GETPIVOTDATA("Undergrad Student Credit Hour FTE - New",'FTE Pivot for regular counts'!$A$2,"State","AR","Category2","Four-Year")</f>
        <v>69707.466666666674</v>
      </c>
      <c r="O12" s="166">
        <f>+GETPIVOTDATA("Sum of New-HS % of Total",'Pivot-HS Student % of Undergrad'!$A$3,"State","AR","Category2","Group1")</f>
        <v>2.915899970543567E-2</v>
      </c>
      <c r="Q12" s="4" t="s">
        <v>66</v>
      </c>
      <c r="R12" s="233">
        <f>+GETPIVOTDATA("Sum of Old-HS % of Total",'Pivot-HS Student % of Undergrad'!$A$3,"State","AR","Category",1,"Category2","Four-Year")</f>
        <v>7.0923127183658233E-3</v>
      </c>
      <c r="S12" s="476">
        <f t="shared" ref="S12:S14" si="6">(C12-R12)*100</f>
        <v>7.8559559842273669E-2</v>
      </c>
      <c r="T12" s="234">
        <f>+GETPIVOTDATA("Sum of Old-HS % of Total",'Pivot-HS Student % of Undergrad'!$A$3,"State","AR","Category",2,"Category2","Four-Year")</f>
        <v>7.6516221661301898E-2</v>
      </c>
      <c r="U12" s="439">
        <f t="shared" si="0"/>
        <v>1.1292831031653252</v>
      </c>
      <c r="V12" s="234">
        <f>+GETPIVOTDATA("Sum of Old-HS % of Total",'Pivot-HS Student % of Undergrad'!$A$3,"State","AR","Category",3,"Category2","Four-Year")</f>
        <v>2.1374125169767427E-2</v>
      </c>
      <c r="W12" s="439">
        <f t="shared" si="1"/>
        <v>0.1966768669287442</v>
      </c>
      <c r="X12" s="234">
        <f>+GETPIVOTDATA("Sum of Old-HS % of Total",'Pivot-HS Student % of Undergrad'!$A$3,"State","AR","Category",4,"Category2","Four-Year")</f>
        <v>1.0612920224610869E-2</v>
      </c>
      <c r="Y12" s="439">
        <f t="shared" si="2"/>
        <v>-0.31093851244877113</v>
      </c>
      <c r="Z12" s="234">
        <f>+GETPIVOTDATA("Sum of Old-HS % of Total",'Pivot-HS Student % of Undergrad'!$A$3,"State","AR","Category",5,"Category2","Four-Year")</f>
        <v>8.0511402902557011E-2</v>
      </c>
      <c r="AA12" s="439">
        <f t="shared" si="3"/>
        <v>0.93719512167299146</v>
      </c>
      <c r="AB12" s="234">
        <f>+GETPIVOTDATA("Sum of Old-HS % of Total",'Pivot-HS Student % of Undergrad'!$A$3,"State","AR","Category",6,"Category2","Four-Year")</f>
        <v>4.0924764239125916E-2</v>
      </c>
      <c r="AC12" s="439">
        <f t="shared" si="4"/>
        <v>0.95330223521571522</v>
      </c>
      <c r="AD12" s="234">
        <f>+GETPIVOTDATA("Sum of Old-HS % of Total",'Pivot-HS Student % of Undergrad'!$A$3,"State","AR","Category2","Four-Year")</f>
        <v>2.6125263688892966E-2</v>
      </c>
      <c r="AE12" s="439">
        <f t="shared" si="5"/>
        <v>0.30337360165427035</v>
      </c>
      <c r="AF12" s="4" t="s">
        <v>66</v>
      </c>
      <c r="AH12" s="481" t="s">
        <v>66</v>
      </c>
      <c r="AI12" s="477">
        <f t="shared" ref="AI12:AI29" si="7">C12*100</f>
        <v>0.787790831678856</v>
      </c>
      <c r="AJ12" s="477">
        <f t="shared" ref="AJ12:AJ29" si="8">E12*100</f>
        <v>8.7809052692955145</v>
      </c>
      <c r="AK12" s="477">
        <f t="shared" ref="AK12:AK29" si="9">G12*100</f>
        <v>2.334089383905487</v>
      </c>
      <c r="AL12" s="477">
        <f t="shared" ref="AL12:AL29" si="10">I12*100</f>
        <v>0.75035351001231587</v>
      </c>
      <c r="AM12" s="477">
        <f t="shared" ref="AM12:AM29" si="11">K12*100</f>
        <v>8.9883354119286931</v>
      </c>
      <c r="AN12" s="477">
        <f t="shared" ref="AN12:AN29" si="12">M12*100</f>
        <v>5.0457786591283069</v>
      </c>
      <c r="AO12" s="477">
        <f t="shared" ref="AO12:AO29" si="13">O12*100</f>
        <v>2.9158999705435669</v>
      </c>
      <c r="AQ12" s="481" t="s">
        <v>66</v>
      </c>
      <c r="AR12" s="477">
        <f t="shared" ref="AR12:AR29" si="14">R12*100</f>
        <v>0.7092312718365823</v>
      </c>
      <c r="AS12" s="477">
        <f t="shared" ref="AS12:AS29" si="15">T12*100</f>
        <v>7.6516221661301902</v>
      </c>
      <c r="AT12" s="477">
        <f t="shared" ref="AT12:AT29" si="16">V12*100</f>
        <v>2.1374125169767426</v>
      </c>
      <c r="AU12" s="477">
        <f t="shared" ref="AU12:AU29" si="17">X12*100</f>
        <v>1.0612920224610869</v>
      </c>
      <c r="AV12" s="477">
        <f t="shared" ref="AV12:AV29" si="18">Z12*100</f>
        <v>8.0511402902557005</v>
      </c>
      <c r="AW12" s="477">
        <f t="shared" ref="AW12:AW29" si="19">AB12*100</f>
        <v>4.0924764239125917</v>
      </c>
      <c r="AX12" s="477">
        <f t="shared" ref="AX12:AX29" si="20">AD12*100</f>
        <v>2.6125263688892968</v>
      </c>
    </row>
    <row r="13" spans="1:50" ht="15" customHeight="1">
      <c r="A13" s="1" t="s">
        <v>102</v>
      </c>
      <c r="B13" s="5">
        <f>+GETPIVOTDATA("Undergrad Student Credit Hour FTE - New",'FTE Pivot for regular counts'!$A$2,"State","DE","Category",1,"Category2","Four-Year")</f>
        <v>18911.099999999999</v>
      </c>
      <c r="C13" s="166">
        <f>+GETPIVOTDATA("Sum of New-HS % of Total",'Pivot-HS Student % of Undergrad'!$A$3,"State","DE","Category",1,"Category2","Four-Year")</f>
        <v>0</v>
      </c>
      <c r="D13" s="181">
        <f>+GETPIVOTDATA("Undergrad Student Credit Hour FTE - New",'FTE Pivot for regular counts'!$A$2,"State","DE","Category",2,"Category2","Four-Year")</f>
        <v>0</v>
      </c>
      <c r="E13" s="166">
        <f>+GETPIVOTDATA("Sum of New-HS % of Total",'Pivot-HS Student % of Undergrad'!$A$3,"State","DE","Category",2,"Category2","Four-Year")</f>
        <v>0</v>
      </c>
      <c r="F13" s="181">
        <f>+GETPIVOTDATA("Undergrad Student Credit Hour FTE - New",'FTE Pivot for regular counts'!$A$2,"State","DE","Category",3,"Category2","Four-Year")</f>
        <v>4065.0666666666666</v>
      </c>
      <c r="G13" s="166">
        <f>+GETPIVOTDATA("Sum of New-HS % of Total",'Pivot-HS Student % of Undergrad'!$A$3,"State","DE","Category",3,"Category2","Four-Year")</f>
        <v>0</v>
      </c>
      <c r="H13" s="181">
        <f>+GETPIVOTDATA("Undergrad Student Credit Hour FTE - New",'FTE Pivot for regular counts'!$A$2,"State","DE","Category",4,"Category2","Four-Year")</f>
        <v>0</v>
      </c>
      <c r="I13" s="166">
        <f>GETPIVOTDATA("Sum of New-HS % of Total",'Pivot-HS Student % of Undergrad'!$A$3,"State","DE","Category",4,"Category2","Four-Year")</f>
        <v>0</v>
      </c>
      <c r="J13" s="181">
        <f>+GETPIVOTDATA("Undergrad Student Credit Hour FTE - New",'FTE Pivot for regular counts'!$A$2,"State","DE","Category",5,"Category2","Four-Year")</f>
        <v>0</v>
      </c>
      <c r="K13" s="166">
        <f>+GETPIVOTDATA("Sum of New-HS % of Total",'Pivot-HS Student % of Undergrad'!$A$3,"State","DE","Category",5,"Category2","Four-Year")</f>
        <v>0</v>
      </c>
      <c r="L13" s="181">
        <f>+GETPIVOTDATA("Undergrad Student Credit Hour FTE - New",'FTE Pivot for regular counts'!$A$2,"State","DE","Category",6,"Category2","Four-Year")</f>
        <v>0</v>
      </c>
      <c r="M13" s="166">
        <f>+GETPIVOTDATA("Sum of New-HS % of Total",'Pivot-HS Student % of Undergrad'!$A$3,"State","DE","Category",6,"Category2","Four-Year")</f>
        <v>0</v>
      </c>
      <c r="N13" s="181">
        <f>+GETPIVOTDATA("Undergrad Student Credit Hour FTE - New",'FTE Pivot for regular counts'!$A$2,"State","DE","Category2","Four-Year")</f>
        <v>22976.166666666664</v>
      </c>
      <c r="O13" s="166">
        <f>+GETPIVOTDATA("Sum of New-HS % of Total",'Pivot-HS Student % of Undergrad'!$A$3,"State","DE","Category2","Group1")</f>
        <v>0</v>
      </c>
      <c r="Q13" s="1" t="s">
        <v>102</v>
      </c>
      <c r="R13" s="233">
        <f>+GETPIVOTDATA("Sum of Old-HS % of Total",'Pivot-HS Student % of Undergrad'!$A$3,"State","DE","Category",1,"Category2","Four-Year")</f>
        <v>0</v>
      </c>
      <c r="S13" s="439">
        <f t="shared" si="6"/>
        <v>0</v>
      </c>
      <c r="T13" s="234">
        <f>+GETPIVOTDATA("Sum of Old-HS % of Total",'Pivot-HS Student % of Undergrad'!$A$3,"State","DE","Category",2,"Category2","Four-Year")</f>
        <v>0</v>
      </c>
      <c r="U13" s="439">
        <f t="shared" si="0"/>
        <v>0</v>
      </c>
      <c r="V13" s="234">
        <f>+GETPIVOTDATA("Sum of Old-HS % of Total",'Pivot-HS Student % of Undergrad'!$A$3,"State","DE","Category",3,"Category2","Four-Year")</f>
        <v>0</v>
      </c>
      <c r="W13" s="439">
        <f t="shared" si="1"/>
        <v>0</v>
      </c>
      <c r="X13" s="234">
        <f>+GETPIVOTDATA("Sum of Old-HS % of Total",'Pivot-HS Student % of Undergrad'!$A$3,"State","DE","Category",4,"Category2","Four-Year")</f>
        <v>0</v>
      </c>
      <c r="Y13" s="439">
        <f t="shared" si="2"/>
        <v>0</v>
      </c>
      <c r="Z13" s="234">
        <f>+GETPIVOTDATA("Sum of Old-HS % of Total",'Pivot-HS Student % of Undergrad'!$A$3,"State","DE","Category",5,"Category2","Four-Year")</f>
        <v>0</v>
      </c>
      <c r="AA13" s="439">
        <f t="shared" si="3"/>
        <v>0</v>
      </c>
      <c r="AB13" s="234">
        <f>+GETPIVOTDATA("Sum of Old-HS % of Total",'Pivot-HS Student % of Undergrad'!$A$3,"State","DE","Category",6,"Category2","Four-Year")</f>
        <v>0</v>
      </c>
      <c r="AC13" s="439">
        <f t="shared" si="4"/>
        <v>0</v>
      </c>
      <c r="AD13" s="234">
        <f>+GETPIVOTDATA("Sum of Old-HS % of Total",'Pivot-HS Student % of Undergrad'!$A$3,"State","DE","Category2","Four-Year")</f>
        <v>0</v>
      </c>
      <c r="AE13" s="439">
        <f t="shared" si="5"/>
        <v>0</v>
      </c>
      <c r="AF13" s="1" t="s">
        <v>102</v>
      </c>
      <c r="AH13" s="480" t="s">
        <v>102</v>
      </c>
      <c r="AI13" s="477">
        <f t="shared" si="7"/>
        <v>0</v>
      </c>
      <c r="AJ13" s="477">
        <f t="shared" si="8"/>
        <v>0</v>
      </c>
      <c r="AK13" s="477">
        <f t="shared" si="9"/>
        <v>0</v>
      </c>
      <c r="AL13" s="477">
        <f t="shared" si="10"/>
        <v>0</v>
      </c>
      <c r="AM13" s="477">
        <f t="shared" si="11"/>
        <v>0</v>
      </c>
      <c r="AN13" s="477">
        <f t="shared" si="12"/>
        <v>0</v>
      </c>
      <c r="AO13" s="477">
        <f t="shared" si="13"/>
        <v>0</v>
      </c>
      <c r="AQ13" s="480" t="s">
        <v>102</v>
      </c>
      <c r="AR13" s="477">
        <f t="shared" si="14"/>
        <v>0</v>
      </c>
      <c r="AS13" s="477">
        <f t="shared" si="15"/>
        <v>0</v>
      </c>
      <c r="AT13" s="477">
        <f t="shared" si="16"/>
        <v>0</v>
      </c>
      <c r="AU13" s="477">
        <f t="shared" si="17"/>
        <v>0</v>
      </c>
      <c r="AV13" s="477">
        <f t="shared" si="18"/>
        <v>0</v>
      </c>
      <c r="AW13" s="477">
        <f t="shared" si="19"/>
        <v>0</v>
      </c>
      <c r="AX13" s="477">
        <f t="shared" si="20"/>
        <v>0</v>
      </c>
    </row>
    <row r="14" spans="1:50" ht="15" customHeight="1">
      <c r="A14" s="1" t="s">
        <v>67</v>
      </c>
      <c r="B14" s="5">
        <f>+GETPIVOTDATA("Undergrad Student Credit Hour FTE - New",'FTE Pivot for regular counts'!$A$2,"State","FL","Category",1,"Category2","Four-Year")</f>
        <v>203155.76666666666</v>
      </c>
      <c r="C14" s="166">
        <f>+GETPIVOTDATA("Sum of New-HS % of Total",'Pivot-HS Student % of Undergrad'!$A$3,"State","FL","Category",1,"Category2","Four-Year")</f>
        <v>9.0859673685528327E-3</v>
      </c>
      <c r="D14" s="181">
        <f>+GETPIVOTDATA("Undergrad Student Credit Hour FTE - New",'FTE Pivot for regular counts'!$A$2,"State","FL","Category",2,"Category2","Four-Year")</f>
        <v>0</v>
      </c>
      <c r="E14" s="166">
        <f>+GETPIVOTDATA("Sum of New-HS % of Total",'Pivot-HS Student % of Undergrad'!$A$3,"State","FL","Category",2,"Category2","Four-Year")</f>
        <v>0</v>
      </c>
      <c r="F14" s="181">
        <f>+GETPIVOTDATA("Undergrad Student Credit Hour FTE - New",'FTE Pivot for regular counts'!$A$2,"State","FL","Category",3,"Category2","Four-Year")</f>
        <v>28570.133333333331</v>
      </c>
      <c r="G14" s="166">
        <f>+GETPIVOTDATA("Sum of New-HS % of Total",'Pivot-HS Student % of Undergrad'!$A$3,"State","FL","Category",3,"Category2","Four-Year")</f>
        <v>4.4697026265190691E-3</v>
      </c>
      <c r="H14" s="181">
        <f>+GETPIVOTDATA("Undergrad Student Credit Hour FTE - New",'FTE Pivot for regular counts'!$A$2,"State","FL","Category",4,"Category2","Four-Year")</f>
        <v>11631.4</v>
      </c>
      <c r="I14" s="166">
        <f>+GETPIVOTDATA("Sum of New-HS % of Total",'Pivot-HS Student % of Undergrad'!$A$3,"State","FL","Category",4,"Category2","Four-Year")</f>
        <v>1.3096732408251228E-3</v>
      </c>
      <c r="J14" s="181">
        <f>+GETPIVOTDATA("Undergrad Student Credit Hour FTE - New",'FTE Pivot for regular counts'!$A$2,"State","FL","Category",5,"Category2","Four-Year")</f>
        <v>0</v>
      </c>
      <c r="K14" s="166">
        <f>+GETPIVOTDATA("Sum of New-HS % of Total",'Pivot-HS Student % of Undergrad'!$A$3,"State","FL","Category",5,"Category2","Four-Year")</f>
        <v>0</v>
      </c>
      <c r="L14" s="181">
        <f>+GETPIVOTDATA("Undergrad Student Credit Hour FTE - New",'FTE Pivot for regular counts'!$A$2,"State","FL","Category",6,"Category2","Four-Year")</f>
        <v>974.93333333333317</v>
      </c>
      <c r="M14" s="166">
        <f>+GETPIVOTDATA("Sum of New-HS % of Total",'Pivot-HS Student % of Undergrad'!$A$3,"State","FL","Category",6,"Category2","Four-Year")</f>
        <v>0</v>
      </c>
      <c r="N14" s="181">
        <f>+GETPIVOTDATA("Undergrad Student Credit Hour FTE - New",'FTE Pivot for regular counts'!$A$2,"State","FL","Category2","Four-Year")</f>
        <v>244332.23333333331</v>
      </c>
      <c r="O14" s="166">
        <f>+GETPIVOTDATA("Sum of New-HS % of Total",'Pivot-HS Student % of Undergrad'!$A$3,"State","FL","Category2","Group1")</f>
        <v>8.1723457648486403E-3</v>
      </c>
      <c r="Q14" s="1" t="s">
        <v>67</v>
      </c>
      <c r="R14" s="233">
        <f>+GETPIVOTDATA("Sum of Old-HS % of Total",'Pivot-HS Student % of Undergrad'!$A$3,"State","FL","Category",1,"Category2","Four-Year")</f>
        <v>9.4505004050701984E-3</v>
      </c>
      <c r="S14" s="439">
        <f t="shared" si="6"/>
        <v>-3.6453303651736574E-2</v>
      </c>
      <c r="T14" s="234">
        <f>+GETPIVOTDATA("Sum of Old-HS % of Total",'Pivot-HS Student % of Undergrad'!$A$3,"State","FL","Category",2,"Category2","Four-Year")</f>
        <v>0</v>
      </c>
      <c r="U14" s="439">
        <f t="shared" si="0"/>
        <v>0</v>
      </c>
      <c r="V14" s="234">
        <f>+GETPIVOTDATA("Sum of Old-HS % of Total",'Pivot-HS Student % of Undergrad'!$A$3,"State","FL","Category",3,"Category2","Four-Year")</f>
        <v>1.2868443248911482E-3</v>
      </c>
      <c r="W14" s="476">
        <f t="shared" si="1"/>
        <v>0.3182858301627921</v>
      </c>
      <c r="X14" s="234">
        <f>+GETPIVOTDATA("Sum of Old-HS % of Total",'Pivot-HS Student % of Undergrad'!$A$3,"State","FL","Category",4,"Category2","Four-Year")</f>
        <v>1.0044188486031743E-3</v>
      </c>
      <c r="Y14" s="439">
        <f t="shared" si="2"/>
        <v>3.0525439222194854E-2</v>
      </c>
      <c r="Z14" s="234">
        <f>+GETPIVOTDATA("Sum of Old-HS % of Total",'Pivot-HS Student % of Undergrad'!$A$3,"State","FL","Category",5,"Category2","Four-Year")</f>
        <v>0</v>
      </c>
      <c r="AA14" s="439">
        <f t="shared" si="3"/>
        <v>0</v>
      </c>
      <c r="AB14" s="234">
        <f>+GETPIVOTDATA("Sum of Old-HS % of Total",'Pivot-HS Student % of Undergrad'!$A$3,"State","FL","Category",6,"Category2","Four-Year")</f>
        <v>0</v>
      </c>
      <c r="AC14" s="439">
        <f t="shared" si="4"/>
        <v>0</v>
      </c>
      <c r="AD14" s="234">
        <f>+GETPIVOTDATA("Sum of Old-HS % of Total",'Pivot-HS Student % of Undergrad'!$A$3,"State","FL","Category2","Four-Year")</f>
        <v>8.064993577960115E-3</v>
      </c>
      <c r="AE14" s="439">
        <f t="shared" si="5"/>
        <v>1.0735218688852528E-2</v>
      </c>
      <c r="AF14" s="1" t="s">
        <v>67</v>
      </c>
      <c r="AH14" s="480" t="s">
        <v>67</v>
      </c>
      <c r="AI14" s="477">
        <f t="shared" si="7"/>
        <v>0.9085967368552833</v>
      </c>
      <c r="AJ14" s="477">
        <f t="shared" si="8"/>
        <v>0</v>
      </c>
      <c r="AK14" s="477">
        <f t="shared" si="9"/>
        <v>0.44697026265190692</v>
      </c>
      <c r="AL14" s="477">
        <f t="shared" si="10"/>
        <v>0.13096732408251227</v>
      </c>
      <c r="AM14" s="477">
        <f t="shared" si="11"/>
        <v>0</v>
      </c>
      <c r="AN14" s="477">
        <f t="shared" si="12"/>
        <v>0</v>
      </c>
      <c r="AO14" s="477">
        <f t="shared" si="13"/>
        <v>0.81723457648486408</v>
      </c>
      <c r="AQ14" s="480" t="s">
        <v>67</v>
      </c>
      <c r="AR14" s="477">
        <f t="shared" si="14"/>
        <v>0.9450500405070198</v>
      </c>
      <c r="AS14" s="477">
        <f t="shared" si="15"/>
        <v>0</v>
      </c>
      <c r="AT14" s="477">
        <f t="shared" si="16"/>
        <v>0.12868443248911482</v>
      </c>
      <c r="AU14" s="477">
        <f t="shared" si="17"/>
        <v>0.10044188486031742</v>
      </c>
      <c r="AV14" s="477">
        <f t="shared" si="18"/>
        <v>0</v>
      </c>
      <c r="AW14" s="477">
        <f t="shared" si="19"/>
        <v>0</v>
      </c>
      <c r="AX14" s="477">
        <f t="shared" si="20"/>
        <v>0.80649935779601145</v>
      </c>
    </row>
    <row r="15" spans="1:50" ht="15" customHeight="1">
      <c r="B15" s="5"/>
      <c r="C15" s="166"/>
      <c r="D15" s="181"/>
      <c r="E15" s="166"/>
      <c r="F15" s="181"/>
      <c r="G15" s="166"/>
      <c r="H15" s="181"/>
      <c r="I15" s="166"/>
      <c r="J15" s="181"/>
      <c r="K15" s="166"/>
      <c r="L15" s="181"/>
      <c r="M15" s="166"/>
      <c r="N15" s="181"/>
      <c r="O15" s="166"/>
      <c r="R15" s="233"/>
      <c r="S15" s="439"/>
      <c r="T15" s="234"/>
      <c r="U15" s="439"/>
      <c r="V15" s="234"/>
      <c r="W15" s="439"/>
      <c r="X15" s="234"/>
      <c r="Y15" s="439"/>
      <c r="Z15" s="234"/>
      <c r="AA15" s="439"/>
      <c r="AB15" s="234"/>
      <c r="AC15" s="439"/>
      <c r="AD15" s="234"/>
      <c r="AE15" s="439"/>
      <c r="AH15" s="480"/>
      <c r="AI15" s="477">
        <f t="shared" si="7"/>
        <v>0</v>
      </c>
      <c r="AJ15" s="477">
        <f t="shared" si="8"/>
        <v>0</v>
      </c>
      <c r="AK15" s="477">
        <f t="shared" si="9"/>
        <v>0</v>
      </c>
      <c r="AL15" s="477">
        <f t="shared" si="10"/>
        <v>0</v>
      </c>
      <c r="AM15" s="477">
        <f t="shared" si="11"/>
        <v>0</v>
      </c>
      <c r="AN15" s="477">
        <f t="shared" si="12"/>
        <v>0</v>
      </c>
      <c r="AO15" s="477">
        <f t="shared" si="13"/>
        <v>0</v>
      </c>
      <c r="AQ15" s="480"/>
      <c r="AR15" s="477">
        <f t="shared" si="14"/>
        <v>0</v>
      </c>
      <c r="AS15" s="477">
        <f t="shared" si="15"/>
        <v>0</v>
      </c>
      <c r="AT15" s="477">
        <f t="shared" si="16"/>
        <v>0</v>
      </c>
      <c r="AU15" s="477">
        <f t="shared" si="17"/>
        <v>0</v>
      </c>
      <c r="AV15" s="477">
        <f t="shared" si="18"/>
        <v>0</v>
      </c>
      <c r="AW15" s="477">
        <f t="shared" si="19"/>
        <v>0</v>
      </c>
      <c r="AX15" s="477">
        <f t="shared" si="20"/>
        <v>0</v>
      </c>
    </row>
    <row r="16" spans="1:50" ht="15" customHeight="1">
      <c r="A16" s="1" t="s">
        <v>68</v>
      </c>
      <c r="B16" s="5">
        <f>+GETPIVOTDATA("Undergrad Student Credit Hour FTE - New",'FTE Pivot for regular counts'!$A$2,"State","GA","Category",1,"Category2","Four-Year")</f>
        <v>48074.95</v>
      </c>
      <c r="C16" s="166">
        <f>+GETPIVOTDATA("Sum of New-HS % of Total",'Pivot-HS Student % of Undergrad'!$A$3,"State","GA","Category",1,"Category2","Four-Year")</f>
        <v>2.4961024400441396E-3</v>
      </c>
      <c r="D16" s="181">
        <f>+GETPIVOTDATA("Undergrad Student Credit Hour FTE - New",'FTE Pivot for regular counts'!$A$2,"State","GA","Category",2,"Category2","Four-Year")</f>
        <v>14453.966333333334</v>
      </c>
      <c r="E16" s="166">
        <f>+GETPIVOTDATA("Sum of New-HS % of Total",'Pivot-HS Student % of Undergrad'!$A$3,"State","GA","Category",2,"Category2","Four-Year")</f>
        <v>8.3875477870560978E-3</v>
      </c>
      <c r="F16" s="181">
        <f>+GETPIVOTDATA("Undergrad Student Credit Hour FTE - New",'FTE Pivot for regular counts'!$A$2,"State","GA","Category",3,"Category2","Four-Year")</f>
        <v>61139.80000000001</v>
      </c>
      <c r="G16" s="166">
        <f>+GETPIVOTDATA("Sum of New-HS % of Total",'Pivot-HS Student % of Undergrad'!$A$3,"State","GA","Category",3,"Category2","Four-Year")</f>
        <v>8.7149996129089937E-3</v>
      </c>
      <c r="H16" s="181">
        <f>+GETPIVOTDATA("Undergrad Student Credit Hour FTE - New",'FTE Pivot for regular counts'!$A$2,"State","GA","Category",4,"Category2","Four-Year")</f>
        <v>45588.066666666666</v>
      </c>
      <c r="I16" s="166">
        <f>+GETPIVOTDATA("Sum of New-HS % of Total",'Pivot-HS Student % of Undergrad'!$A$3,"State","GA","Category",4,"Category2","Four-Year")</f>
        <v>1.7239160540550816E-2</v>
      </c>
      <c r="J16" s="181">
        <f>+GETPIVOTDATA("Undergrad Student Credit Hour FTE - New",'FTE Pivot for regular counts'!$A$2,"State","GA","Category",5,"Category2","Four-Year")</f>
        <v>6372.5666666666675</v>
      </c>
      <c r="K16" s="166">
        <f>+GETPIVOTDATA("Sum of New-HS % of Total",'Pivot-HS Student % of Undergrad'!$A$3,"State","GA","Category",5,"Category2","Four-Year")</f>
        <v>1.0487663264932497E-2</v>
      </c>
      <c r="L16" s="181">
        <f>+GETPIVOTDATA("Undergrad Student Credit Hour FTE - New",'FTE Pivot for regular counts'!$A$2,"State","GA","Category",6,"Category2","Four-Year")</f>
        <v>19351.933333333331</v>
      </c>
      <c r="M16" s="166">
        <f>+GETPIVOTDATA("Sum of New-HS % of Total",'Pivot-HS Student % of Undergrad'!$A$3,"State","GA","Category",6,"Category2","Four-Year")</f>
        <v>2.5389366781613552E-2</v>
      </c>
      <c r="N16" s="181">
        <f>+GETPIVOTDATA("Undergrad Student Credit Hour FTE - New",'FTE Pivot for regular counts'!$A$2,"State","GA","Category2","Four-Year")</f>
        <v>194981.283</v>
      </c>
      <c r="O16" s="166">
        <f>+GETPIVOTDATA("Sum of New-HS % of Total",'Pivot-HS Student % of Undergrad'!$A$3,"State","GA","Category2","Group1")</f>
        <v>1.0863264928528208E-2</v>
      </c>
      <c r="Q16" s="1" t="s">
        <v>68</v>
      </c>
      <c r="R16" s="233">
        <f>+GETPIVOTDATA("Sum of Old-HS % of Total",'Pivot-HS Student % of Undergrad'!$A$3,"State","GA","Category",1,"Category2","Four-Year")</f>
        <v>2.2425996489935465E-3</v>
      </c>
      <c r="S16" s="439">
        <f t="shared" ref="S16:S19" si="21">(C16-R16)*100</f>
        <v>2.5350279105059315E-2</v>
      </c>
      <c r="T16" s="234">
        <f>+GETPIVOTDATA("Sum of Old-HS % of Total",'Pivot-HS Student % of Undergrad'!$A$3,"State","GA","Category",2,"Category2","Four-Year")</f>
        <v>7.457135461966977E-3</v>
      </c>
      <c r="U16" s="439">
        <f t="shared" si="0"/>
        <v>9.3041232508912081E-2</v>
      </c>
      <c r="V16" s="234">
        <f>+GETPIVOTDATA("Sum of Old-HS % of Total",'Pivot-HS Student % of Undergrad'!$A$3,"State","GA","Category",3,"Category2","Four-Year")</f>
        <v>6.9446924286868175E-3</v>
      </c>
      <c r="W16" s="439">
        <f t="shared" si="1"/>
        <v>0.17703071842221763</v>
      </c>
      <c r="X16" s="234">
        <f>+GETPIVOTDATA("Sum of Old-HS % of Total",'Pivot-HS Student % of Undergrad'!$A$3,"State","GA","Category",4,"Category2","Four-Year")</f>
        <v>1.3699483977792786E-2</v>
      </c>
      <c r="Y16" s="439">
        <f t="shared" si="2"/>
        <v>0.35396765627580296</v>
      </c>
      <c r="Z16" s="234">
        <f>+GETPIVOTDATA("Sum of Old-HS % of Total",'Pivot-HS Student % of Undergrad'!$A$3,"State","GA","Category",5,"Category2","Four-Year")</f>
        <v>8.9892058946604222E-3</v>
      </c>
      <c r="AA16" s="439">
        <f t="shared" si="3"/>
        <v>0.14984573702720749</v>
      </c>
      <c r="AB16" s="234">
        <f>+GETPIVOTDATA("Sum of Old-HS % of Total",'Pivot-HS Student % of Undergrad'!$A$3,"State","GA","Category",6,"Category2","Four-Year")</f>
        <v>2.3826400349822974E-2</v>
      </c>
      <c r="AC16" s="439">
        <f t="shared" si="4"/>
        <v>0.15629664317905778</v>
      </c>
      <c r="AD16" s="234">
        <f>+GETPIVOTDATA("Sum of Old-HS % of Total",'Pivot-HS Student % of Undergrad'!$A$3,"State","GA","Category2","Four-Year")</f>
        <v>9.1545285710023915E-3</v>
      </c>
      <c r="AE16" s="439">
        <f t="shared" si="5"/>
        <v>0.17087363575258169</v>
      </c>
      <c r="AF16" s="1" t="s">
        <v>68</v>
      </c>
      <c r="AH16" s="480" t="s">
        <v>68</v>
      </c>
      <c r="AI16" s="477">
        <f t="shared" si="7"/>
        <v>0.24961024400441395</v>
      </c>
      <c r="AJ16" s="477">
        <f t="shared" si="8"/>
        <v>0.83875477870560977</v>
      </c>
      <c r="AK16" s="477">
        <f t="shared" si="9"/>
        <v>0.87149996129089935</v>
      </c>
      <c r="AL16" s="477">
        <f t="shared" si="10"/>
        <v>1.7239160540550815</v>
      </c>
      <c r="AM16" s="477">
        <f t="shared" si="11"/>
        <v>1.0487663264932496</v>
      </c>
      <c r="AN16" s="477">
        <f t="shared" si="12"/>
        <v>2.5389366781613552</v>
      </c>
      <c r="AO16" s="477">
        <f t="shared" si="13"/>
        <v>1.0863264928528209</v>
      </c>
      <c r="AQ16" s="480" t="s">
        <v>68</v>
      </c>
      <c r="AR16" s="477">
        <f t="shared" si="14"/>
        <v>0.22425996489935465</v>
      </c>
      <c r="AS16" s="477">
        <f t="shared" si="15"/>
        <v>0.74571354619669772</v>
      </c>
      <c r="AT16" s="477">
        <f t="shared" si="16"/>
        <v>0.69446924286868172</v>
      </c>
      <c r="AU16" s="477">
        <f t="shared" si="17"/>
        <v>1.3699483977792786</v>
      </c>
      <c r="AV16" s="477">
        <f t="shared" si="18"/>
        <v>0.89892058946604225</v>
      </c>
      <c r="AW16" s="477">
        <f t="shared" si="19"/>
        <v>2.3826400349822974</v>
      </c>
      <c r="AX16" s="477">
        <f t="shared" si="20"/>
        <v>0.91545285710023916</v>
      </c>
    </row>
    <row r="17" spans="1:50" ht="15" customHeight="1">
      <c r="A17" s="1" t="s">
        <v>69</v>
      </c>
      <c r="B17" s="5">
        <f>+GETPIVOTDATA("Undergrad Student Credit Hour FTE - New",'FTE Pivot for regular counts'!$A$2,"State","KY","Category",1,"Category2","Four-Year")</f>
        <v>34419.1</v>
      </c>
      <c r="C17" s="166">
        <f>+GETPIVOTDATA("Sum of New-HS % of Total",'Pivot-HS Student % of Undergrad'!$A$3,"State","KY","Category",1,"Category2","Four-Year")</f>
        <v>1.9097923342950088E-3</v>
      </c>
      <c r="D17" s="181">
        <f>+GETPIVOTDATA("Undergrad Student Credit Hour FTE - New",'FTE Pivot for regular counts'!$A$2,"State","KY","Category",2,"Category2","Four-Year")</f>
        <v>0</v>
      </c>
      <c r="E17" s="166">
        <f>+GETPIVOTDATA("Sum of New-HS % of Total",'Pivot-HS Student % of Undergrad'!$A$3,"State","KY","Category",2,"Category2","Four-Year")</f>
        <v>0</v>
      </c>
      <c r="F17" s="181">
        <f>+GETPIVOTDATA("Undergrad Student Credit Hour FTE - New",'FTE Pivot for regular counts'!$A$2,"State","KY","Category",3,"Category2","Four-Year")</f>
        <v>51873.966666666674</v>
      </c>
      <c r="G17" s="166">
        <f>+GETPIVOTDATA("Sum of New-HS % of Total",'Pivot-HS Student % of Undergrad'!$A$3,"State","KY","Category",3,"Category2","Four-Year")</f>
        <v>3.4527916700670021E-2</v>
      </c>
      <c r="H17" s="181">
        <f>+GETPIVOTDATA("Undergrad Student Credit Hour FTE - New",'FTE Pivot for regular counts'!$A$2,"State","KY","Category",4,"Category2","Four-Year")</f>
        <v>1371.8666666666666</v>
      </c>
      <c r="I17" s="166">
        <f>+GETPIVOTDATA("Sum of New-HS % of Total",'Pivot-HS Student % of Undergrad'!$A$3,"State","KY","Category",4,"Category2","Four-Year")</f>
        <v>4.1233356011274175E-2</v>
      </c>
      <c r="J17" s="181">
        <f>+GETPIVOTDATA("Undergrad Student Credit Hour FTE - New",'FTE Pivot for regular counts'!$A$2,"State","KY","Category",5,"Category2","Four-Year")</f>
        <v>0</v>
      </c>
      <c r="K17" s="166">
        <f>+GETPIVOTDATA("Sum of New-HS % of Total",'Pivot-HS Student % of Undergrad'!$A$3,"State","KY","Category",5,"Category2","Four-Year")</f>
        <v>0</v>
      </c>
      <c r="L17" s="181">
        <f>+GETPIVOTDATA("Undergrad Student Credit Hour FTE - New",'FTE Pivot for regular counts'!$A$2,"State","KY","Category",6,"Category2","Four-Year")</f>
        <v>0</v>
      </c>
      <c r="M17" s="166">
        <f>+GETPIVOTDATA("Sum of New-HS % of Total",'Pivot-HS Student % of Undergrad'!$A$3,"State","KY","Category",6,"Category2","Four-Year")</f>
        <v>0</v>
      </c>
      <c r="N17" s="181">
        <f>+GETPIVOTDATA("Undergrad Student Credit Hour FTE - New",'FTE Pivot for regular counts'!$A$2,"State","KY","Category2","Four-Year")</f>
        <v>87664.933333333349</v>
      </c>
      <c r="O17" s="166">
        <f>+GETPIVOTDATA("Sum of New-HS % of Total",'Pivot-HS Student % of Undergrad'!$A$3,"State","KY","Category2","Group1")</f>
        <v>2.18262870596681E-2</v>
      </c>
      <c r="Q17" s="1" t="s">
        <v>69</v>
      </c>
      <c r="R17" s="233">
        <f>+GETPIVOTDATA("Sum of Old-HS % of Total",'Pivot-HS Student % of Undergrad'!$A$3,"State","KY","Category",1,"Category2","Four-Year")</f>
        <v>1.6268446112127136E-3</v>
      </c>
      <c r="S17" s="439">
        <f t="shared" si="21"/>
        <v>2.8294772308229518E-2</v>
      </c>
      <c r="T17" s="234">
        <f>+GETPIVOTDATA("Sum of Old-HS % of Total",'Pivot-HS Student % of Undergrad'!$A$3,"State","KY","Category",2,"Category2","Four-Year")</f>
        <v>0</v>
      </c>
      <c r="U17" s="439">
        <f t="shared" si="0"/>
        <v>0</v>
      </c>
      <c r="V17" s="234">
        <f>+GETPIVOTDATA("Sum of Old-HS % of Total",'Pivot-HS Student % of Undergrad'!$A$3,"State","KY","Category",3,"Category2","Four-Year")</f>
        <v>3.0176985922800131E-2</v>
      </c>
      <c r="W17" s="439">
        <f t="shared" si="1"/>
        <v>0.43509307778698891</v>
      </c>
      <c r="X17" s="234">
        <f>+GETPIVOTDATA("Sum of Old-HS % of Total",'Pivot-HS Student % of Undergrad'!$A$3,"State","KY","Category",4,"Category2","Four-Year")</f>
        <v>3.1181723691746387E-2</v>
      </c>
      <c r="Y17" s="439">
        <f t="shared" si="2"/>
        <v>1.0051632319527788</v>
      </c>
      <c r="Z17" s="234">
        <f>+GETPIVOTDATA("Sum of Old-HS % of Total",'Pivot-HS Student % of Undergrad'!$A$3,"State","KY","Category",5,"Category2","Four-Year")</f>
        <v>0</v>
      </c>
      <c r="AA17" s="439">
        <f t="shared" si="3"/>
        <v>0</v>
      </c>
      <c r="AB17" s="234">
        <f>+GETPIVOTDATA("Sum of Old-HS % of Total",'Pivot-HS Student % of Undergrad'!$A$3,"State","KY","Category",6,"Category2","Four-Year")</f>
        <v>0</v>
      </c>
      <c r="AC17" s="439">
        <f t="shared" si="4"/>
        <v>0</v>
      </c>
      <c r="AD17" s="234">
        <f>+GETPIVOTDATA("Sum of Old-HS % of Total",'Pivot-HS Student % of Undergrad'!$A$3,"State","KY","Category2","Four-Year")</f>
        <v>1.9133749178725075E-2</v>
      </c>
      <c r="AE17" s="439">
        <f t="shared" si="5"/>
        <v>0.2692537880943025</v>
      </c>
      <c r="AF17" s="1" t="s">
        <v>69</v>
      </c>
      <c r="AH17" s="480" t="s">
        <v>69</v>
      </c>
      <c r="AI17" s="477">
        <f t="shared" si="7"/>
        <v>0.19097923342950088</v>
      </c>
      <c r="AJ17" s="477">
        <f t="shared" si="8"/>
        <v>0</v>
      </c>
      <c r="AK17" s="477">
        <f t="shared" si="9"/>
        <v>3.4527916700670023</v>
      </c>
      <c r="AL17" s="477">
        <f t="shared" si="10"/>
        <v>4.1233356011274171</v>
      </c>
      <c r="AM17" s="477">
        <f t="shared" si="11"/>
        <v>0</v>
      </c>
      <c r="AN17" s="477">
        <f t="shared" si="12"/>
        <v>0</v>
      </c>
      <c r="AO17" s="477">
        <f t="shared" si="13"/>
        <v>2.1826287059668101</v>
      </c>
      <c r="AQ17" s="480" t="s">
        <v>69</v>
      </c>
      <c r="AR17" s="477">
        <f t="shared" si="14"/>
        <v>0.16268446112127136</v>
      </c>
      <c r="AS17" s="477">
        <f t="shared" si="15"/>
        <v>0</v>
      </c>
      <c r="AT17" s="477">
        <f t="shared" si="16"/>
        <v>3.0176985922800132</v>
      </c>
      <c r="AU17" s="477">
        <f t="shared" si="17"/>
        <v>3.1181723691746388</v>
      </c>
      <c r="AV17" s="477">
        <f t="shared" si="18"/>
        <v>0</v>
      </c>
      <c r="AW17" s="477">
        <f t="shared" si="19"/>
        <v>0</v>
      </c>
      <c r="AX17" s="477">
        <f t="shared" si="20"/>
        <v>1.9133749178725075</v>
      </c>
    </row>
    <row r="18" spans="1:50" ht="15" customHeight="1">
      <c r="A18" s="1" t="s">
        <v>70</v>
      </c>
      <c r="B18" s="5">
        <f>+GETPIVOTDATA("Undergrad Student Credit Hour FTE - New",'FTE Pivot for regular counts'!$A$2,"State","LA","Category",1,"Category2","Four-Year")</f>
        <v>24616.400000000001</v>
      </c>
      <c r="C18" s="166">
        <f>+GETPIVOTDATA("Sum of New-HS % of Total",'Pivot-HS Student % of Undergrad'!$A$3,"State","LA","Category",1,"Category2","Four-Year")</f>
        <v>7.9405057874696004E-3</v>
      </c>
      <c r="D18" s="181">
        <f>+GETPIVOTDATA("Undergrad Student Credit Hour FTE - New",'FTE Pivot for regular counts'!$A$2,"State","LA","Category",2,"Category2","Four-Year")</f>
        <v>27936.533333333333</v>
      </c>
      <c r="E18" s="166">
        <f>+GETPIVOTDATA("Sum of New-HS % of Total",'Pivot-HS Student % of Undergrad'!$A$3,"State","LA","Category",2,"Category2","Four-Year")</f>
        <v>2.839173555296768E-2</v>
      </c>
      <c r="F18" s="181">
        <f>+GETPIVOTDATA("Undergrad Student Credit Hour FTE - New",'FTE Pivot for regular counts'!$A$2,"State","LA","Category",3,"Category2","Four-Year")</f>
        <v>21635.833333333332</v>
      </c>
      <c r="G18" s="166">
        <f>+GETPIVOTDATA("Sum of New-HS % of Total",'Pivot-HS Student % of Undergrad'!$A$3,"State","LA","Category",3,"Category2","Four-Year")</f>
        <v>5.4650078958517888E-2</v>
      </c>
      <c r="H18" s="181">
        <f>+GETPIVOTDATA("Undergrad Student Credit Hour FTE - New",'FTE Pivot for regular counts'!$A$2,"State","LA","Category",4,"Category2","Four-Year")</f>
        <v>23738.833333333336</v>
      </c>
      <c r="I18" s="166">
        <f>+GETPIVOTDATA("Sum of New-HS % of Total",'Pivot-HS Student % of Undergrad'!$A$3,"State","LA","Category",4,"Category2","Four-Year")</f>
        <v>3.1908335849136084E-2</v>
      </c>
      <c r="J18" s="181">
        <f>+GETPIVOTDATA("Undergrad Student Credit Hour FTE - New",'FTE Pivot for regular counts'!$A$2,"State","LA","Category",5,"Category2","Four-Year")</f>
        <v>1912.3333333333333</v>
      </c>
      <c r="K18" s="166">
        <f>+GETPIVOTDATA("Sum of New-HS % of Total",'Pivot-HS Student % of Undergrad'!$A$3,"State","LA","Category",5,"Category2","Four-Year")</f>
        <v>2.4472720934286211E-2</v>
      </c>
      <c r="L18" s="181">
        <f>+GETPIVOTDATA("Undergrad Student Credit Hour FTE - New",'FTE Pivot for regular counts'!$A$2,"State","LA","Category",6,"Category2","Four-Year")</f>
        <v>2026.6</v>
      </c>
      <c r="M18" s="166">
        <f>+GETPIVOTDATA("Sum of New-HS % of Total",'Pivot-HS Student % of Undergrad'!$A$3,"State","LA","Category",6,"Category2","Four-Year")</f>
        <v>9.1368137109773345E-2</v>
      </c>
      <c r="N18" s="181">
        <f>+GETPIVOTDATA("Undergrad Student Credit Hour FTE - New",'FTE Pivot for regular counts'!$A$2,"State","LA","Category2","Four-Year")</f>
        <v>101866.53333333334</v>
      </c>
      <c r="O18" s="166">
        <f>+GETPIVOTDATA("Sum of New-HS % of Total",'Pivot-HS Student % of Undergrad'!$A$3,"State","LA","Category2","Group1")</f>
        <v>3.1025564169586611E-2</v>
      </c>
      <c r="Q18" s="1" t="s">
        <v>70</v>
      </c>
      <c r="R18" s="233">
        <f>+GETPIVOTDATA("Sum of Old-HS % of Total",'Pivot-HS Student % of Undergrad'!$A$3,"State","LA","Category",1,"Category2","Four-Year")</f>
        <v>6.2896977806411111E-3</v>
      </c>
      <c r="S18" s="439">
        <f t="shared" si="21"/>
        <v>0.16508080068284892</v>
      </c>
      <c r="T18" s="234">
        <f>+GETPIVOTDATA("Sum of Old-HS % of Total",'Pivot-HS Student % of Undergrad'!$A$3,"State","LA","Category",2,"Category2","Four-Year")</f>
        <v>2.5011175544846085E-2</v>
      </c>
      <c r="U18" s="439">
        <f t="shared" si="0"/>
        <v>0.33805600081215947</v>
      </c>
      <c r="V18" s="234">
        <f>+GETPIVOTDATA("Sum of Old-HS % of Total",'Pivot-HS Student % of Undergrad'!$A$3,"State","LA","Category",3,"Category2","Four-Year")</f>
        <v>4.6532912128057796E-2</v>
      </c>
      <c r="W18" s="439">
        <f t="shared" si="1"/>
        <v>0.81171668304600919</v>
      </c>
      <c r="X18" s="234">
        <f>+GETPIVOTDATA("Sum of Old-HS % of Total",'Pivot-HS Student % of Undergrad'!$A$3,"State","LA","Category",4,"Category2","Four-Year")</f>
        <v>3.1052360991347068E-2</v>
      </c>
      <c r="Y18" s="439">
        <f t="shared" si="2"/>
        <v>8.5597485778901583E-2</v>
      </c>
      <c r="Z18" s="234">
        <f>+GETPIVOTDATA("Sum of Old-HS % of Total",'Pivot-HS Student % of Undergrad'!$A$3,"State","LA","Category",5,"Category2","Four-Year")</f>
        <v>2.1068969756577328E-2</v>
      </c>
      <c r="AA18" s="439">
        <f t="shared" si="3"/>
        <v>0.34037511777088825</v>
      </c>
      <c r="AB18" s="234">
        <f>+GETPIVOTDATA("Sum of Old-HS % of Total",'Pivot-HS Student % of Undergrad'!$A$3,"State","LA","Category",6,"Category2","Four-Year")</f>
        <v>6.2078930732412177E-2</v>
      </c>
      <c r="AC18" s="439">
        <f t="shared" si="4"/>
        <v>2.928920637736117</v>
      </c>
      <c r="AD18" s="234">
        <f>+GETPIVOTDATA("Sum of Old-HS % of Total",'Pivot-HS Student % of Undergrad'!$A$3,"State","LA","Category2","Four-Year")</f>
        <v>2.7220230246948546E-2</v>
      </c>
      <c r="AE18" s="439">
        <f t="shared" si="5"/>
        <v>0.38053339226380645</v>
      </c>
      <c r="AF18" s="1" t="s">
        <v>70</v>
      </c>
      <c r="AH18" s="480" t="s">
        <v>70</v>
      </c>
      <c r="AI18" s="477">
        <f t="shared" si="7"/>
        <v>0.79405057874696006</v>
      </c>
      <c r="AJ18" s="477">
        <f t="shared" si="8"/>
        <v>2.8391735552967678</v>
      </c>
      <c r="AK18" s="477">
        <f t="shared" si="9"/>
        <v>5.4650078958517891</v>
      </c>
      <c r="AL18" s="477">
        <f t="shared" si="10"/>
        <v>3.1908335849136082</v>
      </c>
      <c r="AM18" s="477">
        <f t="shared" si="11"/>
        <v>2.4472720934286212</v>
      </c>
      <c r="AN18" s="477">
        <f t="shared" si="12"/>
        <v>9.136813710977334</v>
      </c>
      <c r="AO18" s="477">
        <f t="shared" si="13"/>
        <v>3.1025564169586612</v>
      </c>
      <c r="AQ18" s="480" t="s">
        <v>70</v>
      </c>
      <c r="AR18" s="477">
        <f t="shared" si="14"/>
        <v>0.62896977806411114</v>
      </c>
      <c r="AS18" s="477">
        <f t="shared" si="15"/>
        <v>2.5011175544846087</v>
      </c>
      <c r="AT18" s="477">
        <f t="shared" si="16"/>
        <v>4.6532912128057795</v>
      </c>
      <c r="AU18" s="477">
        <f t="shared" si="17"/>
        <v>3.1052360991347068</v>
      </c>
      <c r="AV18" s="477">
        <f t="shared" si="18"/>
        <v>2.1068969756577327</v>
      </c>
      <c r="AW18" s="477">
        <f t="shared" si="19"/>
        <v>6.2078930732412179</v>
      </c>
      <c r="AX18" s="477">
        <f t="shared" si="20"/>
        <v>2.7220230246948547</v>
      </c>
    </row>
    <row r="19" spans="1:50" ht="15" customHeight="1">
      <c r="A19" s="1" t="s">
        <v>71</v>
      </c>
      <c r="B19" s="5">
        <f>+GETPIVOTDATA("Undergrad Student Credit Hour FTE - New",'FTE Pivot for regular counts'!$A$2,"State","MD","Category",1,"Category2","Four-Year")</f>
        <v>27151.466666666667</v>
      </c>
      <c r="C19" s="166">
        <f>+GETPIVOTDATA("Sum of New-HS % of Total",'Pivot-HS Student % of Undergrad'!$A$3,"State","MD","Category",1,"Category2","Four-Year")</f>
        <v>0</v>
      </c>
      <c r="D19" s="181">
        <f>+GETPIVOTDATA("Undergrad Student Credit Hour FTE - New",'FTE Pivot for regular counts'!$A$2,"State","MD","Category",2,"Category2","Four-Year")</f>
        <v>16778.25</v>
      </c>
      <c r="E19" s="166">
        <f>+GETPIVOTDATA("Sum of New-HS % of Total",'Pivot-HS Student % of Undergrad'!$A$3,"State","MD","Category",2,"Category2","Four-Year")</f>
        <v>0</v>
      </c>
      <c r="F19" s="181">
        <f>+GETPIVOTDATA("Undergrad Student Credit Hour FTE - New",'FTE Pivot for regular counts'!$A$2,"State","MD","Category",3,"Category2","Four-Year")</f>
        <v>18059.849999999999</v>
      </c>
      <c r="G19" s="166">
        <f>+GETPIVOTDATA("Sum of New-HS % of Total",'Pivot-HS Student % of Undergrad'!$A$3,"State","MD","Category",3,"Category2","Four-Year")</f>
        <v>0</v>
      </c>
      <c r="H19" s="181">
        <f>+GETPIVOTDATA("Undergrad Student Credit Hour FTE - New",'FTE Pivot for regular counts'!$A$2,"State","MD","Category",4,"Category2","Four-Year")</f>
        <v>22247.516666666666</v>
      </c>
      <c r="I19" s="166">
        <f>+GETPIVOTDATA("Sum of New-HS % of Total",'Pivot-HS Student % of Undergrad'!$A$3,"State","MD","Category",4,"Category2","Four-Year")</f>
        <v>0</v>
      </c>
      <c r="J19" s="181">
        <f>+GETPIVOTDATA("Undergrad Student Credit Hour FTE - New",'FTE Pivot for regular counts'!$A$2,"State","MD","Category",5,"Category2","Four-Year")</f>
        <v>2336.6666666666665</v>
      </c>
      <c r="K19" s="166">
        <f>+GETPIVOTDATA("Sum of New-HS % of Total",'Pivot-HS Student % of Undergrad'!$A$3,"State","MD","Category",5,"Category2","Four-Year")</f>
        <v>0</v>
      </c>
      <c r="L19" s="181">
        <f>+GETPIVOTDATA("Undergrad Student Credit Hour FTE - New",'FTE Pivot for regular counts'!$A$2,"State","MD","Category",6,"Category2","Four-Year")</f>
        <v>1786.15</v>
      </c>
      <c r="M19" s="166">
        <f>+GETPIVOTDATA("Sum of New-HS % of Total",'Pivot-HS Student % of Undergrad'!$A$3,"State","MD","Category",6,"Category2","Four-Year")</f>
        <v>0</v>
      </c>
      <c r="N19" s="181">
        <f>+GETPIVOTDATA("Undergrad Student Credit Hour FTE - New",'FTE Pivot for regular counts'!$A$2,"State","MD","Category2","Four-Year")</f>
        <v>88359.9</v>
      </c>
      <c r="O19" s="166">
        <f>+GETPIVOTDATA("Sum of New-HS % of Total",'Pivot-HS Student % of Undergrad'!$A$3,"State","MD","Category2","Group1")</f>
        <v>0</v>
      </c>
      <c r="Q19" s="1" t="s">
        <v>71</v>
      </c>
      <c r="R19" s="233">
        <f>+GETPIVOTDATA("Sum of Old-HS % of Total",'Pivot-HS Student % of Undergrad'!$A$3,"State","MD","Category",1,"Category2","Four-Year")</f>
        <v>0</v>
      </c>
      <c r="S19" s="439">
        <f t="shared" si="21"/>
        <v>0</v>
      </c>
      <c r="T19" s="234">
        <f>+GETPIVOTDATA("Sum of Old-HS % of Total",'Pivot-HS Student % of Undergrad'!$A$3,"State","MD","Category",2,"Category2","Four-Year")</f>
        <v>0</v>
      </c>
      <c r="U19" s="439">
        <f t="shared" si="0"/>
        <v>0</v>
      </c>
      <c r="V19" s="234">
        <f>+GETPIVOTDATA("Sum of Old-HS % of Total",'Pivot-HS Student % of Undergrad'!$A$3,"State","MD","Category",3,"Category2","Four-Year")</f>
        <v>0</v>
      </c>
      <c r="W19" s="439">
        <f t="shared" si="1"/>
        <v>0</v>
      </c>
      <c r="X19" s="234">
        <f>+GETPIVOTDATA("Sum of Old-HS % of Total",'Pivot-HS Student % of Undergrad'!$A$3,"State","MD","Category",4,"Category2","Four-Year")</f>
        <v>0</v>
      </c>
      <c r="Y19" s="439">
        <f t="shared" si="2"/>
        <v>0</v>
      </c>
      <c r="Z19" s="234">
        <f>+GETPIVOTDATA("Sum of Old-HS % of Total",'Pivot-HS Student % of Undergrad'!$A$3,"State","MD","Category",5,"Category2","Four-Year")</f>
        <v>0</v>
      </c>
      <c r="AA19" s="439">
        <f t="shared" si="3"/>
        <v>0</v>
      </c>
      <c r="AB19" s="234">
        <f>+GETPIVOTDATA("Sum of Old-HS % of Total",'Pivot-HS Student % of Undergrad'!$A$3,"State","MD","Category",6,"Category2","Four-Year")</f>
        <v>0</v>
      </c>
      <c r="AC19" s="439">
        <f t="shared" si="4"/>
        <v>0</v>
      </c>
      <c r="AD19" s="234">
        <f>+GETPIVOTDATA("Sum of Old-HS % of Total",'Pivot-HS Student % of Undergrad'!$A$3,"State","MD","Category2","Four-Year")</f>
        <v>0</v>
      </c>
      <c r="AE19" s="439">
        <f t="shared" si="5"/>
        <v>0</v>
      </c>
      <c r="AF19" s="1" t="s">
        <v>71</v>
      </c>
      <c r="AH19" s="480" t="s">
        <v>71</v>
      </c>
      <c r="AI19" s="477">
        <f t="shared" si="7"/>
        <v>0</v>
      </c>
      <c r="AJ19" s="477">
        <f t="shared" si="8"/>
        <v>0</v>
      </c>
      <c r="AK19" s="477">
        <f t="shared" si="9"/>
        <v>0</v>
      </c>
      <c r="AL19" s="477">
        <f t="shared" si="10"/>
        <v>0</v>
      </c>
      <c r="AM19" s="477">
        <f t="shared" si="11"/>
        <v>0</v>
      </c>
      <c r="AN19" s="477">
        <f t="shared" si="12"/>
        <v>0</v>
      </c>
      <c r="AO19" s="477">
        <f t="shared" si="13"/>
        <v>0</v>
      </c>
      <c r="AQ19" s="480" t="s">
        <v>71</v>
      </c>
      <c r="AR19" s="477">
        <f t="shared" si="14"/>
        <v>0</v>
      </c>
      <c r="AS19" s="477">
        <f t="shared" si="15"/>
        <v>0</v>
      </c>
      <c r="AT19" s="477">
        <f t="shared" si="16"/>
        <v>0</v>
      </c>
      <c r="AU19" s="477">
        <f t="shared" si="17"/>
        <v>0</v>
      </c>
      <c r="AV19" s="477">
        <f t="shared" si="18"/>
        <v>0</v>
      </c>
      <c r="AW19" s="477">
        <f t="shared" si="19"/>
        <v>0</v>
      </c>
      <c r="AX19" s="477">
        <f t="shared" si="20"/>
        <v>0</v>
      </c>
    </row>
    <row r="20" spans="1:50" ht="15" customHeight="1">
      <c r="B20" s="5"/>
      <c r="C20" s="166"/>
      <c r="D20" s="181"/>
      <c r="E20" s="166"/>
      <c r="F20" s="181"/>
      <c r="G20" s="166"/>
      <c r="H20" s="181"/>
      <c r="I20" s="166"/>
      <c r="J20" s="181"/>
      <c r="K20" s="166"/>
      <c r="L20" s="181"/>
      <c r="M20" s="166"/>
      <c r="N20" s="181"/>
      <c r="O20" s="166"/>
      <c r="R20" s="233"/>
      <c r="S20" s="439"/>
      <c r="T20" s="234"/>
      <c r="U20" s="439"/>
      <c r="V20" s="234"/>
      <c r="W20" s="439"/>
      <c r="X20" s="234"/>
      <c r="Y20" s="439"/>
      <c r="Z20" s="234"/>
      <c r="AA20" s="439"/>
      <c r="AB20" s="234"/>
      <c r="AC20" s="439"/>
      <c r="AD20" s="234"/>
      <c r="AE20" s="439"/>
      <c r="AH20" s="480"/>
      <c r="AI20" s="477">
        <f t="shared" si="7"/>
        <v>0</v>
      </c>
      <c r="AJ20" s="477">
        <f t="shared" si="8"/>
        <v>0</v>
      </c>
      <c r="AK20" s="477">
        <f t="shared" si="9"/>
        <v>0</v>
      </c>
      <c r="AL20" s="477">
        <f t="shared" si="10"/>
        <v>0</v>
      </c>
      <c r="AM20" s="477">
        <f t="shared" si="11"/>
        <v>0</v>
      </c>
      <c r="AN20" s="477">
        <f t="shared" si="12"/>
        <v>0</v>
      </c>
      <c r="AO20" s="477">
        <f t="shared" si="13"/>
        <v>0</v>
      </c>
      <c r="AQ20" s="480"/>
      <c r="AR20" s="477">
        <f t="shared" si="14"/>
        <v>0</v>
      </c>
      <c r="AS20" s="477">
        <f t="shared" si="15"/>
        <v>0</v>
      </c>
      <c r="AT20" s="477">
        <f t="shared" si="16"/>
        <v>0</v>
      </c>
      <c r="AU20" s="477">
        <f t="shared" si="17"/>
        <v>0</v>
      </c>
      <c r="AV20" s="477">
        <f t="shared" si="18"/>
        <v>0</v>
      </c>
      <c r="AW20" s="477">
        <f t="shared" si="19"/>
        <v>0</v>
      </c>
      <c r="AX20" s="477">
        <f t="shared" si="20"/>
        <v>0</v>
      </c>
    </row>
    <row r="21" spans="1:50" ht="15" customHeight="1">
      <c r="A21" s="1" t="s">
        <v>72</v>
      </c>
      <c r="B21" s="5">
        <f>+GETPIVOTDATA("Undergrad Student Credit Hour FTE - New",'FTE Pivot for regular counts'!$A$2,"State","MS","Category",1,"Category2","Four-Year")</f>
        <v>26479.466666666667</v>
      </c>
      <c r="C21" s="166">
        <f>+GETPIVOTDATA("Sum of New-HS % of Total",'Pivot-HS Student % of Undergrad'!$A$3,"State","MS","Category",1,"Category2","Four-Year")</f>
        <v>0</v>
      </c>
      <c r="D21" s="181">
        <f>+GETPIVOTDATA("Undergrad Student Credit Hour FTE - New",'FTE Pivot for regular counts'!$A$2,"State","MS","Category",2,"Category2","Four-Year")</f>
        <v>23353.333333333336</v>
      </c>
      <c r="E21" s="166">
        <f>+GETPIVOTDATA("Sum of New-HS % of Total",'Pivot-HS Student % of Undergrad'!$A$3,"State","MS","Category",2,"Category2","Four-Year")</f>
        <v>0</v>
      </c>
      <c r="F21" s="181">
        <f>+GETPIVOTDATA("Undergrad Student Credit Hour FTE - New",'FTE Pivot for regular counts'!$A$2,"State","MS","Category",3,"Category2","Four-Year")</f>
        <v>0</v>
      </c>
      <c r="G21" s="166">
        <f>+GETPIVOTDATA("Sum of New-HS % of Total",'Pivot-HS Student % of Undergrad'!$A$3,"State","MS","Category",3,"Category2","Four-Year")</f>
        <v>0</v>
      </c>
      <c r="H21" s="181">
        <f>+GETPIVOTDATA("Undergrad Student Credit Hour FTE - New",'FTE Pivot for regular counts'!$A$2,"State","MS","Category",4,"Category2","Four-Year")</f>
        <v>6810.0666666666666</v>
      </c>
      <c r="I21" s="166">
        <f>+GETPIVOTDATA("Sum of New-HS % of Total",'Pivot-HS Student % of Undergrad'!$A$3,"State","MS","Category",4,"Category2","Four-Year")</f>
        <v>0</v>
      </c>
      <c r="J21" s="181">
        <f>+GETPIVOTDATA("Undergrad Student Credit Hour FTE - New",'FTE Pivot for regular counts'!$A$2,"State","MS","Category",5,"Category2","Four-Year")</f>
        <v>2322.1666666666665</v>
      </c>
      <c r="K21" s="166">
        <f>+GETPIVOTDATA("Sum of New-HS % of Total",'Pivot-HS Student % of Undergrad'!$A$3,"State","MS","Category",5,"Category2","Four-Year")</f>
        <v>0</v>
      </c>
      <c r="L21" s="181">
        <f>+GETPIVOTDATA("Undergrad Student Credit Hour FTE - New",'FTE Pivot for regular counts'!$A$2,"State","MS","Category",6,"Category2","Four-Year")</f>
        <v>0</v>
      </c>
      <c r="M21" s="166">
        <f>+GETPIVOTDATA("Sum of New-HS % of Total",'Pivot-HS Student % of Undergrad'!$A$3,"State","MS","Category",6,"Category2","Four-Year")</f>
        <v>0</v>
      </c>
      <c r="N21" s="181">
        <f>+GETPIVOTDATA("Undergrad Student Credit Hour FTE - New",'FTE Pivot for regular counts'!$A$2,"State","MS","Category2","Four-Year")</f>
        <v>58965.033333333333</v>
      </c>
      <c r="O21" s="166">
        <f>+GETPIVOTDATA("Sum of New-HS % of Total",'Pivot-HS Student % of Undergrad'!$A$3,"State","MS","Category2","Group1")</f>
        <v>0</v>
      </c>
      <c r="Q21" s="1" t="s">
        <v>72</v>
      </c>
      <c r="R21" s="233">
        <f>+GETPIVOTDATA("Sum of Old-HS % of Total",'Pivot-HS Student % of Undergrad'!$A$3,"State","MS","Category",1,"Category2","Four-Year")</f>
        <v>0</v>
      </c>
      <c r="S21" s="439">
        <f t="shared" ref="S21:S24" si="22">(C21-R21)*100</f>
        <v>0</v>
      </c>
      <c r="T21" s="234">
        <f>+GETPIVOTDATA("Sum of Old-HS % of Total",'Pivot-HS Student % of Undergrad'!$A$3,"State","MS","Category",2,"Category2","Four-Year")</f>
        <v>0</v>
      </c>
      <c r="U21" s="439">
        <f t="shared" si="0"/>
        <v>0</v>
      </c>
      <c r="V21" s="234">
        <f>+GETPIVOTDATA("Sum of Old-HS % of Total",'Pivot-HS Student % of Undergrad'!$A$3,"State","MS","Category",3,"Category2","Four-Year")</f>
        <v>0</v>
      </c>
      <c r="W21" s="439">
        <f t="shared" si="1"/>
        <v>0</v>
      </c>
      <c r="X21" s="234">
        <f>+GETPIVOTDATA("Sum of Old-HS % of Total",'Pivot-HS Student % of Undergrad'!$A$3,"State","MS","Category",4,"Category2","Four-Year")</f>
        <v>0</v>
      </c>
      <c r="Y21" s="439">
        <f t="shared" si="2"/>
        <v>0</v>
      </c>
      <c r="Z21" s="234">
        <f>+GETPIVOTDATA("Sum of Old-HS % of Total",'Pivot-HS Student % of Undergrad'!$A$3,"State","MS","Category",5,"Category2","Four-Year")</f>
        <v>0</v>
      </c>
      <c r="AA21" s="439">
        <f t="shared" si="3"/>
        <v>0</v>
      </c>
      <c r="AB21" s="234">
        <f>+GETPIVOTDATA("Sum of Old-HS % of Total",'Pivot-HS Student % of Undergrad'!$A$3,"State","MS","Category",6,"Category2","Four-Year")</f>
        <v>0</v>
      </c>
      <c r="AC21" s="439">
        <f t="shared" si="4"/>
        <v>0</v>
      </c>
      <c r="AD21" s="234">
        <f>+GETPIVOTDATA("Sum of Old-HS % of Total",'Pivot-HS Student % of Undergrad'!$A$3,"State","MS","Category2","Four-Year")</f>
        <v>0</v>
      </c>
      <c r="AE21" s="439">
        <f t="shared" si="5"/>
        <v>0</v>
      </c>
      <c r="AF21" s="1" t="s">
        <v>72</v>
      </c>
      <c r="AH21" s="480" t="s">
        <v>72</v>
      </c>
      <c r="AI21" s="477">
        <f t="shared" si="7"/>
        <v>0</v>
      </c>
      <c r="AJ21" s="477">
        <f t="shared" si="8"/>
        <v>0</v>
      </c>
      <c r="AK21" s="477">
        <f t="shared" si="9"/>
        <v>0</v>
      </c>
      <c r="AL21" s="477">
        <f t="shared" si="10"/>
        <v>0</v>
      </c>
      <c r="AM21" s="477">
        <f t="shared" si="11"/>
        <v>0</v>
      </c>
      <c r="AN21" s="477">
        <f t="shared" si="12"/>
        <v>0</v>
      </c>
      <c r="AO21" s="477">
        <f t="shared" si="13"/>
        <v>0</v>
      </c>
      <c r="AQ21" s="480" t="s">
        <v>72</v>
      </c>
      <c r="AR21" s="477">
        <f t="shared" si="14"/>
        <v>0</v>
      </c>
      <c r="AS21" s="477">
        <f t="shared" si="15"/>
        <v>0</v>
      </c>
      <c r="AT21" s="477">
        <f t="shared" si="16"/>
        <v>0</v>
      </c>
      <c r="AU21" s="477">
        <f t="shared" si="17"/>
        <v>0</v>
      </c>
      <c r="AV21" s="477">
        <f t="shared" si="18"/>
        <v>0</v>
      </c>
      <c r="AW21" s="477">
        <f t="shared" si="19"/>
        <v>0</v>
      </c>
      <c r="AX21" s="477">
        <f t="shared" si="20"/>
        <v>0</v>
      </c>
    </row>
    <row r="22" spans="1:50" ht="15" customHeight="1">
      <c r="A22" s="1" t="s">
        <v>73</v>
      </c>
      <c r="B22" s="5">
        <f>+GETPIVOTDATA("Undergrad Student Credit Hour FTE - New",'FTE Pivot for regular counts'!$A$2,"State","NC","Category",1,"Category2","Four-Year")</f>
        <v>74944.633333333331</v>
      </c>
      <c r="C22" s="166">
        <f>+GETPIVOTDATA("Sum of New-HS % of Total",'Pivot-HS Student % of Undergrad'!$A$3,"State","NC","Category",1,"Category2","Four-Year")</f>
        <v>2.3484003079606765E-3</v>
      </c>
      <c r="D22" s="181">
        <f>+GETPIVOTDATA("Undergrad Student Credit Hour FTE - New",'FTE Pivot for regular counts'!$A$2,"State","NC","Category",2,"Category2","Four-Year")</f>
        <v>20511.133333333335</v>
      </c>
      <c r="E22" s="166">
        <f>+GETPIVOTDATA("Sum of New-HS % of Total",'Pivot-HS Student % of Undergrad'!$A$3,"State","NC","Category",2,"Category2","Four-Year")</f>
        <v>9.8076816818183296E-3</v>
      </c>
      <c r="F22" s="181">
        <f>+GETPIVOTDATA("Undergrad Student Credit Hour FTE - New",'FTE Pivot for regular counts'!$A$2,"State","NC","Category",3,"Category2","Four-Year")</f>
        <v>51861.533333333333</v>
      </c>
      <c r="G22" s="166">
        <f>+GETPIVOTDATA("Sum of New-HS % of Total",'Pivot-HS Student % of Undergrad'!$A$3,"State","NC","Category",3,"Category2","Four-Year")</f>
        <v>3.9341940012057753E-3</v>
      </c>
      <c r="H22" s="181">
        <f>+GETPIVOTDATA("Undergrad Student Credit Hour FTE - New",'FTE Pivot for regular counts'!$A$2,"State","NC","Category",4,"Category2","Four-Year")</f>
        <v>5046.1000000000004</v>
      </c>
      <c r="I22" s="166">
        <f>+GETPIVOTDATA("Sum of New-HS % of Total",'Pivot-HS Student % of Undergrad'!$A$3,"State","NC","Category",4,"Category2","Four-Year")</f>
        <v>1.778931584127676E-2</v>
      </c>
      <c r="J22" s="181">
        <f>+GETPIVOTDATA("Undergrad Student Credit Hour FTE - New",'FTE Pivot for regular counts'!$A$2,"State","NC","Category",5,"Category2","Four-Year")</f>
        <v>9373.7000000000007</v>
      </c>
      <c r="K22" s="166">
        <f>+GETPIVOTDATA("Sum of New-HS % of Total",'Pivot-HS Student % of Undergrad'!$A$3,"State","NC","Category",5,"Category2","Four-Year")</f>
        <v>0</v>
      </c>
      <c r="L22" s="181">
        <f>+GETPIVOTDATA("Undergrad Student Credit Hour FTE - New",'FTE Pivot for regular counts'!$A$2,"State","NC","Category",6,"Category2","Four-Year")</f>
        <v>5067.6666666666661</v>
      </c>
      <c r="M22" s="166">
        <f>+GETPIVOTDATA("Sum of New-HS % of Total",'Pivot-HS Student % of Undergrad'!$A$3,"State","NC","Category",6,"Category2","Four-Year")</f>
        <v>0</v>
      </c>
      <c r="N22" s="181">
        <f>+GETPIVOTDATA("Undergrad Student Credit Hour FTE - New",'FTE Pivot for regular counts'!$A$2,"State","NC","Category2","Four-Year")</f>
        <v>166804.76666666666</v>
      </c>
      <c r="O22" s="166">
        <f>+GETPIVOTDATA("Sum of New-HS % of Total",'Pivot-HS Student % of Undergrad'!$A$3,"State","NC","Category2","Group1")</f>
        <v>4.022466983857176E-3</v>
      </c>
      <c r="Q22" s="1" t="s">
        <v>73</v>
      </c>
      <c r="R22" s="233">
        <f>+GETPIVOTDATA("Sum of Old-HS % of Total",'Pivot-HS Student % of Undergrad'!$A$3,"State","NC","Category",1,"Category2","Four-Year")</f>
        <v>1.1606975900655821E-3</v>
      </c>
      <c r="S22" s="439">
        <f t="shared" si="22"/>
        <v>0.11877027178950944</v>
      </c>
      <c r="T22" s="234">
        <f>+GETPIVOTDATA("Sum of Old-HS % of Total",'Pivot-HS Student % of Undergrad'!$A$3,"State","NC","Category",2,"Category2","Four-Year")</f>
        <v>4.4328513487025614E-3</v>
      </c>
      <c r="U22" s="439">
        <f t="shared" si="0"/>
        <v>0.53748303331157676</v>
      </c>
      <c r="V22" s="234">
        <f>+GETPIVOTDATA("Sum of Old-HS % of Total",'Pivot-HS Student % of Undergrad'!$A$3,"State","NC","Category",3,"Category2","Four-Year")</f>
        <v>3.9556603492634443E-3</v>
      </c>
      <c r="W22" s="439">
        <f t="shared" si="1"/>
        <v>-2.1466348057668991E-3</v>
      </c>
      <c r="X22" s="234">
        <f>+GETPIVOTDATA("Sum of Old-HS % of Total",'Pivot-HS Student % of Undergrad'!$A$3,"State","NC","Category",4,"Category2","Four-Year")</f>
        <v>3.1624995793653465E-2</v>
      </c>
      <c r="Y22" s="439">
        <f t="shared" si="2"/>
        <v>-1.3835679952376705</v>
      </c>
      <c r="Z22" s="234">
        <f>+GETPIVOTDATA("Sum of Old-HS % of Total",'Pivot-HS Student % of Undergrad'!$A$3,"State","NC","Category",5,"Category2","Four-Year")</f>
        <v>0</v>
      </c>
      <c r="AA22" s="439">
        <f t="shared" si="3"/>
        <v>0</v>
      </c>
      <c r="AB22" s="234">
        <f>+GETPIVOTDATA("Sum of Old-HS % of Total",'Pivot-HS Student % of Undergrad'!$A$3,"State","NC","Category",6,"Category2","Four-Year")</f>
        <v>0</v>
      </c>
      <c r="AC22" s="439">
        <f t="shared" si="4"/>
        <v>0</v>
      </c>
      <c r="AD22" s="234">
        <f>+GETPIVOTDATA("Sum of Old-HS % of Total",'Pivot-HS Student % of Undergrad'!$A$3,"State","NC","Category2","Four-Year")</f>
        <v>3.2332219759865048E-3</v>
      </c>
      <c r="AE22" s="439">
        <f t="shared" si="5"/>
        <v>7.8924500787067114E-2</v>
      </c>
      <c r="AF22" s="1" t="s">
        <v>73</v>
      </c>
      <c r="AH22" s="480" t="s">
        <v>73</v>
      </c>
      <c r="AI22" s="477">
        <f t="shared" si="7"/>
        <v>0.23484003079606766</v>
      </c>
      <c r="AJ22" s="477">
        <f t="shared" si="8"/>
        <v>0.98076816818183299</v>
      </c>
      <c r="AK22" s="477">
        <f t="shared" si="9"/>
        <v>0.39341940012057752</v>
      </c>
      <c r="AL22" s="477">
        <f t="shared" si="10"/>
        <v>1.778931584127676</v>
      </c>
      <c r="AM22" s="477">
        <f t="shared" si="11"/>
        <v>0</v>
      </c>
      <c r="AN22" s="477">
        <f t="shared" si="12"/>
        <v>0</v>
      </c>
      <c r="AO22" s="477">
        <f t="shared" si="13"/>
        <v>0.40224669838571758</v>
      </c>
      <c r="AQ22" s="480" t="s">
        <v>73</v>
      </c>
      <c r="AR22" s="477">
        <f t="shared" si="14"/>
        <v>0.11606975900655822</v>
      </c>
      <c r="AS22" s="477">
        <f t="shared" si="15"/>
        <v>0.44328513487025611</v>
      </c>
      <c r="AT22" s="477">
        <f t="shared" si="16"/>
        <v>0.39556603492634446</v>
      </c>
      <c r="AU22" s="477">
        <f t="shared" si="17"/>
        <v>3.1624995793653463</v>
      </c>
      <c r="AV22" s="477">
        <f t="shared" si="18"/>
        <v>0</v>
      </c>
      <c r="AW22" s="477">
        <f t="shared" si="19"/>
        <v>0</v>
      </c>
      <c r="AX22" s="477">
        <f t="shared" si="20"/>
        <v>0.3233221975986505</v>
      </c>
    </row>
    <row r="23" spans="1:50" ht="15" customHeight="1">
      <c r="A23" s="1" t="s">
        <v>74</v>
      </c>
      <c r="B23" s="5">
        <f>+GETPIVOTDATA("Undergrad Student Credit Hour FTE - New",'FTE Pivot for regular counts'!$A$2,"State","OK","Category",1,"Category2","Four-Year")</f>
        <v>40026.1</v>
      </c>
      <c r="C23" s="166">
        <f>+GETPIVOTDATA("Sum of New-HS % of Total",'Pivot-HS Student % of Undergrad'!$A$3,"State","OK","Category",1,"Category2","Four-Year")</f>
        <v>0</v>
      </c>
      <c r="D23" s="181">
        <f>+GETPIVOTDATA("Undergrad Student Credit Hour FTE - New",'FTE Pivot for regular counts'!$A$2,"State","OK","Category",2,"Category2","Four-Year")</f>
        <v>0</v>
      </c>
      <c r="E23" s="166">
        <f>+GETPIVOTDATA("Sum of New-HS % of Total",'Pivot-HS Student % of Undergrad'!$A$3,"State","OK","Category",2,"Category2","Four-Year")</f>
        <v>0</v>
      </c>
      <c r="F23" s="181">
        <f>+GETPIVOTDATA("Undergrad Student Credit Hour FTE - New",'FTE Pivot for regular counts'!$A$2,"State","OK","Category",3,"Category2","Four-Year")</f>
        <v>17928.599999999999</v>
      </c>
      <c r="G23" s="166">
        <f>+GETPIVOTDATA("Sum of New-HS % of Total",'Pivot-HS Student % of Undergrad'!$A$3,"State","OK","Category",3,"Category2","Four-Year")</f>
        <v>0</v>
      </c>
      <c r="H23" s="181">
        <f>+GETPIVOTDATA("Undergrad Student Credit Hour FTE - New",'FTE Pivot for regular counts'!$A$2,"State","OK","Category",4,"Category2","Four-Year")</f>
        <v>2811.2333333333331</v>
      </c>
      <c r="I23" s="166">
        <f>+GETPIVOTDATA("Sum of New-HS % of Total",'Pivot-HS Student % of Undergrad'!$A$3,"State","OK","Category",4,"Category2","Four-Year")</f>
        <v>0</v>
      </c>
      <c r="J23" s="181">
        <f>+GETPIVOTDATA("Undergrad Student Credit Hour FTE - New",'FTE Pivot for regular counts'!$A$2,"State","OK","Category",5,"Category2","Four-Year")</f>
        <v>14641</v>
      </c>
      <c r="K23" s="166">
        <f>+GETPIVOTDATA("Sum of New-HS % of Total",'Pivot-HS Student % of Undergrad'!$A$3,"State","OK","Category",5,"Category2","Four-Year")</f>
        <v>0</v>
      </c>
      <c r="L23" s="181">
        <f>+GETPIVOTDATA("Undergrad Student Credit Hour FTE - New",'FTE Pivot for regular counts'!$A$2,"State","OK","Category",6,"Category2","Four-Year")</f>
        <v>4867.6333333333332</v>
      </c>
      <c r="M23" s="166">
        <f>+GETPIVOTDATA("Sum of New-HS % of Total",'Pivot-HS Student % of Undergrad'!$A$3,"State","OK","Category",6,"Category2","Four-Year")</f>
        <v>0</v>
      </c>
      <c r="N23" s="181">
        <f>+GETPIVOTDATA("Undergrad Student Credit Hour FTE - New",'FTE Pivot for regular counts'!$A$2,"State","OK","Category2","Four-Year")</f>
        <v>80274.566666666651</v>
      </c>
      <c r="O23" s="166">
        <f>+GETPIVOTDATA("Sum of New-HS % of Total",'Pivot-HS Student % of Undergrad'!$A$3,"State","OK","Category2","Group1")</f>
        <v>0</v>
      </c>
      <c r="Q23" s="1" t="s">
        <v>74</v>
      </c>
      <c r="R23" s="233">
        <f>+GETPIVOTDATA("Sum of Old-HS % of Total",'Pivot-HS Student % of Undergrad'!$A$3,"State","OK","Category",1,"Category2","Four-Year")</f>
        <v>0</v>
      </c>
      <c r="S23" s="439">
        <f t="shared" si="22"/>
        <v>0</v>
      </c>
      <c r="T23" s="234">
        <f>+GETPIVOTDATA("Sum of Old-HS % of Total",'Pivot-HS Student % of Undergrad'!$A$3,"State","OK","Category",2,"Category2","Four-Year")</f>
        <v>0</v>
      </c>
      <c r="U23" s="439">
        <f t="shared" si="0"/>
        <v>0</v>
      </c>
      <c r="V23" s="234">
        <f>+GETPIVOTDATA("Sum of Old-HS % of Total",'Pivot-HS Student % of Undergrad'!$A$3,"State","OK","Category",3,"Category2","Four-Year")</f>
        <v>0</v>
      </c>
      <c r="W23" s="439">
        <f t="shared" si="1"/>
        <v>0</v>
      </c>
      <c r="X23" s="234">
        <f>+GETPIVOTDATA("Sum of Old-HS % of Total",'Pivot-HS Student % of Undergrad'!$A$3,"State","OK","Category",4,"Category2","Four-Year")</f>
        <v>0</v>
      </c>
      <c r="Y23" s="439">
        <f t="shared" si="2"/>
        <v>0</v>
      </c>
      <c r="Z23" s="234">
        <f>+GETPIVOTDATA("Sum of Old-HS % of Total",'Pivot-HS Student % of Undergrad'!$A$3,"State","OK","Category",5,"Category2","Four-Year")</f>
        <v>0</v>
      </c>
      <c r="AA23" s="439">
        <f t="shared" si="3"/>
        <v>0</v>
      </c>
      <c r="AB23" s="234">
        <f>+GETPIVOTDATA("Sum of Old-HS % of Total",'Pivot-HS Student % of Undergrad'!$A$3,"State","OK","Category",6,"Category2","Four-Year")</f>
        <v>0</v>
      </c>
      <c r="AC23" s="439">
        <f t="shared" si="4"/>
        <v>0</v>
      </c>
      <c r="AD23" s="234">
        <f>+GETPIVOTDATA("Sum of Old-HS % of Total",'Pivot-HS Student % of Undergrad'!$A$3,"State","OK","Category2","Four-Year")</f>
        <v>0</v>
      </c>
      <c r="AE23" s="439">
        <f t="shared" si="5"/>
        <v>0</v>
      </c>
      <c r="AF23" s="1" t="s">
        <v>74</v>
      </c>
      <c r="AH23" s="480" t="s">
        <v>74</v>
      </c>
      <c r="AI23" s="477">
        <f t="shared" si="7"/>
        <v>0</v>
      </c>
      <c r="AJ23" s="477">
        <f t="shared" si="8"/>
        <v>0</v>
      </c>
      <c r="AK23" s="477">
        <f t="shared" si="9"/>
        <v>0</v>
      </c>
      <c r="AL23" s="477">
        <f t="shared" si="10"/>
        <v>0</v>
      </c>
      <c r="AM23" s="477">
        <f t="shared" si="11"/>
        <v>0</v>
      </c>
      <c r="AN23" s="477">
        <f t="shared" si="12"/>
        <v>0</v>
      </c>
      <c r="AO23" s="477">
        <f t="shared" si="13"/>
        <v>0</v>
      </c>
      <c r="AQ23" s="480" t="s">
        <v>74</v>
      </c>
      <c r="AR23" s="477">
        <f t="shared" si="14"/>
        <v>0</v>
      </c>
      <c r="AS23" s="477">
        <f t="shared" si="15"/>
        <v>0</v>
      </c>
      <c r="AT23" s="477">
        <f t="shared" si="16"/>
        <v>0</v>
      </c>
      <c r="AU23" s="477">
        <f t="shared" si="17"/>
        <v>0</v>
      </c>
      <c r="AV23" s="477">
        <f t="shared" si="18"/>
        <v>0</v>
      </c>
      <c r="AW23" s="477">
        <f t="shared" si="19"/>
        <v>0</v>
      </c>
      <c r="AX23" s="477">
        <f t="shared" si="20"/>
        <v>0</v>
      </c>
    </row>
    <row r="24" spans="1:50" ht="15" customHeight="1">
      <c r="A24" s="1" t="s">
        <v>75</v>
      </c>
      <c r="B24" s="5">
        <f>+GETPIVOTDATA("Undergrad Student Credit Hour FTE - New",'FTE Pivot for regular counts'!$A$2,"State","SC","Category",1,"Category2","Four-Year")</f>
        <v>43152.566666666666</v>
      </c>
      <c r="C24" s="206">
        <f>+GETPIVOTDATA("Sum of New-HS % of Total",'Pivot-HS Student % of Undergrad'!$A$3,"State","SC","Category",1,"Category2","Four-Year")</f>
        <v>1.2761849099457343E-3</v>
      </c>
      <c r="D24" s="181">
        <f>+GETPIVOTDATA("Undergrad Student Credit Hour FTE - New",'FTE Pivot for regular counts'!$A$2,"State","SC","Category",2,"Category2","Four-Year")</f>
        <v>0</v>
      </c>
      <c r="E24" s="166">
        <f>+GETPIVOTDATA("Sum of New-HS % of Total",'Pivot-HS Student % of Undergrad'!$A$3,"State","SC","Category",2,"Category2","Four-Year")</f>
        <v>0</v>
      </c>
      <c r="F24" s="181">
        <f>+GETPIVOTDATA("Undergrad Student Credit Hour FTE - New",'FTE Pivot for regular counts'!$A$2,"State","SC","Category",3,"Category2","Four-Year")</f>
        <v>18149.083333333332</v>
      </c>
      <c r="G24" s="166">
        <f>+GETPIVOTDATA("Sum of New-HS % of Total",'Pivot-HS Student % of Undergrad'!$A$3,"State","SC","Category",3,"Category2","Four-Year")</f>
        <v>3.9561226691889858E-3</v>
      </c>
      <c r="H24" s="181">
        <f>+GETPIVOTDATA("Undergrad Student Credit Hour FTE - New",'FTE Pivot for regular counts'!$A$2,"State","SC","Category",4,"Category2","Four-Year")</f>
        <v>0</v>
      </c>
      <c r="I24" s="166">
        <f>+GETPIVOTDATA("Sum of New-HS % of Total",'Pivot-HS Student % of Undergrad'!$A$3,"State","SC","Category",4,"Category2","Four-Year")</f>
        <v>0</v>
      </c>
      <c r="J24" s="181">
        <f>+GETPIVOTDATA("Undergrad Student Credit Hour FTE - New",'FTE Pivot for regular counts'!$A$2,"State","SC","Category",5,"Category2","Four-Year")</f>
        <v>14960.333333333332</v>
      </c>
      <c r="K24" s="166">
        <f>+GETPIVOTDATA("Sum of New-HS % of Total",'Pivot-HS Student % of Undergrad'!$A$3,"State","SC","Category",5,"Category2","Four-Year")</f>
        <v>1.7279782828107056E-2</v>
      </c>
      <c r="L24" s="181">
        <f>+GETPIVOTDATA("Undergrad Student Credit Hour FTE - New",'FTE Pivot for regular counts'!$A$2,"State","SC","Category",6,"Category2","Four-Year")</f>
        <v>12213.216666666667</v>
      </c>
      <c r="M24" s="166">
        <f>+GETPIVOTDATA("Sum of New-HS % of Total",'Pivot-HS Student % of Undergrad'!$A$3,"State","SC","Category",6,"Category2","Four-Year")</f>
        <v>2.2699688371330164E-3</v>
      </c>
      <c r="N24" s="181">
        <f>+GETPIVOTDATA("Undergrad Student Credit Hour FTE - New",'FTE Pivot for regular counts'!$A$2,"State","SC","Category2","Four-Year")</f>
        <v>88475.199999999983</v>
      </c>
      <c r="O24" s="166">
        <f>+GETPIVOTDATA("Sum of New-HS % of Total",'Pivot-HS Student % of Undergrad'!$A$3,"State","SC","Category2","Group1")</f>
        <v>4.4955715321456603E-3</v>
      </c>
      <c r="Q24" s="1" t="s">
        <v>75</v>
      </c>
      <c r="R24" s="233">
        <f>+GETPIVOTDATA("Sum of Old-HS % of Total",'Pivot-HS Student % of Undergrad'!$A$3,"State","SC","Category",1,"Category2","Four-Year")</f>
        <v>4.9230483515392729E-4</v>
      </c>
      <c r="S24" s="476">
        <f t="shared" si="22"/>
        <v>7.8388007479180705E-2</v>
      </c>
      <c r="T24" s="234">
        <f>+GETPIVOTDATA("Sum of Old-HS % of Total",'Pivot-HS Student % of Undergrad'!$A$3,"State","SC","Category",2,"Category2","Four-Year")</f>
        <v>0</v>
      </c>
      <c r="U24" s="439">
        <f t="shared" si="0"/>
        <v>0</v>
      </c>
      <c r="V24" s="234">
        <f>+GETPIVOTDATA("Sum of Old-HS % of Total",'Pivot-HS Student % of Undergrad'!$A$3,"State","SC","Category",3,"Category2","Four-Year")</f>
        <v>4.1418176215919315E-3</v>
      </c>
      <c r="W24" s="439">
        <f t="shared" si="1"/>
        <v>-1.8569495240294571E-2</v>
      </c>
      <c r="X24" s="234">
        <f>+GETPIVOTDATA("Sum of Old-HS % of Total",'Pivot-HS Student % of Undergrad'!$A$3,"State","SC","Category",4,"Category2","Four-Year")</f>
        <v>0</v>
      </c>
      <c r="Y24" s="439">
        <f t="shared" si="2"/>
        <v>0</v>
      </c>
      <c r="Z24" s="234">
        <f>+GETPIVOTDATA("Sum of Old-HS % of Total",'Pivot-HS Student % of Undergrad'!$A$3,"State","SC","Category",5,"Category2","Four-Year")</f>
        <v>1.3405789657510324E-2</v>
      </c>
      <c r="AA24" s="439">
        <f t="shared" si="3"/>
        <v>0.38739931705967323</v>
      </c>
      <c r="AB24" s="234">
        <f>+GETPIVOTDATA("Sum of Old-HS % of Total",'Pivot-HS Student % of Undergrad'!$A$3,"State","SC","Category",6,"Category2","Four-Year")</f>
        <v>8.286231379646387E-3</v>
      </c>
      <c r="AC24" s="439">
        <f t="shared" si="4"/>
        <v>-0.60162625425133709</v>
      </c>
      <c r="AD24" s="234">
        <f>+GETPIVOTDATA("Sum of Old-HS % of Total",'Pivot-HS Student % of Undergrad'!$A$3,"State","SC","Category2","Four-Year")</f>
        <v>3.1347613035517855E-3</v>
      </c>
      <c r="AE24" s="439">
        <f t="shared" si="5"/>
        <v>0.13608102285938747</v>
      </c>
      <c r="AF24" s="1" t="s">
        <v>75</v>
      </c>
      <c r="AH24" s="480" t="s">
        <v>75</v>
      </c>
      <c r="AI24" s="477">
        <f t="shared" si="7"/>
        <v>0.12761849099457342</v>
      </c>
      <c r="AJ24" s="477">
        <f t="shared" si="8"/>
        <v>0</v>
      </c>
      <c r="AK24" s="477">
        <f t="shared" si="9"/>
        <v>0.39561226691889856</v>
      </c>
      <c r="AL24" s="477">
        <f t="shared" si="10"/>
        <v>0</v>
      </c>
      <c r="AM24" s="477">
        <f t="shared" si="11"/>
        <v>1.7279782828107055</v>
      </c>
      <c r="AN24" s="477">
        <f t="shared" si="12"/>
        <v>0.22699688371330162</v>
      </c>
      <c r="AO24" s="477">
        <f t="shared" si="13"/>
        <v>0.44955715321456602</v>
      </c>
      <c r="AQ24" s="480" t="s">
        <v>75</v>
      </c>
      <c r="AR24" s="477">
        <f t="shared" si="14"/>
        <v>4.9230483515392727E-2</v>
      </c>
      <c r="AS24" s="477">
        <f t="shared" si="15"/>
        <v>0</v>
      </c>
      <c r="AT24" s="477">
        <f t="shared" si="16"/>
        <v>0.41418176215919317</v>
      </c>
      <c r="AU24" s="477">
        <f t="shared" si="17"/>
        <v>0</v>
      </c>
      <c r="AV24" s="477">
        <f t="shared" si="18"/>
        <v>1.3405789657510323</v>
      </c>
      <c r="AW24" s="477">
        <f t="shared" si="19"/>
        <v>0.82862313796463871</v>
      </c>
      <c r="AX24" s="477">
        <f t="shared" si="20"/>
        <v>0.31347613035517857</v>
      </c>
    </row>
    <row r="25" spans="1:50" ht="15" customHeight="1">
      <c r="B25" s="5"/>
      <c r="C25" s="206"/>
      <c r="D25" s="181"/>
      <c r="E25" s="166"/>
      <c r="F25" s="181"/>
      <c r="G25" s="166"/>
      <c r="H25" s="181"/>
      <c r="I25" s="166"/>
      <c r="J25" s="181"/>
      <c r="K25" s="166"/>
      <c r="L25" s="181"/>
      <c r="M25" s="166"/>
      <c r="N25" s="181"/>
      <c r="O25" s="166"/>
      <c r="R25" s="233"/>
      <c r="S25" s="439"/>
      <c r="T25" s="234"/>
      <c r="U25" s="439"/>
      <c r="V25" s="234"/>
      <c r="W25" s="439"/>
      <c r="X25" s="234"/>
      <c r="Y25" s="439"/>
      <c r="Z25" s="234"/>
      <c r="AA25" s="439"/>
      <c r="AB25" s="234"/>
      <c r="AC25" s="439"/>
      <c r="AD25" s="234"/>
      <c r="AE25" s="439"/>
      <c r="AH25" s="480"/>
      <c r="AI25" s="477">
        <f t="shared" si="7"/>
        <v>0</v>
      </c>
      <c r="AJ25" s="477">
        <f t="shared" si="8"/>
        <v>0</v>
      </c>
      <c r="AK25" s="477">
        <f t="shared" si="9"/>
        <v>0</v>
      </c>
      <c r="AL25" s="477">
        <f t="shared" si="10"/>
        <v>0</v>
      </c>
      <c r="AM25" s="477">
        <f t="shared" si="11"/>
        <v>0</v>
      </c>
      <c r="AN25" s="477">
        <f t="shared" si="12"/>
        <v>0</v>
      </c>
      <c r="AO25" s="477">
        <f t="shared" si="13"/>
        <v>0</v>
      </c>
      <c r="AQ25" s="480"/>
      <c r="AR25" s="477">
        <f t="shared" si="14"/>
        <v>0</v>
      </c>
      <c r="AS25" s="477">
        <f t="shared" si="15"/>
        <v>0</v>
      </c>
      <c r="AT25" s="477">
        <f t="shared" si="16"/>
        <v>0</v>
      </c>
      <c r="AU25" s="477">
        <f t="shared" si="17"/>
        <v>0</v>
      </c>
      <c r="AV25" s="477">
        <f t="shared" si="18"/>
        <v>0</v>
      </c>
      <c r="AW25" s="477">
        <f t="shared" si="19"/>
        <v>0</v>
      </c>
      <c r="AX25" s="477">
        <f t="shared" si="20"/>
        <v>0</v>
      </c>
    </row>
    <row r="26" spans="1:50" ht="15" customHeight="1">
      <c r="A26" s="1" t="s">
        <v>76</v>
      </c>
      <c r="B26" s="5">
        <f>+GETPIVOTDATA("Undergrad Student Credit Hour FTE - New",'FTE Pivot for regular counts'!$A$2,"State","TN","Category",1,"Category2","Four-Year")</f>
        <v>34191.033333333333</v>
      </c>
      <c r="C26" s="166">
        <f>+GETPIVOTDATA("Sum of New-HS % of Total",'Pivot-HS Student % of Undergrad'!$A$3,"State","TN","Category",1,"Category2","Four-Year")</f>
        <v>7.0544811456414985E-3</v>
      </c>
      <c r="D26" s="181">
        <f>+GETPIVOTDATA("Undergrad Student Credit Hour FTE - New",'FTE Pivot for regular counts'!$A$2,"State","TN","Category",2,"Category2","Four-Year")</f>
        <v>16905.933333333334</v>
      </c>
      <c r="E26" s="166">
        <f>+GETPIVOTDATA("Sum of New-HS % of Total",'Pivot-HS Student % of Undergrad'!$A$3,"State","TN","Category",2,"Category2","Four-Year")</f>
        <v>6.3878059691953731E-3</v>
      </c>
      <c r="F26" s="181">
        <f>+GETPIVOTDATA("Undergrad Student Credit Hour FTE - New",'FTE Pivot for regular counts'!$A$2,"State","TN","Category",3,"Category2","Four-Year")</f>
        <v>44060.933333333334</v>
      </c>
      <c r="G26" s="166">
        <f>+GETPIVOTDATA("Sum of New-HS % of Total",'Pivot-HS Student % of Undergrad'!$A$3,"State","TN","Category",3,"Category2","Four-Year")</f>
        <v>4.3394450715221649E-3</v>
      </c>
      <c r="H26" s="181">
        <f>+GETPIVOTDATA("Undergrad Student Credit Hour FTE - New",'FTE Pivot for regular counts'!$A$2,"State","TN","Category",4,"Category2","Four-Year")</f>
        <v>0</v>
      </c>
      <c r="I26" s="166">
        <f>+GETPIVOTDATA("Sum of New-HS % of Total",'Pivot-HS Student % of Undergrad'!$A$3,"State","TN","Category",4,"Category2","Four-Year")</f>
        <v>0</v>
      </c>
      <c r="J26" s="181">
        <f>+GETPIVOTDATA("Undergrad Student Credit Hour FTE - New",'FTE Pivot for regular counts'!$A$2,"State","TN","Category",5,"Category2","Four-Year")</f>
        <v>6028.2666666666664</v>
      </c>
      <c r="K26" s="166">
        <f>+GETPIVOTDATA("Sum of New-HS % of Total",'Pivot-HS Student % of Undergrad'!$A$3,"State","TN","Category",5,"Category2","Four-Year")</f>
        <v>1.2651508449084314E-2</v>
      </c>
      <c r="L26" s="181">
        <f>+GETPIVOTDATA("Undergrad Student Credit Hour FTE - New",'FTE Pivot for regular counts'!$A$2,"State","TN","Category",6,"Category2","Four-Year")</f>
        <v>0</v>
      </c>
      <c r="M26" s="166">
        <f>+GETPIVOTDATA("Sum of New-HS % of Total",'Pivot-HS Student % of Undergrad'!$A$3,"State","TN","Category",6,"Category2","Four-Year")</f>
        <v>0</v>
      </c>
      <c r="N26" s="181">
        <f>+GETPIVOTDATA("Undergrad Student Credit Hour FTE - New",'FTE Pivot for regular counts'!$A$2,"State","TN","Category2","Four-Year")</f>
        <v>101186.16666666666</v>
      </c>
      <c r="O26" s="166">
        <f>+GETPIVOTDATA("Sum of New-HS % of Total",'Pivot-HS Student % of Undergrad'!$A$3,"State","TN","Category2","Group1")</f>
        <v>6.074231693629817E-3</v>
      </c>
      <c r="Q26" s="1" t="s">
        <v>76</v>
      </c>
      <c r="R26" s="233">
        <f>+GETPIVOTDATA("Sum of Old-HS % of Total",'Pivot-HS Student % of Undergrad'!$A$3,"State","TN","Category",1,"Category2","Four-Year")</f>
        <v>0</v>
      </c>
      <c r="S26" s="439">
        <f t="shared" ref="S26:S29" si="23">(C26-R26)*100</f>
        <v>0.7054481145641498</v>
      </c>
      <c r="T26" s="234">
        <f>+GETPIVOTDATA("Sum of Old-HS % of Total",'Pivot-HS Student % of Undergrad'!$A$3,"State","TN","Category",2,"Category2","Four-Year")</f>
        <v>6.2054085704648012E-3</v>
      </c>
      <c r="U26" s="439">
        <f t="shared" si="0"/>
        <v>1.8239739873057194E-2</v>
      </c>
      <c r="V26" s="234">
        <f>+GETPIVOTDATA("Sum of Old-HS % of Total",'Pivot-HS Student % of Undergrad'!$A$3,"State","TN","Category",3,"Category2","Four-Year")</f>
        <v>2.915595011952452E-3</v>
      </c>
      <c r="W26" s="476">
        <f t="shared" si="1"/>
        <v>0.14238500595697129</v>
      </c>
      <c r="X26" s="234">
        <f>+GETPIVOTDATA("Sum of Old-HS % of Total",'Pivot-HS Student % of Undergrad'!$A$3,"State","TN","Category",4,"Category2","Four-Year")</f>
        <v>0</v>
      </c>
      <c r="Y26" s="439">
        <f t="shared" si="2"/>
        <v>0</v>
      </c>
      <c r="Z26" s="234">
        <f>+GETPIVOTDATA("Sum of Old-HS % of Total",'Pivot-HS Student % of Undergrad'!$A$3,"State","TN","Category",5,"Category2","Four-Year")</f>
        <v>1.2187100406762894E-2</v>
      </c>
      <c r="AA26" s="439">
        <f t="shared" si="3"/>
        <v>4.6440804232142016E-2</v>
      </c>
      <c r="AB26" s="234">
        <f>+GETPIVOTDATA("Sum of Old-HS % of Total",'Pivot-HS Student % of Undergrad'!$A$3,"State","TN","Category",6,"Category2","Four-Year")</f>
        <v>0</v>
      </c>
      <c r="AC26" s="439">
        <f t="shared" si="4"/>
        <v>0</v>
      </c>
      <c r="AD26" s="234">
        <f>+GETPIVOTDATA("Sum of Old-HS % of Total",'Pivot-HS Student % of Undergrad'!$A$3,"State","TN","Category2","Four-Year")</f>
        <v>4.4278015743414688E-3</v>
      </c>
      <c r="AE26" s="439">
        <f t="shared" si="5"/>
        <v>0.16464301192883482</v>
      </c>
      <c r="AF26" s="1" t="s">
        <v>76</v>
      </c>
      <c r="AH26" s="480" t="s">
        <v>76</v>
      </c>
      <c r="AI26" s="477">
        <f t="shared" si="7"/>
        <v>0.7054481145641498</v>
      </c>
      <c r="AJ26" s="477">
        <f t="shared" si="8"/>
        <v>0.63878059691953726</v>
      </c>
      <c r="AK26" s="477">
        <f t="shared" si="9"/>
        <v>0.4339445071522165</v>
      </c>
      <c r="AL26" s="477">
        <f t="shared" si="10"/>
        <v>0</v>
      </c>
      <c r="AM26" s="477">
        <f t="shared" si="11"/>
        <v>1.2651508449084314</v>
      </c>
      <c r="AN26" s="477">
        <f t="shared" si="12"/>
        <v>0</v>
      </c>
      <c r="AO26" s="477">
        <f t="shared" si="13"/>
        <v>0.60742316936298169</v>
      </c>
      <c r="AQ26" s="480" t="s">
        <v>76</v>
      </c>
      <c r="AR26" s="477">
        <f t="shared" si="14"/>
        <v>0</v>
      </c>
      <c r="AS26" s="477">
        <f t="shared" si="15"/>
        <v>0.6205408570464801</v>
      </c>
      <c r="AT26" s="477">
        <f t="shared" si="16"/>
        <v>0.29155950119524521</v>
      </c>
      <c r="AU26" s="477">
        <f t="shared" si="17"/>
        <v>0</v>
      </c>
      <c r="AV26" s="477">
        <f t="shared" si="18"/>
        <v>1.2187100406762894</v>
      </c>
      <c r="AW26" s="477">
        <f t="shared" si="19"/>
        <v>0</v>
      </c>
      <c r="AX26" s="477">
        <f t="shared" si="20"/>
        <v>0.44278015743414689</v>
      </c>
    </row>
    <row r="27" spans="1:50" ht="15" customHeight="1">
      <c r="A27" s="1" t="s">
        <v>77</v>
      </c>
      <c r="B27" s="5">
        <f>+GETPIVOTDATA("Undergrad Student Credit Hour FTE - New",'FTE Pivot for regular counts'!$A$2,"State","TX","Category",1,"Category2","Four-Year")</f>
        <v>190333.46666666665</v>
      </c>
      <c r="C27" s="206">
        <f>+GETPIVOTDATA("Sum of New-HS % of Total",'Pivot-HS Student % of Undergrad'!$A$3,"State","TX","Category",1,"Category2","Four-Year")</f>
        <v>1.619963838904491E-4</v>
      </c>
      <c r="D27" s="181">
        <f>+GETPIVOTDATA("Undergrad Student Credit Hour FTE - New",'FTE Pivot for regular counts'!$A$2,"State","TX","Category",2,"Category2","Four-Year")</f>
        <v>44244.766666666663</v>
      </c>
      <c r="E27" s="166">
        <f>+GETPIVOTDATA("Sum of New-HS % of Total",'Pivot-HS Student % of Undergrad'!$A$3,"State","TX","Category",2,"Category2","Four-Year")</f>
        <v>3.4926917910442141E-3</v>
      </c>
      <c r="F27" s="181">
        <f>+GETPIVOTDATA("Undergrad Student Credit Hour FTE - New",'FTE Pivot for regular counts'!$A$2,"State","TX","Category",3,"Category2","Four-Year")</f>
        <v>155946.09999999998</v>
      </c>
      <c r="G27" s="166">
        <f>+GETPIVOTDATA("Sum of New-HS % of Total",'Pivot-HS Student % of Undergrad'!$A$3,"State","TX","Category",3,"Category2","Four-Year")</f>
        <v>1.358418068807107E-2</v>
      </c>
      <c r="H27" s="181">
        <f>+GETPIVOTDATA("Undergrad Student Credit Hour FTE - New",'FTE Pivot for regular counts'!$A$2,"State","TX","Category",4,"Category2","Four-Year")</f>
        <v>4701.6000000000004</v>
      </c>
      <c r="I27" s="166">
        <f>+GETPIVOTDATA("Sum of New-HS % of Total",'Pivot-HS Student % of Undergrad'!$A$3,"State","TX","Category",4,"Category2","Four-Year")</f>
        <v>0</v>
      </c>
      <c r="J27" s="181">
        <f>+GETPIVOTDATA("Undergrad Student Credit Hour FTE - New",'FTE Pivot for regular counts'!$A$2,"State","TX","Category",5,"Category2","Four-Year")</f>
        <v>11977.666666666666</v>
      </c>
      <c r="K27" s="166">
        <f>+GETPIVOTDATA("Sum of New-HS % of Total",'Pivot-HS Student % of Undergrad'!$A$3,"State","TX","Category",5,"Category2","Four-Year")</f>
        <v>2.3404669802131743E-3</v>
      </c>
      <c r="L27" s="181">
        <f>+GETPIVOTDATA("Undergrad Student Credit Hour FTE - New",'FTE Pivot for regular counts'!$A$2,"State","TX","Category",6,"Category2","Four-Year")</f>
        <v>2081.4</v>
      </c>
      <c r="M27" s="166">
        <f>+GETPIVOTDATA("Sum of New-HS % of Total",'Pivot-HS Student % of Undergrad'!$A$3,"State","TX","Category",6,"Category2","Four-Year")</f>
        <v>0</v>
      </c>
      <c r="N27" s="181">
        <f>+GETPIVOTDATA("Undergrad Student Credit Hour FTE - New",'FTE Pivot for regular counts'!$A$2,"State","TX","Category2","Four-Year")</f>
        <v>409284.99999999994</v>
      </c>
      <c r="O27" s="166">
        <f>+GETPIVOTDATA("Sum of New-HS % of Total",'Pivot-HS Student % of Undergrad'!$A$3,"State","TX","Category2","Group1")</f>
        <v>5.6972525257461184E-3</v>
      </c>
      <c r="Q27" s="1" t="s">
        <v>77</v>
      </c>
      <c r="R27" s="233">
        <f>+GETPIVOTDATA("Sum of Old-HS % of Total",'Pivot-HS Student % of Undergrad'!$A$3,"State","TX","Category",1,"Category2","Four-Year")</f>
        <v>2.1973824563154942E-4</v>
      </c>
      <c r="S27" s="476">
        <f t="shared" si="23"/>
        <v>-5.7741861741100317E-3</v>
      </c>
      <c r="T27" s="234">
        <f>+GETPIVOTDATA("Sum of Old-HS % of Total",'Pivot-HS Student % of Undergrad'!$A$3,"State","TX","Category",2,"Category2","Four-Year")</f>
        <v>2.0492787499399624E-3</v>
      </c>
      <c r="U27" s="439">
        <f t="shared" si="0"/>
        <v>0.14434130411042517</v>
      </c>
      <c r="V27" s="234">
        <f>+GETPIVOTDATA("Sum of Old-HS % of Total",'Pivot-HS Student % of Undergrad'!$A$3,"State","TX","Category",3,"Category2","Four-Year")</f>
        <v>1.0217014011000605E-2</v>
      </c>
      <c r="W27" s="439">
        <f t="shared" si="1"/>
        <v>0.3367166677070465</v>
      </c>
      <c r="X27" s="234">
        <f>+GETPIVOTDATA("Sum of Old-HS % of Total",'Pivot-HS Student % of Undergrad'!$A$3,"State","TX","Category",4,"Category2","Four-Year")</f>
        <v>0</v>
      </c>
      <c r="Y27" s="439">
        <f t="shared" si="2"/>
        <v>0</v>
      </c>
      <c r="Z27" s="234">
        <f>+GETPIVOTDATA("Sum of Old-HS % of Total",'Pivot-HS Student % of Undergrad'!$A$3,"State","TX","Category",5,"Category2","Four-Year")</f>
        <v>1.7575612322763173E-3</v>
      </c>
      <c r="AA27" s="439">
        <f t="shared" si="3"/>
        <v>5.8290574793685705E-2</v>
      </c>
      <c r="AB27" s="234">
        <f>+GETPIVOTDATA("Sum of Old-HS % of Total",'Pivot-HS Student % of Undergrad'!$A$3,"State","TX","Category",6,"Category2","Four-Year")</f>
        <v>0</v>
      </c>
      <c r="AC27" s="439">
        <f t="shared" si="4"/>
        <v>0</v>
      </c>
      <c r="AD27" s="234">
        <f>+GETPIVOTDATA("Sum of Old-HS % of Total",'Pivot-HS Student % of Undergrad'!$A$3,"State","TX","Category2","Four-Year")</f>
        <v>4.2698040152927674E-3</v>
      </c>
      <c r="AE27" s="439">
        <f t="shared" si="5"/>
        <v>0.1427448510453351</v>
      </c>
      <c r="AF27" s="1" t="s">
        <v>77</v>
      </c>
      <c r="AH27" s="480" t="s">
        <v>77</v>
      </c>
      <c r="AI27" s="477">
        <f t="shared" si="7"/>
        <v>1.619963838904491E-2</v>
      </c>
      <c r="AJ27" s="477">
        <f t="shared" si="8"/>
        <v>0.3492691791044214</v>
      </c>
      <c r="AK27" s="477">
        <f t="shared" si="9"/>
        <v>1.358418068807107</v>
      </c>
      <c r="AL27" s="477">
        <f t="shared" si="10"/>
        <v>0</v>
      </c>
      <c r="AM27" s="477">
        <f t="shared" si="11"/>
        <v>0.23404669802131745</v>
      </c>
      <c r="AN27" s="477">
        <f t="shared" si="12"/>
        <v>0</v>
      </c>
      <c r="AO27" s="477">
        <f t="shared" si="13"/>
        <v>0.56972525257461182</v>
      </c>
      <c r="AQ27" s="480" t="s">
        <v>77</v>
      </c>
      <c r="AR27" s="477">
        <f t="shared" si="14"/>
        <v>2.1973824563154942E-2</v>
      </c>
      <c r="AS27" s="477">
        <f t="shared" si="15"/>
        <v>0.20492787499399623</v>
      </c>
      <c r="AT27" s="477">
        <f t="shared" si="16"/>
        <v>1.0217014011000605</v>
      </c>
      <c r="AU27" s="477">
        <f t="shared" si="17"/>
        <v>0</v>
      </c>
      <c r="AV27" s="477">
        <f t="shared" si="18"/>
        <v>0.17575612322763173</v>
      </c>
      <c r="AW27" s="477">
        <f t="shared" si="19"/>
        <v>0</v>
      </c>
      <c r="AX27" s="477">
        <f t="shared" si="20"/>
        <v>0.42698040152927674</v>
      </c>
    </row>
    <row r="28" spans="1:50" ht="15" customHeight="1">
      <c r="A28" s="1" t="s">
        <v>78</v>
      </c>
      <c r="B28" s="5">
        <f>+GETPIVOTDATA("Undergrad Student Credit Hour FTE - New",'FTE Pivot for regular counts'!$A$2,"State","VA","Category",1,"Category2","Four-Year")</f>
        <v>103273.93333333333</v>
      </c>
      <c r="C28" s="166">
        <f>+GETPIVOTDATA("Sum of New-HS % of Total",'Pivot-HS Student % of Undergrad'!$A$3,"State","VA","Category",1,"Category2","Four-Year")</f>
        <v>7.7076564657490212E-3</v>
      </c>
      <c r="D28" s="181">
        <f>+GETPIVOTDATA("Undergrad Student Credit Hour FTE - New",'FTE Pivot for regular counts'!$A$2,"State","VA","Category",2,"Category2","Four-Year")</f>
        <v>6210.9966666666678</v>
      </c>
      <c r="E28" s="166">
        <f>+GETPIVOTDATA("Sum of New-HS % of Total",'Pivot-HS Student % of Undergrad'!$A$3,"State","VA","Category",2,"Category2","Four-Year")</f>
        <v>0</v>
      </c>
      <c r="F28" s="181">
        <f>+GETPIVOTDATA("Undergrad Student Credit Hour FTE - New",'FTE Pivot for regular counts'!$A$2,"State","VA","Category",3,"Category2","Four-Year")</f>
        <v>45272.5</v>
      </c>
      <c r="G28" s="166">
        <f>+GETPIVOTDATA("Sum of New-HS % of Total",'Pivot-HS Student % of Undergrad'!$A$3,"State","VA","Category",3,"Category2","Four-Year")</f>
        <v>5.8512341929427359E-3</v>
      </c>
      <c r="H28" s="181">
        <f>+GETPIVOTDATA("Undergrad Student Credit Hour FTE - New",'FTE Pivot for regular counts'!$A$2,"State","VA","Category",4,"Category2","Four-Year")</f>
        <v>0</v>
      </c>
      <c r="I28" s="206">
        <f>+GETPIVOTDATA("Sum of New-HS % of Total",'Pivot-HS Student % of Undergrad'!$A$3,"State","VA","Category",4,"Category2","Four-Year")</f>
        <v>0</v>
      </c>
      <c r="J28" s="181">
        <f>+GETPIVOTDATA("Undergrad Student Credit Hour FTE - New",'FTE Pivot for regular counts'!$A$2,"State","VA","Category",5,"Category2","Four-Year")</f>
        <v>4926.3666666666668</v>
      </c>
      <c r="K28" s="206">
        <f>+GETPIVOTDATA("Sum of New-HS % of Total",'Pivot-HS Student % of Undergrad'!$A$3,"State","VA","Category",5,"Category2","Four-Year")</f>
        <v>3.8567977752366518E-4</v>
      </c>
      <c r="L28" s="181">
        <f>+GETPIVOTDATA("Undergrad Student Credit Hour FTE - New",'FTE Pivot for regular counts'!$A$2,"State","VA","Category",6,"Category2","Four-Year")</f>
        <v>1733.5333333333333</v>
      </c>
      <c r="M28" s="166">
        <f>+GETPIVOTDATA("Sum of New-HS % of Total",'Pivot-HS Student % of Undergrad'!$A$3,"State","VA","Category",6,"Category2","Four-Year")</f>
        <v>8.6336191977848704E-3</v>
      </c>
      <c r="N28" s="181">
        <f>+GETPIVOTDATA("Undergrad Student Credit Hour FTE - New",'FTE Pivot for regular counts'!$A$2,"State","VA","Category2","Four-Year")</f>
        <v>161417.32999999999</v>
      </c>
      <c r="O28" s="166">
        <f>+GETPIVOTDATA("Sum of New-HS % of Total",'Pivot-HS Student % of Undergrad'!$A$3,"State","VA","Category2","Group1")</f>
        <v>6.6768956385703229E-3</v>
      </c>
      <c r="Q28" s="25" t="s">
        <v>78</v>
      </c>
      <c r="R28" s="233">
        <f>+GETPIVOTDATA("Sum of Old-HS % of Total",'Pivot-HS Student % of Undergrad'!$A$3,"State","VA","Category",1,"Category2","Four-Year")</f>
        <v>9.353889645974554E-3</v>
      </c>
      <c r="S28" s="439">
        <f t="shared" si="23"/>
        <v>-0.16462331802255328</v>
      </c>
      <c r="T28" s="234">
        <f>+GETPIVOTDATA("Sum of Old-HS % of Total",'Pivot-HS Student % of Undergrad'!$A$3,"State","VA","Category",2,"Category2","Four-Year")</f>
        <v>0</v>
      </c>
      <c r="U28" s="439">
        <f t="shared" si="0"/>
        <v>0</v>
      </c>
      <c r="V28" s="234">
        <f>+GETPIVOTDATA("Sum of Old-HS % of Total",'Pivot-HS Student % of Undergrad'!$A$3,"State","VA","Category",3,"Category2","Four-Year")</f>
        <v>6.0370508200738842E-3</v>
      </c>
      <c r="W28" s="439">
        <f t="shared" si="1"/>
        <v>-1.8581662713114833E-2</v>
      </c>
      <c r="X28" s="234">
        <f>+GETPIVOTDATA("Sum of Old-HS % of Total",'Pivot-HS Student % of Undergrad'!$A$3,"State","VA","Category",4,"Category2","Four-Year")</f>
        <v>0</v>
      </c>
      <c r="Y28" s="439">
        <f t="shared" si="2"/>
        <v>0</v>
      </c>
      <c r="Z28" s="234">
        <f>+GETPIVOTDATA("Sum of Old-HS % of Total",'Pivot-HS Student % of Undergrad'!$A$3,"State","VA","Category",5,"Category2","Four-Year")</f>
        <v>0</v>
      </c>
      <c r="AA28" s="476">
        <f t="shared" si="3"/>
        <v>3.856797775236652E-2</v>
      </c>
      <c r="AB28" s="234">
        <f>+GETPIVOTDATA("Sum of Old-HS % of Total",'Pivot-HS Student % of Undergrad'!$A$3,"State","VA","Category",6,"Category2","Four-Year")</f>
        <v>6.7951029704849579E-3</v>
      </c>
      <c r="AC28" s="439">
        <f t="shared" si="4"/>
        <v>0.18385162272999125</v>
      </c>
      <c r="AD28" s="234">
        <f>+GETPIVOTDATA("Sum of Old-HS % of Total",'Pivot-HS Student % of Undergrad'!$A$3,"State","VA","Category2","Four-Year")</f>
        <v>7.7275618675000804E-3</v>
      </c>
      <c r="AE28" s="439">
        <f t="shared" si="5"/>
        <v>-0.10506662289297575</v>
      </c>
      <c r="AF28" s="25" t="s">
        <v>78</v>
      </c>
      <c r="AH28" s="480" t="s">
        <v>78</v>
      </c>
      <c r="AI28" s="477">
        <f t="shared" si="7"/>
        <v>0.7707656465749021</v>
      </c>
      <c r="AJ28" s="477">
        <f t="shared" si="8"/>
        <v>0</v>
      </c>
      <c r="AK28" s="477">
        <f t="shared" si="9"/>
        <v>0.58512341929427358</v>
      </c>
      <c r="AL28" s="477">
        <f t="shared" si="10"/>
        <v>0</v>
      </c>
      <c r="AM28" s="477">
        <f t="shared" si="11"/>
        <v>3.856797775236652E-2</v>
      </c>
      <c r="AN28" s="477">
        <f t="shared" si="12"/>
        <v>0.86336191977848709</v>
      </c>
      <c r="AO28" s="477">
        <f t="shared" si="13"/>
        <v>0.66768956385703226</v>
      </c>
      <c r="AQ28" s="480" t="s">
        <v>78</v>
      </c>
      <c r="AR28" s="477">
        <f t="shared" si="14"/>
        <v>0.93538896459745535</v>
      </c>
      <c r="AS28" s="477">
        <f t="shared" si="15"/>
        <v>0</v>
      </c>
      <c r="AT28" s="477">
        <f t="shared" si="16"/>
        <v>0.60370508200738837</v>
      </c>
      <c r="AU28" s="477">
        <f t="shared" si="17"/>
        <v>0</v>
      </c>
      <c r="AV28" s="477">
        <f t="shared" si="18"/>
        <v>0</v>
      </c>
      <c r="AW28" s="477">
        <f t="shared" si="19"/>
        <v>0.67951029704849575</v>
      </c>
      <c r="AX28" s="477">
        <f t="shared" si="20"/>
        <v>0.77275618675000801</v>
      </c>
    </row>
    <row r="29" spans="1:50" s="25" customFormat="1" ht="15" customHeight="1">
      <c r="A29" s="3" t="s">
        <v>79</v>
      </c>
      <c r="B29" s="6">
        <f>+GETPIVOTDATA("Undergrad Student Credit Hour FTE - New",'FTE Pivot for regular counts'!$A$2,"State","WV","Category",1,"Category2","Four-Year")</f>
        <v>21737.5</v>
      </c>
      <c r="C29" s="167">
        <f>+GETPIVOTDATA("Sum of New-HS % of Total",'Pivot-HS Student % of Undergrad'!$A$3,"State","WV","Category",1,"Category2","Four-Year")</f>
        <v>7.2639447958596894E-3</v>
      </c>
      <c r="D29" s="182">
        <f>+GETPIVOTDATA("Undergrad Student Credit Hour FTE - New",'FTE Pivot for regular counts'!$A$2,"State","WV","Category",2,"Category2","Four-Year")</f>
        <v>0</v>
      </c>
      <c r="E29" s="167">
        <f>+GETPIVOTDATA("Sum of New-HS % of Total",'Pivot-HS Student % of Undergrad'!$A$3,"State","WV","Category",2,"Category2","Four-Year")</f>
        <v>0</v>
      </c>
      <c r="F29" s="182">
        <f>+GETPIVOTDATA("Undergrad Student Credit Hour FTE - New",'FTE Pivot for regular counts'!$A$2,"State","WV","Category",3,"Category2","Four-Year")</f>
        <v>8724.9333333333325</v>
      </c>
      <c r="G29" s="167">
        <f>+GETPIVOTDATA("Sum of New-HS % of Total",'Pivot-HS Student % of Undergrad'!$A$3,"State","WV","Category",3,"Category2","Four-Year")</f>
        <v>2.1425187585005424E-2</v>
      </c>
      <c r="H29" s="182">
        <f>+GETPIVOTDATA("Undergrad Student Credit Hour FTE - New",'FTE Pivot for regular counts'!$A$2,"State","WV","Category",4,"Category2","Four-Year")</f>
        <v>0</v>
      </c>
      <c r="I29" s="167">
        <f>+GETPIVOTDATA("Sum of Old-HS % of Total",'Pivot-HS Student % of Undergrad'!$A$3,"State","WV","Category",4,"Category2","Four-Year")</f>
        <v>0</v>
      </c>
      <c r="J29" s="182">
        <f>+GETPIVOTDATA("Undergrad Student Credit Hour FTE - New",'FTE Pivot for regular counts'!$A$2,"State","WV","Category",5,"Category2","Four-Year")</f>
        <v>6605.7</v>
      </c>
      <c r="K29" s="471">
        <f>+GETPIVOTDATA("Sum of New-HS % of Total",'Pivot-HS Student % of Undergrad'!$A$3,"State","WV","Category",5,"Category2","Four-Year")</f>
        <v>2.0235049527932945E-3</v>
      </c>
      <c r="L29" s="182">
        <f>+GETPIVOTDATA("Undergrad Student Credit Hour FTE - New",'FTE Pivot for regular counts'!$A$2,"State","WV","Category",6,"Category2","Four-Year")</f>
        <v>12219.909999999998</v>
      </c>
      <c r="M29" s="167">
        <f>GETPIVOTDATA("Sum of New-HS % of Total",'Pivot-HS Student % of Undergrad'!$A$3,"State","WV","Category",6,"Category2","Four-Year")</f>
        <v>3.9255608265527327E-2</v>
      </c>
      <c r="N29" s="182">
        <f>+GETPIVOTDATA("Undergrad Student Credit Hour FTE - New",'FTE Pivot for regular counts'!$A$2,"State","WV","Category2","Four-Year")</f>
        <v>49288.043333333328</v>
      </c>
      <c r="O29" s="167">
        <f>+GETPIVOTDATA("Sum of New-HS % of Total",'Pivot-HS Student % of Undergrad'!$A$3,"State","WV","Category2","Group1")</f>
        <v>1.7000066209431591E-2</v>
      </c>
      <c r="Q29" s="3" t="s">
        <v>79</v>
      </c>
      <c r="R29" s="403">
        <f>+GETPIVOTDATA("Sum of Old-HS % of Total",'Pivot-HS Student % of Undergrad'!$A$3,"State","WV","Category",1,"Category2","Four-Year")</f>
        <v>5.8190893964604447E-3</v>
      </c>
      <c r="S29" s="440">
        <f t="shared" si="23"/>
        <v>0.14448553993992447</v>
      </c>
      <c r="T29" s="404">
        <f>+GETPIVOTDATA("Sum of Old-HS % of Total",'Pivot-HS Student % of Undergrad'!$A$3,"State","WV","Category",2,"Category2","Four-Year")</f>
        <v>0</v>
      </c>
      <c r="U29" s="440">
        <f t="shared" si="0"/>
        <v>0</v>
      </c>
      <c r="V29" s="404">
        <f>+GETPIVOTDATA("Sum of Old-HS % of Total",'Pivot-HS Student % of Undergrad'!$A$3,"State","WV","Category",3,"Category2","Four-Year")</f>
        <v>1.7340996690822903E-2</v>
      </c>
      <c r="W29" s="440">
        <f t="shared" si="1"/>
        <v>0.40841908941825211</v>
      </c>
      <c r="X29" s="404">
        <f>+GETPIVOTDATA("Sum of Old-HS % of Total",'Pivot-HS Student % of Undergrad'!$A$3,"State","WV","Category",4,"Category2","Four-Year")</f>
        <v>0</v>
      </c>
      <c r="Y29" s="440">
        <f t="shared" si="2"/>
        <v>0</v>
      </c>
      <c r="Z29" s="404">
        <f>GETPIVOTDATA("Sum of Old-HS % of Total",'Pivot-HS Student % of Undergrad'!$A$3,"State","WV","Category",5,"Category2","Four-Year")</f>
        <v>6.9541362722952004E-4</v>
      </c>
      <c r="AA29" s="440">
        <f t="shared" si="3"/>
        <v>0.13280913255637744</v>
      </c>
      <c r="AB29" s="404">
        <f>GETPIVOTDATA("Sum of Old-HS % of Total",'Pivot-HS Student % of Undergrad'!$A$3,"State","WV","Category",6,"Category2","Four-Year")</f>
        <v>2.8277545731178192E-2</v>
      </c>
      <c r="AC29" s="440">
        <f t="shared" si="4"/>
        <v>1.0978062534349136</v>
      </c>
      <c r="AD29" s="404">
        <f>+GETPIVOTDATA("Sum of Old-HS % of Total",'Pivot-HS Student % of Undergrad'!$A$3,"State","WV","Category2","Four-Year")</f>
        <v>1.2852562976409274E-2</v>
      </c>
      <c r="AE29" s="440">
        <f t="shared" si="5"/>
        <v>0.41475032330223172</v>
      </c>
      <c r="AF29" s="3" t="s">
        <v>79</v>
      </c>
      <c r="AH29" s="482" t="s">
        <v>79</v>
      </c>
      <c r="AI29" s="483">
        <f t="shared" si="7"/>
        <v>0.72639447958596892</v>
      </c>
      <c r="AJ29" s="483">
        <f t="shared" si="8"/>
        <v>0</v>
      </c>
      <c r="AK29" s="483">
        <f t="shared" si="9"/>
        <v>2.1425187585005423</v>
      </c>
      <c r="AL29" s="483">
        <f t="shared" si="10"/>
        <v>0</v>
      </c>
      <c r="AM29" s="483">
        <f t="shared" si="11"/>
        <v>0.20235049527932947</v>
      </c>
      <c r="AN29" s="483">
        <f t="shared" si="12"/>
        <v>3.9255608265527329</v>
      </c>
      <c r="AO29" s="483">
        <f t="shared" si="13"/>
        <v>1.7000066209431592</v>
      </c>
      <c r="AQ29" s="482" t="s">
        <v>79</v>
      </c>
      <c r="AR29" s="488">
        <f t="shared" si="14"/>
        <v>0.58190893964604451</v>
      </c>
      <c r="AS29" s="483">
        <f t="shared" si="15"/>
        <v>0</v>
      </c>
      <c r="AT29" s="483">
        <f t="shared" si="16"/>
        <v>1.7340996690822903</v>
      </c>
      <c r="AU29" s="483">
        <f t="shared" si="17"/>
        <v>0</v>
      </c>
      <c r="AV29" s="483">
        <f t="shared" si="18"/>
        <v>6.9541362722951999E-2</v>
      </c>
      <c r="AW29" s="483">
        <f t="shared" si="19"/>
        <v>2.8277545731178191</v>
      </c>
      <c r="AX29" s="483">
        <f t="shared" si="20"/>
        <v>1.2852562976409274</v>
      </c>
    </row>
    <row r="30" spans="1:50" ht="23.25" customHeight="1">
      <c r="A30" s="832" t="s">
        <v>976</v>
      </c>
      <c r="B30" s="833"/>
      <c r="C30" s="833"/>
      <c r="D30" s="833"/>
      <c r="E30" s="833"/>
      <c r="F30" s="833"/>
      <c r="G30" s="833"/>
      <c r="H30" s="833"/>
      <c r="I30" s="834"/>
      <c r="J30" s="834"/>
      <c r="K30" s="834"/>
      <c r="L30" s="834"/>
      <c r="M30" s="834"/>
      <c r="N30" s="834"/>
      <c r="O30" s="834"/>
    </row>
    <row r="31" spans="1:50">
      <c r="A31" s="375"/>
      <c r="B31" s="50"/>
      <c r="C31" s="50"/>
      <c r="D31" s="50"/>
      <c r="E31" s="50"/>
      <c r="F31" s="50"/>
      <c r="G31" s="50"/>
      <c r="H31" s="1"/>
      <c r="J31" s="123"/>
      <c r="K31" s="123"/>
      <c r="L31" s="123"/>
      <c r="M31" s="188"/>
      <c r="N31" s="48"/>
      <c r="O31" s="524" t="s">
        <v>975</v>
      </c>
    </row>
    <row r="32" spans="1:50" ht="18">
      <c r="A32" s="41" t="s">
        <v>164</v>
      </c>
      <c r="B32" s="43"/>
      <c r="C32" s="43"/>
      <c r="D32" s="43"/>
      <c r="E32" s="43"/>
      <c r="F32" s="51"/>
      <c r="G32" s="43"/>
      <c r="H32" s="109"/>
      <c r="I32" s="50"/>
      <c r="J32" s="123"/>
      <c r="K32" s="123"/>
      <c r="L32" s="123"/>
      <c r="M32" s="188"/>
      <c r="N32" s="48"/>
    </row>
    <row r="33" spans="1:14" ht="15.75">
      <c r="A33" s="43"/>
      <c r="B33" s="43"/>
      <c r="C33" s="43"/>
      <c r="D33" s="43"/>
      <c r="E33" s="43"/>
      <c r="F33" s="43"/>
      <c r="G33" s="43"/>
      <c r="H33" s="109"/>
      <c r="I33" s="50"/>
      <c r="J33" s="123"/>
      <c r="K33" s="123"/>
      <c r="L33" s="123"/>
      <c r="M33" s="188"/>
      <c r="N33" s="48"/>
    </row>
    <row r="34" spans="1:14" ht="15.75">
      <c r="A34" s="43" t="s">
        <v>33</v>
      </c>
      <c r="B34" s="43"/>
      <c r="C34" s="43"/>
      <c r="D34" s="43"/>
      <c r="E34" s="43"/>
      <c r="F34" s="43"/>
      <c r="G34" s="43"/>
      <c r="H34" s="109"/>
      <c r="I34" s="50"/>
      <c r="J34" s="123"/>
      <c r="K34" s="123"/>
      <c r="L34" s="123"/>
      <c r="M34" s="188"/>
      <c r="N34" s="48"/>
    </row>
    <row r="35" spans="1:14" ht="15.75">
      <c r="A35" s="109" t="s">
        <v>971</v>
      </c>
      <c r="B35" s="43"/>
      <c r="C35" s="43"/>
      <c r="D35" s="43"/>
      <c r="E35" s="43"/>
      <c r="F35" s="43"/>
      <c r="G35" s="43"/>
      <c r="H35" s="109"/>
    </row>
    <row r="37" spans="1:14" ht="15" customHeight="1">
      <c r="A37" s="52"/>
      <c r="B37" s="52" t="s">
        <v>62</v>
      </c>
      <c r="C37" s="52"/>
      <c r="D37" s="52"/>
      <c r="E37" s="52"/>
      <c r="F37" s="52"/>
      <c r="G37" s="52"/>
      <c r="H37" s="110"/>
    </row>
    <row r="38" spans="1:14" ht="15" customHeight="1">
      <c r="A38" s="53"/>
      <c r="B38" s="46">
        <v>1</v>
      </c>
      <c r="C38" s="46">
        <v>2</v>
      </c>
      <c r="D38" s="46">
        <v>3</v>
      </c>
      <c r="E38" s="46">
        <v>4</v>
      </c>
      <c r="F38" s="46">
        <v>5</v>
      </c>
      <c r="G38" s="54">
        <v>6</v>
      </c>
      <c r="H38" s="92" t="s">
        <v>30</v>
      </c>
    </row>
    <row r="39" spans="1:14" ht="15" customHeight="1">
      <c r="A39" s="1" t="s">
        <v>64</v>
      </c>
      <c r="B39" s="11">
        <f>+GETPIVOTDATA("Graduate FTE - New",'FTE Pivot for regular counts'!$A$2,"Category",1,"Category2","Four-Year")</f>
        <v>223058.02374999999</v>
      </c>
      <c r="C39" s="11">
        <f>+GETPIVOTDATA("Graduate FTE - New",'FTE Pivot for regular counts'!$A$2,"Category",2,"Category2","Four-Year")</f>
        <v>43910.36</v>
      </c>
      <c r="D39" s="11">
        <f>+GETPIVOTDATA("Graduate FTE - New",'FTE Pivot for regular counts'!$A$2,"Category",3,"Category2","Four-Year")</f>
        <v>88011.974999999991</v>
      </c>
      <c r="E39" s="11">
        <f>+GETPIVOTDATA("Graduate FTE - New",'FTE Pivot for regular counts'!$A$2,"Category",4,"Category2","Four-Year")</f>
        <v>21132.604166666664</v>
      </c>
      <c r="F39" s="11">
        <f>+GETPIVOTDATA("Graduate FTE - New",'FTE Pivot for regular counts'!$A$2,"Category",5,"Category2","Four-Year")</f>
        <v>8526.3333333333321</v>
      </c>
      <c r="G39" s="12">
        <f>+GETPIVOTDATA("Graduate FTE - New",'FTE Pivot for regular counts'!$A$2,"Category",6,"Category2","Four-Year")</f>
        <v>1040.5416666666665</v>
      </c>
      <c r="H39" s="111">
        <f>+GETPIVOTDATA("Graduate FTE - New",'FTE Pivot for regular counts'!$A$2,"Category2","Four-Year")</f>
        <v>385679.83791666664</v>
      </c>
    </row>
    <row r="40" spans="1:14" ht="15" customHeight="1">
      <c r="B40" s="11"/>
      <c r="C40" s="11"/>
      <c r="D40" s="11"/>
      <c r="E40" s="11"/>
      <c r="F40" s="11"/>
      <c r="G40" s="12"/>
      <c r="H40" s="111"/>
    </row>
    <row r="41" spans="1:14" ht="15" customHeight="1">
      <c r="A41" s="1" t="s">
        <v>65</v>
      </c>
      <c r="B41" s="33">
        <f>+GETPIVOTDATA("Graduate FTE - New",'FTE Pivot for regular counts'!$A$2,"State","AL","Category",1,"Category2","Four-Year")</f>
        <v>8274.625</v>
      </c>
      <c r="C41" s="33">
        <f>+GETPIVOTDATA("Graduate FTE - New",'FTE Pivot for regular counts'!$A$2,"State","AL","Category",2,"Category2","Four-Year")</f>
        <v>2940.1666666666665</v>
      </c>
      <c r="D41" s="33">
        <f>+GETPIVOTDATA("Graduate FTE - New",'FTE Pivot for regular counts'!$A$2,"State","AL","Category",3,"Category2","Four-Year")</f>
        <v>3825.5416666666665</v>
      </c>
      <c r="E41" s="33">
        <f>+GETPIVOTDATA("Graduate FTE - New",'FTE Pivot for regular counts'!$A$2,"State","AL","Category",4,"Category2","Four-Year")</f>
        <v>1661.0416666666665</v>
      </c>
      <c r="F41" s="33">
        <f>+GETPIVOTDATA("Graduate FTE - New",'FTE Pivot for regular counts'!$A$2,"State","AL","Category",5,"Category2","Four-Year")</f>
        <v>1708.8333333333333</v>
      </c>
      <c r="G41" s="12">
        <f>+GETPIVOTDATA("Graduate FTE - New",'FTE Pivot for regular counts'!$A$2,"State","AL","Category",6,"Category2","Four-Year")</f>
        <v>0</v>
      </c>
      <c r="H41" s="112">
        <f>+GETPIVOTDATA("Graduate FTE - New",'FTE Pivot for regular counts'!$A$2,"State","AL","Category2","Four-Year")</f>
        <v>18410.208333333332</v>
      </c>
    </row>
    <row r="42" spans="1:14" ht="15" customHeight="1">
      <c r="A42" s="4" t="s">
        <v>66</v>
      </c>
      <c r="B42" s="33">
        <f>+GETPIVOTDATA("Graduate FTE - New",'FTE Pivot for regular counts'!$A$2,"State","AR","Category",1,"Category2","Four-Year")</f>
        <v>3343.125</v>
      </c>
      <c r="C42" s="33">
        <f>+GETPIVOTDATA("Graduate FTE - New",'FTE Pivot for regular counts'!$A$2,"State","AR","Category",2,"Category2","Four-Year")</f>
        <v>1799.5833333333333</v>
      </c>
      <c r="D42" s="33">
        <f>+GETPIVOTDATA("Graduate FTE - New",'FTE Pivot for regular counts'!$A$2,"State","AR","Category",3,"Category2","Four-Year")</f>
        <v>5578.0833333333339</v>
      </c>
      <c r="E42" s="33">
        <f>+GETPIVOTDATA("Graduate FTE - New",'FTE Pivot for regular counts'!$A$2,"State","AR","Category",4,"Category2","Four-Year")</f>
        <v>845.91666666666674</v>
      </c>
      <c r="F42" s="33">
        <f>+GETPIVOTDATA("Graduate FTE - New",'FTE Pivot for regular counts'!$A$2,"State","AR","Category",5,"Category2","Four-Year")</f>
        <v>146.25</v>
      </c>
      <c r="G42" s="12">
        <f>+GETPIVOTDATA("Graduate FTE - New",'FTE Pivot for regular counts'!$A$2,"State","AR","Category",6,"Category2","Four-Year")</f>
        <v>80.25</v>
      </c>
      <c r="H42" s="112">
        <f>+GETPIVOTDATA("Graduate FTE - New",'FTE Pivot for regular counts'!$A$2,"State","AR","Category2","Four-Year")</f>
        <v>11793.208333333334</v>
      </c>
    </row>
    <row r="43" spans="1:14" ht="15" customHeight="1">
      <c r="A43" s="1" t="s">
        <v>102</v>
      </c>
      <c r="B43" s="33">
        <f>+GETPIVOTDATA("Graduate FTE - New",'FTE Pivot for regular counts'!$A$2,"State","DE","Category",1,"Category2","Four-Year")</f>
        <v>2254.4583333333335</v>
      </c>
      <c r="C43" s="33">
        <f>+GETPIVOTDATA("Graduate FTE - New",'FTE Pivot for regular counts'!$A$2,"State","DE","Category",2,"Category2","Four-Year")</f>
        <v>0</v>
      </c>
      <c r="D43" s="33">
        <f>+GETPIVOTDATA("Graduate FTE - New",'FTE Pivot for regular counts'!$A$2,"State","DE","Category",3,"Category2","Four-Year")</f>
        <v>228.20833333333334</v>
      </c>
      <c r="E43" s="33">
        <f>+GETPIVOTDATA("Graduate FTE - New",'FTE Pivot for regular counts'!$A$2,"State","DE","Category",4,"Category2","Four-Year")</f>
        <v>0</v>
      </c>
      <c r="F43" s="33">
        <f>+GETPIVOTDATA("Graduate FTE - New",'FTE Pivot for regular counts'!$A$2,"State","DE","Category",5,"Category2","Four-Year")</f>
        <v>0</v>
      </c>
      <c r="G43" s="12">
        <f>+GETPIVOTDATA("Graduate FTE - New",'FTE Pivot for regular counts'!$A$2,"State","DE","Category",6,"Category2","Four-Year")</f>
        <v>0</v>
      </c>
      <c r="H43" s="112">
        <f>+GETPIVOTDATA("Graduate FTE - New",'FTE Pivot for regular counts'!$A$2,"State","DE","Category2","Four-Year")</f>
        <v>2482.666666666667</v>
      </c>
      <c r="N43" s="94"/>
    </row>
    <row r="44" spans="1:14" ht="15" customHeight="1">
      <c r="A44" s="1" t="s">
        <v>67</v>
      </c>
      <c r="B44" s="33">
        <f>+GETPIVOTDATA("Graduate FTE - New",'FTE Pivot for regular counts'!$A$2,"State","FL","Category",1,"Category2","Four-Year")</f>
        <v>46865.599999999999</v>
      </c>
      <c r="C44" s="33">
        <f>+GETPIVOTDATA("Graduate FTE - New",'FTE Pivot for regular counts'!$A$2,"State","FL","Category",2,"Category2","Four-Year")</f>
        <v>0</v>
      </c>
      <c r="D44" s="33">
        <f>+GETPIVOTDATA("Graduate FTE - New",'FTE Pivot for regular counts'!$A$2,"State","FL","Category",3,"Category2","Four-Year")</f>
        <v>4797</v>
      </c>
      <c r="E44" s="33">
        <f>+GETPIVOTDATA("Graduate FTE - New",'FTE Pivot for regular counts'!$A$2,"State","FL","Category",4,"Category2","Four-Year")</f>
        <v>825.5</v>
      </c>
      <c r="F44" s="33">
        <f>+GETPIVOTDATA("Graduate FTE - New",'FTE Pivot for regular counts'!$A$2,"State","FL","Category",5,"Category2","Four-Year")</f>
        <v>0</v>
      </c>
      <c r="G44" s="12">
        <f>+GETPIVOTDATA("Graduate FTE - New",'FTE Pivot for regular counts'!$A$2,"State","FL","Category",6,"Category2","Four-Year")</f>
        <v>0</v>
      </c>
      <c r="H44" s="112">
        <f>+GETPIVOTDATA("Graduate FTE - New",'FTE Pivot for regular counts'!$A$2,"State","FL","Category2","Four-Year")</f>
        <v>52488.1</v>
      </c>
    </row>
    <row r="45" spans="1:14" ht="15" customHeight="1">
      <c r="B45" s="33"/>
      <c r="C45" s="33"/>
      <c r="D45" s="33"/>
      <c r="E45" s="33"/>
      <c r="F45" s="33"/>
      <c r="G45" s="12"/>
      <c r="H45" s="112"/>
    </row>
    <row r="46" spans="1:14" ht="15" customHeight="1">
      <c r="A46" s="1" t="s">
        <v>68</v>
      </c>
      <c r="B46" s="33">
        <f>+GETPIVOTDATA("Graduate FTE - New",'FTE Pivot for regular counts'!$A$2,"State","GA","Category",1,"Category2","Four-Year")</f>
        <v>19973.966666666667</v>
      </c>
      <c r="C46" s="33">
        <f>+GETPIVOTDATA("Graduate FTE - New",'FTE Pivot for regular counts'!$A$2,"State","GA","Category",2,"Category2","Four-Year")</f>
        <v>10934.505833333335</v>
      </c>
      <c r="D46" s="33">
        <f>+GETPIVOTDATA("Graduate FTE - New",'FTE Pivot for regular counts'!$A$2,"State","GA","Category",3,"Category2","Four-Year")</f>
        <v>7280.875</v>
      </c>
      <c r="E46" s="33">
        <f>+GETPIVOTDATA("Graduate FTE - New",'FTE Pivot for regular counts'!$A$2,"State","GA","Category",4,"Category2","Four-Year")</f>
        <v>5607.6666666666661</v>
      </c>
      <c r="F46" s="33">
        <f>+GETPIVOTDATA("Graduate FTE - New",'FTE Pivot for regular counts'!$A$2,"State","GA","Category",5,"Category2","Four-Year")</f>
        <v>393.45833333333337</v>
      </c>
      <c r="G46" s="12">
        <f>+GETPIVOTDATA("Graduate FTE - New",'FTE Pivot for regular counts'!$A$2,"State","GA","Category",6,"Category2","Four-Year")</f>
        <v>0</v>
      </c>
      <c r="H46" s="112">
        <f>+GETPIVOTDATA("Graduate FTE - New",'FTE Pivot for regular counts'!$A$2,"State","GA","Category2","Four-Year")</f>
        <v>44190.472500000003</v>
      </c>
    </row>
    <row r="47" spans="1:14" ht="15" customHeight="1">
      <c r="A47" s="1" t="s">
        <v>69</v>
      </c>
      <c r="B47" s="33">
        <f>+GETPIVOTDATA("Graduate FTE - New",'FTE Pivot for regular counts'!$A$2,"State","KY","Category",1,"Category2","Four-Year")</f>
        <v>6541.7916666666661</v>
      </c>
      <c r="C47" s="33">
        <f>+GETPIVOTDATA("Graduate FTE - New",'FTE Pivot for regular counts'!$A$2,"State","KY","Category",2,"Category2","Four-Year")</f>
        <v>0</v>
      </c>
      <c r="D47" s="33">
        <f>+GETPIVOTDATA("Graduate FTE - New",'FTE Pivot for regular counts'!$A$2,"State","KY","Category",3,"Category2","Four-Year")</f>
        <v>6793.5</v>
      </c>
      <c r="E47" s="33">
        <f>+GETPIVOTDATA("Graduate FTE - New",'FTE Pivot for regular counts'!$A$2,"State","KY","Category",4,"Category2","Four-Year")</f>
        <v>92.041666666666671</v>
      </c>
      <c r="F47" s="33">
        <f>+GETPIVOTDATA("Graduate FTE - New",'FTE Pivot for regular counts'!$A$2,"State","KY","Category",5,"Category2","Four-Year")</f>
        <v>0</v>
      </c>
      <c r="G47" s="12">
        <f>+GETPIVOTDATA("Graduate FTE - New",'FTE Pivot for regular counts'!$A$2,"State","KY","Category",6,"Category2","Four-Year")</f>
        <v>0</v>
      </c>
      <c r="H47" s="112">
        <f>+GETPIVOTDATA("Graduate FTE - New",'FTE Pivot for regular counts'!$A$2,"State","KY","Category2","Four-Year")</f>
        <v>13427.333333333332</v>
      </c>
    </row>
    <row r="48" spans="1:14" ht="15" customHeight="1">
      <c r="A48" s="1" t="s">
        <v>70</v>
      </c>
      <c r="B48" s="33">
        <f>+GETPIVOTDATA("Graduate FTE - New",'FTE Pivot for regular counts'!$A$2,"State","LA","Category",1,"Category2","Four-Year")</f>
        <v>5446.4708333333338</v>
      </c>
      <c r="C48" s="33">
        <f>+GETPIVOTDATA("Graduate FTE - New",'FTE Pivot for regular counts'!$A$2,"State","LA","Category",2,"Category2","Four-Year")</f>
        <v>3609.958333333333</v>
      </c>
      <c r="D48" s="33">
        <f>+GETPIVOTDATA("Graduate FTE - New",'FTE Pivot for regular counts'!$A$2,"State","LA","Category",3,"Category2","Four-Year")</f>
        <v>3643.125</v>
      </c>
      <c r="E48" s="33">
        <f>+GETPIVOTDATA("Graduate FTE - New",'FTE Pivot for regular counts'!$A$2,"State","LA","Category",4,"Category2","Four-Year")</f>
        <v>3409.6666666666665</v>
      </c>
      <c r="F48" s="33">
        <f>+GETPIVOTDATA("Graduate FTE - New",'FTE Pivot for regular counts'!$A$2,"State","LA","Category",5,"Category2","Four-Year")</f>
        <v>96.916666666666671</v>
      </c>
      <c r="G48" s="12">
        <f>+GETPIVOTDATA("Graduate FTE - New",'FTE Pivot for regular counts'!$A$2,"State","LA","Category",6,"Category2","Four-Year")</f>
        <v>0</v>
      </c>
      <c r="H48" s="112">
        <f>+GETPIVOTDATA("Graduate FTE - New",'FTE Pivot for regular counts'!$A$2,"State","LA","Category2","Four-Year")</f>
        <v>16206.137499999999</v>
      </c>
    </row>
    <row r="49" spans="1:13" ht="15" customHeight="1">
      <c r="A49" s="1" t="s">
        <v>71</v>
      </c>
      <c r="B49" s="33">
        <f>+GETPIVOTDATA("Graduate FTE - New",'FTE Pivot for regular counts'!$A$2,"State","MD","Category",1,"Category2","Four-Year")</f>
        <v>6561.340416666666</v>
      </c>
      <c r="C49" s="33">
        <f>+GETPIVOTDATA("Graduate FTE - New",'FTE Pivot for regular counts'!$A$2,"State","MD","Category",2,"Category2","Four-Year")</f>
        <v>2528.7083333333335</v>
      </c>
      <c r="D49" s="33">
        <f>+GETPIVOTDATA("Graduate FTE - New",'FTE Pivot for regular counts'!$A$2,"State","MD","Category",3,"Category2","Four-Year")</f>
        <v>1920.9375</v>
      </c>
      <c r="E49" s="33">
        <f>+GETPIVOTDATA("Graduate FTE - New",'FTE Pivot for regular counts'!$A$2,"State","MD","Category",4,"Category2","Four-Year")</f>
        <v>4775.6875</v>
      </c>
      <c r="F49" s="33">
        <f>+GETPIVOTDATA("Graduate FTE - New",'FTE Pivot for regular counts'!$A$2,"State","MD","Category",5,"Category2","Four-Year")</f>
        <v>248</v>
      </c>
      <c r="G49" s="12">
        <f>+GETPIVOTDATA("Graduate FTE - New",'FTE Pivot for regular counts'!$A$2,"State","MD","Category",6,"Category2","Four-Year")</f>
        <v>55.833333333333336</v>
      </c>
      <c r="H49" s="112">
        <f>+GETPIVOTDATA("Graduate FTE - New",'FTE Pivot for regular counts'!$A$2,"State","MD","Category2","Four-Year")</f>
        <v>16090.507083333334</v>
      </c>
    </row>
    <row r="50" spans="1:13" ht="15" customHeight="1">
      <c r="B50" s="33"/>
      <c r="C50" s="33"/>
      <c r="D50" s="33"/>
      <c r="E50" s="33"/>
      <c r="F50" s="33"/>
      <c r="G50" s="12"/>
      <c r="H50" s="112"/>
    </row>
    <row r="51" spans="1:13" ht="15" customHeight="1">
      <c r="A51" s="1" t="s">
        <v>72</v>
      </c>
      <c r="B51" s="33">
        <f>+GETPIVOTDATA("Graduate FTE - New",'FTE Pivot for regular counts'!$A$2,"State","MS","Category",1,"Category2","Four-Year")</f>
        <v>4389.2916666666661</v>
      </c>
      <c r="C51" s="33">
        <f>+GETPIVOTDATA("Graduate FTE - New",'FTE Pivot for regular counts'!$A$2,"State","MS","Category",2,"Category2","Four-Year")</f>
        <v>4150.9375</v>
      </c>
      <c r="D51" s="33">
        <f>+GETPIVOTDATA("Graduate FTE - New",'FTE Pivot for regular counts'!$A$2,"State","MS","Category",3,"Category2","Four-Year")</f>
        <v>0</v>
      </c>
      <c r="E51" s="33">
        <f>+GETPIVOTDATA("Graduate FTE - New",'FTE Pivot for regular counts'!$A$2,"State","MS","Category",4,"Category2","Four-Year")</f>
        <v>1687.8333333333333</v>
      </c>
      <c r="F51" s="33">
        <f>+GETPIVOTDATA("Graduate FTE - New",'FTE Pivot for regular counts'!$A$2,"State","MS","Category",5,"Category2","Four-Year")</f>
        <v>173.08333333333334</v>
      </c>
      <c r="G51" s="12">
        <f>+GETPIVOTDATA("Graduate FTE - New",'FTE Pivot for regular counts'!$A$2,"State","MS","Category",6,"Category2","Four-Year")</f>
        <v>0</v>
      </c>
      <c r="H51" s="112">
        <f>+GETPIVOTDATA("Graduate FTE - New",'FTE Pivot for regular counts'!$A$2,"State","MS","Category2","Four-Year")</f>
        <v>10401.145833333334</v>
      </c>
    </row>
    <row r="52" spans="1:13" ht="15" customHeight="1">
      <c r="A52" s="1" t="s">
        <v>73</v>
      </c>
      <c r="B52" s="33">
        <f>+GETPIVOTDATA("Graduate FTE - New",'FTE Pivot for regular counts'!$A$2,"State","NC","Category",1,"Category2","Four-Year")</f>
        <v>19959.166666666668</v>
      </c>
      <c r="C52" s="33">
        <f>+GETPIVOTDATA("Graduate FTE - New",'FTE Pivot for regular counts'!$A$2,"State","NC","Category",2,"Category2","Four-Year")</f>
        <v>3355.7083333333335</v>
      </c>
      <c r="D52" s="33">
        <f>+GETPIVOTDATA("Graduate FTE - New",'FTE Pivot for regular counts'!$A$2,"State","NC","Category",3,"Category2","Four-Year")</f>
        <v>6499.625</v>
      </c>
      <c r="E52" s="33">
        <f>+GETPIVOTDATA("Graduate FTE - New",'FTE Pivot for regular counts'!$A$2,"State","NC","Category",4,"Category2","Four-Year")</f>
        <v>420.75</v>
      </c>
      <c r="F52" s="33">
        <f>+GETPIVOTDATA("Graduate FTE - New",'FTE Pivot for regular counts'!$A$2,"State","NC","Category",5,"Category2","Four-Year")</f>
        <v>946.66666666666674</v>
      </c>
      <c r="G52" s="12">
        <f>+GETPIVOTDATA("Graduate FTE - New",'FTE Pivot for regular counts'!$A$2,"State","NC","Category",6,"Category2","Four-Year")</f>
        <v>48.208333333333336</v>
      </c>
      <c r="H52" s="112">
        <f>+GETPIVOTDATA("Graduate FTE - New",'FTE Pivot for regular counts'!$A$2,"State","NC","Category2","Four-Year")</f>
        <v>31230.125</v>
      </c>
    </row>
    <row r="53" spans="1:13" ht="15" customHeight="1">
      <c r="A53" s="1" t="s">
        <v>74</v>
      </c>
      <c r="B53" s="33">
        <f>+GETPIVOTDATA("Graduate FTE - New",'FTE Pivot for regular counts'!$A$2,"State","OK","Category",1,"Category2","Four-Year")</f>
        <v>0</v>
      </c>
      <c r="C53" s="33">
        <f>+GETPIVOTDATA("Graduate FTE - New",'FTE Pivot for regular counts'!$A$2,"State","OK","Category",2,"Category2","Four-Year")</f>
        <v>0</v>
      </c>
      <c r="D53" s="33">
        <f>+GETPIVOTDATA("Graduate FTE - New",'FTE Pivot for regular counts'!$A$2,"State","OK","Category",3,"Category2","Four-Year")</f>
        <v>2049.041666666667</v>
      </c>
      <c r="E53" s="33">
        <f>+GETPIVOTDATA("Graduate FTE - New",'FTE Pivot for regular counts'!$A$2,"State","OK","Category",4,"Category2","Four-Year")</f>
        <v>327.41666666666669</v>
      </c>
      <c r="F53" s="33">
        <f>+GETPIVOTDATA("Graduate FTE - New",'FTE Pivot for regular counts'!$A$2,"State","OK","Category",5,"Category2","Four-Year")</f>
        <v>1724</v>
      </c>
      <c r="G53" s="12">
        <f>+GETPIVOTDATA("Graduate FTE - New",'FTE Pivot for regular counts'!$A$2,"State","OK","Category",6,"Category2","Four-Year")</f>
        <v>10.875</v>
      </c>
      <c r="H53" s="112">
        <f>+GETPIVOTDATA("Graduate FTE - New",'FTE Pivot for regular counts'!$A$2,"State","OK","Category2","Four-Year")</f>
        <v>4111.3333333333339</v>
      </c>
    </row>
    <row r="54" spans="1:13" ht="15" customHeight="1">
      <c r="A54" s="1" t="s">
        <v>75</v>
      </c>
      <c r="B54" s="33">
        <f>+GETPIVOTDATA("Graduate FTE - New",'FTE Pivot for regular counts'!$A$2,"State","SC","Category",1,"Category2","Four-Year")</f>
        <v>8741.4166666666679</v>
      </c>
      <c r="C54" s="33">
        <f>+GETPIVOTDATA("Graduate FTE - New",'FTE Pivot for regular counts'!$A$2,"State","SC","Category",2,"Category2","Four-Year")</f>
        <v>0</v>
      </c>
      <c r="D54" s="33">
        <f>+GETPIVOTDATA("Graduate FTE - New",'FTE Pivot for regular counts'!$A$2,"State","SC","Category",3,"Category2","Four-Year")</f>
        <v>1861.3125</v>
      </c>
      <c r="E54" s="33">
        <f>+GETPIVOTDATA("Graduate FTE - New",'FTE Pivot for regular counts'!$A$2,"State","SC","Category",4,"Category2","Four-Year")</f>
        <v>0</v>
      </c>
      <c r="F54" s="33">
        <f>+GETPIVOTDATA("Graduate FTE - New",'FTE Pivot for regular counts'!$A$2,"State","SC","Category",5,"Category2","Four-Year")</f>
        <v>1101.5</v>
      </c>
      <c r="G54" s="12">
        <f>+GETPIVOTDATA("Graduate FTE - New",'FTE Pivot for regular counts'!$A$2,"State","SC","Category",6,"Category2","Four-Year")</f>
        <v>278.16666666666663</v>
      </c>
      <c r="H54" s="112">
        <f>+GETPIVOTDATA("Graduate FTE - New",'FTE Pivot for regular counts'!$A$2,"State","SC","Category2","Four-Year")</f>
        <v>11982.395833333334</v>
      </c>
    </row>
    <row r="55" spans="1:13" ht="15" customHeight="1">
      <c r="B55" s="33"/>
      <c r="C55" s="33"/>
      <c r="D55" s="33"/>
      <c r="E55" s="33"/>
      <c r="F55" s="33"/>
      <c r="G55" s="12"/>
      <c r="H55" s="112"/>
    </row>
    <row r="56" spans="1:13" ht="15" customHeight="1">
      <c r="A56" s="1" t="s">
        <v>76</v>
      </c>
      <c r="B56" s="33">
        <f>+GETPIVOTDATA("Graduate FTE - New",'FTE Pivot for regular counts'!$A$2,"State","TN","Category",1,"Category2","Four-Year")</f>
        <v>7580.0416666666661</v>
      </c>
      <c r="C56" s="33">
        <f>+GETPIVOTDATA("Graduate FTE - New",'FTE Pivot for regular counts'!$A$2,"State","TN","Category",2,"Category2","Four-Year")</f>
        <v>3366.2083333333335</v>
      </c>
      <c r="D56" s="33">
        <f>+GETPIVOTDATA("Graduate FTE - New",'FTE Pivot for regular counts'!$A$2,"State","TN","Category",3,"Category2","Four-Year")</f>
        <v>4103.291666666667</v>
      </c>
      <c r="E56" s="33">
        <f>+GETPIVOTDATA("Graduate FTE - New",'FTE Pivot for regular counts'!$A$2,"State","TN","Category",4,"Category2","Four-Year")</f>
        <v>0</v>
      </c>
      <c r="F56" s="33">
        <f>+GETPIVOTDATA("Graduate FTE - New",'FTE Pivot for regular counts'!$A$2,"State","TN","Category",5,"Category2","Four-Year")</f>
        <v>246.375</v>
      </c>
      <c r="G56" s="12">
        <f>+GETPIVOTDATA("Graduate FTE - New",'FTE Pivot for regular counts'!$A$2,"State","TN","Category",6,"Category2","Four-Year")</f>
        <v>0</v>
      </c>
      <c r="H56" s="112">
        <f>+GETPIVOTDATA("Graduate FTE - New",'FTE Pivot for regular counts'!$A$2,"State","TN","Category2","Four-Year")</f>
        <v>15295.916666666668</v>
      </c>
    </row>
    <row r="57" spans="1:13" ht="15" customHeight="1">
      <c r="A57" s="1" t="s">
        <v>77</v>
      </c>
      <c r="B57" s="33">
        <f>+GETPIVOTDATA("Graduate FTE - New",'FTE Pivot for regular counts'!$A$2,"State","TX","Category",1,"Category2","Four-Year")</f>
        <v>50143.166666666664</v>
      </c>
      <c r="C57" s="33">
        <f>+GETPIVOTDATA("Graduate FTE - New",'FTE Pivot for regular counts'!$A$2,"State","TX","Category",2,"Category2","Four-Year")</f>
        <v>8944.7083333333339</v>
      </c>
      <c r="D57" s="33">
        <f>+GETPIVOTDATA("Graduate FTE - New",'FTE Pivot for regular counts'!$A$2,"State","TX","Category",3,"Category2","Four-Year")</f>
        <v>32881.874999999993</v>
      </c>
      <c r="E57" s="33">
        <f>+GETPIVOTDATA("Graduate FTE - New",'FTE Pivot for regular counts'!$A$2,"State","TX","Category",4,"Category2","Four-Year")</f>
        <v>1479.0833333333335</v>
      </c>
      <c r="F57" s="33">
        <f>+GETPIVOTDATA("Graduate FTE - New",'FTE Pivot for regular counts'!$A$2,"State","TX","Category",5,"Category2","Four-Year")</f>
        <v>1258.5833333333333</v>
      </c>
      <c r="G57" s="12">
        <f>+GETPIVOTDATA("Graduate FTE - New",'FTE Pivot for regular counts'!$A$2,"State","TX","Category",6,"Category2","Four-Year")</f>
        <v>92.083333333333329</v>
      </c>
      <c r="H57" s="112">
        <f>+GETPIVOTDATA("Graduate FTE - New",'FTE Pivot for regular counts'!$A$2,"State","TX","Category2","Four-Year")</f>
        <v>94799.499999999985</v>
      </c>
    </row>
    <row r="58" spans="1:13" ht="15" customHeight="1">
      <c r="A58" s="1" t="s">
        <v>78</v>
      </c>
      <c r="B58" s="33">
        <f>+GETPIVOTDATA("Graduate FTE - New",'FTE Pivot for regular counts'!$A$2,"State","VA","Category",1,"Category2","Four-Year")</f>
        <v>28650.0625</v>
      </c>
      <c r="C58" s="33">
        <f>+GETPIVOTDATA("Graduate FTE - New",'FTE Pivot for regular counts'!$A$2,"State","VA","Category",2,"Category2","Four-Year")</f>
        <v>2279.875</v>
      </c>
      <c r="D58" s="33">
        <f>+GETPIVOTDATA("Graduate FTE - New",'FTE Pivot for regular counts'!$A$2,"State","VA","Category",3,"Category2","Four-Year")</f>
        <v>3638.3916666666664</v>
      </c>
      <c r="E58" s="33">
        <f>+GETPIVOTDATA("Graduate FTE - New",'FTE Pivot for regular counts'!$A$2,"State","VA","Category",4,"Category2","Four-Year")</f>
        <v>0</v>
      </c>
      <c r="F58" s="33">
        <f>+GETPIVOTDATA("Graduate FTE - New",'FTE Pivot for regular counts'!$A$2,"State","VA","Category",5,"Category2","Four-Year")</f>
        <v>136.75</v>
      </c>
      <c r="G58" s="12">
        <f>+GETPIVOTDATA("Graduate FTE - New",'FTE Pivot for regular counts'!$A$2,"State","VA","Category",6,"Category2","Four-Year")</f>
        <v>0</v>
      </c>
      <c r="H58" s="112">
        <f>+GETPIVOTDATA("Graduate FTE - New",'FTE Pivot for regular counts'!$A$2,"State","VA","Category2","Four-Year")</f>
        <v>34705.079166666663</v>
      </c>
    </row>
    <row r="59" spans="1:13" ht="15" customHeight="1">
      <c r="A59" s="3" t="s">
        <v>79</v>
      </c>
      <c r="B59" s="13">
        <f>+GETPIVOTDATA("Graduate FTE - New",'FTE Pivot for regular counts'!$A$2,"State","WV","Category",1,"Category2","Four-Year")</f>
        <v>4333.5</v>
      </c>
      <c r="C59" s="13">
        <f>+GETPIVOTDATA("Graduate FTE - New",'FTE Pivot for regular counts'!$A$2,"State","WV","Category",2,"Category2","Four-Year")</f>
        <v>0</v>
      </c>
      <c r="D59" s="13">
        <f>+GETPIVOTDATA("Graduate FTE - New",'FTE Pivot for regular counts'!$A$2,"State","WV","Category",3,"Category2","Four-Year")</f>
        <v>2911.1666666666665</v>
      </c>
      <c r="E59" s="13">
        <f>+GETPIVOTDATA("Graduate FTE - New",'FTE Pivot for regular counts'!$A$2,"State","WV","Category",4,"Category2","Four-Year")</f>
        <v>0</v>
      </c>
      <c r="F59" s="13">
        <f>+GETPIVOTDATA("Graduate FTE - New",'FTE Pivot for regular counts'!$A$2,"State","WV","Category",5,"Category2","Four-Year")</f>
        <v>345.91666666666669</v>
      </c>
      <c r="G59" s="14">
        <f>+GETPIVOTDATA("Graduate FTE - New",'FTE Pivot for regular counts'!$A$2,"State","WV","Category",6,"Category2","Four-Year")</f>
        <v>475.125</v>
      </c>
      <c r="H59" s="113">
        <f>+GETPIVOTDATA("Graduate FTE - New",'FTE Pivot for regular counts'!$A$2,"State","WV","Category2","Four-Year")</f>
        <v>8065.708333333333</v>
      </c>
    </row>
    <row r="60" spans="1:13" s="25" customFormat="1" ht="35.25" customHeight="1">
      <c r="A60" s="831" t="s">
        <v>977</v>
      </c>
      <c r="B60" s="831"/>
      <c r="C60" s="831"/>
      <c r="D60" s="831"/>
      <c r="E60" s="831"/>
      <c r="F60" s="831"/>
      <c r="G60" s="831"/>
      <c r="H60" s="831"/>
      <c r="I60" s="15"/>
      <c r="J60" s="102"/>
      <c r="K60" s="102"/>
      <c r="L60" s="102"/>
      <c r="M60" s="102"/>
    </row>
    <row r="61" spans="1:13" ht="10.5" customHeight="1">
      <c r="A61" s="380"/>
      <c r="B61" s="380"/>
      <c r="C61" s="380"/>
      <c r="D61" s="380"/>
      <c r="E61" s="380"/>
      <c r="F61" s="380"/>
      <c r="G61" s="380"/>
      <c r="H61" s="524" t="s">
        <v>975</v>
      </c>
    </row>
    <row r="62" spans="1:13">
      <c r="A62" s="49"/>
      <c r="B62" s="50"/>
      <c r="C62" s="50"/>
      <c r="D62" s="50"/>
      <c r="E62" s="50"/>
      <c r="F62" s="50"/>
      <c r="G62" s="50"/>
      <c r="H62" s="168"/>
    </row>
    <row r="63" spans="1:13" ht="18">
      <c r="A63" s="41" t="s">
        <v>165</v>
      </c>
      <c r="B63" s="41"/>
      <c r="C63" s="41"/>
      <c r="D63" s="41"/>
      <c r="E63" s="41"/>
      <c r="F63" s="41"/>
      <c r="G63" s="41"/>
      <c r="H63" s="114"/>
    </row>
    <row r="64" spans="1:13" ht="15.75">
      <c r="A64" s="55"/>
      <c r="B64" s="43"/>
      <c r="C64" s="43"/>
      <c r="D64" s="43"/>
      <c r="E64" s="43"/>
      <c r="F64" s="43"/>
      <c r="G64" s="43"/>
      <c r="H64" s="109"/>
    </row>
    <row r="65" spans="1:24" ht="15.75">
      <c r="A65" s="43" t="s">
        <v>36</v>
      </c>
      <c r="B65" s="43"/>
      <c r="C65" s="43"/>
      <c r="D65" s="43"/>
      <c r="E65" s="43"/>
      <c r="F65" s="43"/>
      <c r="G65" s="43"/>
      <c r="H65" s="109"/>
    </row>
    <row r="66" spans="1:24" ht="15.75">
      <c r="A66" s="109" t="s">
        <v>971</v>
      </c>
      <c r="B66" s="43"/>
      <c r="C66" s="43"/>
      <c r="D66" s="43"/>
      <c r="E66" s="43"/>
      <c r="F66" s="43"/>
      <c r="G66" s="43"/>
      <c r="H66" s="109"/>
    </row>
    <row r="67" spans="1:24" ht="15.75">
      <c r="A67" s="43"/>
      <c r="B67" s="43"/>
      <c r="C67" s="43"/>
      <c r="D67" s="43"/>
      <c r="E67" s="43"/>
      <c r="F67" s="43"/>
      <c r="G67" s="43"/>
      <c r="H67" s="109"/>
      <c r="Q67" s="125" t="s">
        <v>38</v>
      </c>
      <c r="R67" s="223" t="s">
        <v>196</v>
      </c>
      <c r="S67" s="125"/>
      <c r="T67" s="125"/>
      <c r="U67" s="125"/>
      <c r="V67" s="125"/>
      <c r="W67" s="125"/>
    </row>
    <row r="68" spans="1:24" ht="15" customHeight="1">
      <c r="A68" s="52"/>
      <c r="B68" s="52" t="s">
        <v>62</v>
      </c>
      <c r="C68" s="52"/>
      <c r="D68" s="52"/>
      <c r="E68" s="52"/>
      <c r="F68" s="52"/>
      <c r="G68" s="52"/>
      <c r="H68" s="110"/>
      <c r="Q68" s="178" t="s">
        <v>62</v>
      </c>
      <c r="R68" s="179"/>
      <c r="S68" s="179"/>
      <c r="T68" s="179"/>
      <c r="U68" s="179"/>
      <c r="V68" s="179"/>
      <c r="W68" s="126"/>
    </row>
    <row r="69" spans="1:24" ht="15" customHeight="1">
      <c r="A69" s="53"/>
      <c r="B69" s="46">
        <v>1</v>
      </c>
      <c r="C69" s="46">
        <v>2</v>
      </c>
      <c r="D69" s="46">
        <v>3</v>
      </c>
      <c r="E69" s="46">
        <v>4</v>
      </c>
      <c r="F69" s="46">
        <v>5</v>
      </c>
      <c r="G69" s="54">
        <v>6</v>
      </c>
      <c r="H69" s="92" t="s">
        <v>30</v>
      </c>
      <c r="Q69" s="127">
        <v>1</v>
      </c>
      <c r="R69" s="127">
        <v>2</v>
      </c>
      <c r="S69" s="127">
        <v>3</v>
      </c>
      <c r="T69" s="127">
        <v>4</v>
      </c>
      <c r="U69" s="127">
        <v>5</v>
      </c>
      <c r="V69" s="128">
        <v>6</v>
      </c>
      <c r="W69" s="129" t="s">
        <v>30</v>
      </c>
    </row>
    <row r="70" spans="1:24" ht="15" customHeight="1">
      <c r="A70" s="1" t="s">
        <v>64</v>
      </c>
      <c r="B70" s="11">
        <f>+'NEW-Tables 80-86'!B9+'NEW-Tables 80-86'!B39</f>
        <v>1184733.2737499999</v>
      </c>
      <c r="C70" s="11">
        <f>+'NEW-Tables 80-86'!D9+'NEW-Tables 80-86'!C39</f>
        <v>235295.00633333338</v>
      </c>
      <c r="D70" s="11">
        <f>+'NEW-Tables 80-86'!F9+'NEW-Tables 80-86'!D39</f>
        <v>669308.40833333333</v>
      </c>
      <c r="E70" s="11">
        <f>+'NEW-Tables 80-86'!H9+'NEW-Tables 80-86'!E39</f>
        <v>164531.28750000001</v>
      </c>
      <c r="F70" s="11">
        <f>+'NEW-Tables 80-86'!J9+'NEW-Tables 80-86'!F39</f>
        <v>96390.833333333328</v>
      </c>
      <c r="G70" s="12">
        <f>+'NEW-Tables 80-86'!L9+'NEW-Tables 80-86'!G39</f>
        <v>73611.051666666666</v>
      </c>
      <c r="H70" s="111">
        <f>+'NEW-Tables 80-86'!N9+'NEW-Tables 80-86'!H39</f>
        <v>2423869.8609166667</v>
      </c>
      <c r="Q70" s="125">
        <f>+GETPIVOTDATA("Grand Total FTE - Old",'FTE Pivot for regular counts'!$A$2,"Category",1,"Category2","Four-Year")</f>
        <v>1167992.5083333331</v>
      </c>
      <c r="R70" s="125">
        <f>+GETPIVOTDATA("Grand Total FTE - Old",'FTE Pivot for regular counts'!$A$2,"Category",2,"Category2","Four-Year")</f>
        <v>231299.48083333331</v>
      </c>
      <c r="S70" s="125">
        <f>+GETPIVOTDATA("Grand Total FTE - Old",'FTE Pivot for regular counts'!$A$2,"Category",3,"Category2","Four-Year")</f>
        <v>662625.09166666679</v>
      </c>
      <c r="T70" s="125">
        <f>+GETPIVOTDATA("Grand Total FTE - Old",'FTE Pivot for regular counts'!$A$2,"Category",4,"Category2","Four-Year")</f>
        <v>164513.42916666667</v>
      </c>
      <c r="U70" s="125">
        <f>+GETPIVOTDATA("Grand Total FTE - Old",'FTE Pivot for regular counts'!$A$2,"Category",5,"Category2","Four-Year")</f>
        <v>97707.95</v>
      </c>
      <c r="V70" s="125">
        <f>+GETPIVOTDATA("Grand Total FTE - Old",'FTE Pivot for regular counts'!$A$2,"Category",6,"Category2","Four-Year")</f>
        <v>73935.808333333334</v>
      </c>
      <c r="W70" s="125">
        <f>+GETPIVOTDATA("Grand Total FTE - Old",'FTE Pivot for regular counts'!$A$2,"Category2","Four-Year")</f>
        <v>2398074.2683333326</v>
      </c>
      <c r="X70" s="1" t="s">
        <v>64</v>
      </c>
    </row>
    <row r="71" spans="1:24" ht="15" customHeight="1">
      <c r="B71" s="11"/>
      <c r="C71" s="11"/>
      <c r="D71" s="11"/>
      <c r="E71" s="11"/>
      <c r="F71" s="11"/>
      <c r="G71" s="12"/>
      <c r="H71" s="111"/>
      <c r="Q71" s="125"/>
      <c r="R71" s="125"/>
      <c r="S71" s="125"/>
      <c r="T71" s="125"/>
      <c r="U71" s="125"/>
      <c r="V71" s="125"/>
      <c r="W71" s="125"/>
    </row>
    <row r="72" spans="1:24" ht="15" customHeight="1">
      <c r="A72" s="1" t="s">
        <v>65</v>
      </c>
      <c r="B72" s="33">
        <f>+'NEW-Tables 80-86'!B11+'NEW-Tables 80-86'!B41</f>
        <v>58512.358333333337</v>
      </c>
      <c r="C72" s="33">
        <f>+'NEW-Tables 80-86'!D11+'NEW-Tables 80-86'!C41</f>
        <v>16841.033333333333</v>
      </c>
      <c r="D72" s="33">
        <f>+'NEW-Tables 80-86'!F11+'NEW-Tables 80-86'!D41</f>
        <v>32203.375000000004</v>
      </c>
      <c r="E72" s="33">
        <f>+'NEW-Tables 80-86'!H11+'NEW-Tables 80-86'!E41</f>
        <v>15266.908333333331</v>
      </c>
      <c r="F72" s="33">
        <f>+'NEW-Tables 80-86'!J11+'NEW-Tables 80-86'!F41</f>
        <v>5844.7333333333327</v>
      </c>
      <c r="G72" s="12">
        <f>+'NEW-Tables 80-86'!L11+'NEW-Tables 80-86'!G41</f>
        <v>2347.1999999999998</v>
      </c>
      <c r="H72" s="112">
        <f>+'NEW-Tables 80-86'!N11+'NEW-Tables 80-86'!H41</f>
        <v>131015.60833333334</v>
      </c>
      <c r="Q72" s="125">
        <f>+GETPIVOTDATA("Grand Total FTE - Old",'FTE Pivot for regular counts'!$A$2,"State","AL","Category",1,"Category2","Four-Year")</f>
        <v>56205.141666666663</v>
      </c>
      <c r="R72" s="125">
        <f>+GETPIVOTDATA("Grand Total FTE - Old",'FTE Pivot for regular counts'!$A$2,"State","AL","Category",2,"Category2","Four-Year")</f>
        <v>16613.150000000001</v>
      </c>
      <c r="S72" s="125">
        <f>+GETPIVOTDATA("Grand Total FTE - Old",'FTE Pivot for regular counts'!$A$2,"State","AL","Category",3,"Category2","Four-Year")</f>
        <v>32079.300000000003</v>
      </c>
      <c r="T72" s="125">
        <f>+GETPIVOTDATA("Grand Total FTE - Old",'FTE Pivot for regular counts'!$A$2,"State","AL","Category",4,"Category2","Four-Year")</f>
        <v>15306.025000000001</v>
      </c>
      <c r="U72" s="125">
        <f>+GETPIVOTDATA("Grand Total FTE - Old",'FTE Pivot for regular counts'!$A$2,"State","AL","Category",5,"Category2","Four-Year")</f>
        <v>5853.9833333333336</v>
      </c>
      <c r="V72" s="125">
        <f>+GETPIVOTDATA("Grand Total FTE - Old",'FTE Pivot for regular counts'!$A$2,"State","AL","Category",6,"Category2","Four-Year")</f>
        <v>2445.6999999999998</v>
      </c>
      <c r="W72" s="125">
        <f>+GETPIVOTDATA("Grand Total FTE - Old",'FTE Pivot for regular counts'!$A$2,"State","AL","Category2","Four-Year")</f>
        <v>128503.3</v>
      </c>
      <c r="X72" s="1" t="s">
        <v>65</v>
      </c>
    </row>
    <row r="73" spans="1:24" ht="15" customHeight="1">
      <c r="A73" s="4" t="s">
        <v>66</v>
      </c>
      <c r="B73" s="33">
        <f>+'NEW-Tables 80-86'!B12+'NEW-Tables 80-86'!B42</f>
        <v>24313.158333333333</v>
      </c>
      <c r="C73" s="33">
        <f>+'NEW-Tables 80-86'!D12+'NEW-Tables 80-86'!C42</f>
        <v>8888.4500000000007</v>
      </c>
      <c r="D73" s="33">
        <f>+'NEW-Tables 80-86'!F12+'NEW-Tables 80-86'!D42</f>
        <v>31208.35</v>
      </c>
      <c r="E73" s="33">
        <f>+'NEW-Tables 80-86'!H12+'NEW-Tables 80-86'!E42</f>
        <v>6692.05</v>
      </c>
      <c r="F73" s="33">
        <f>+'NEW-Tables 80-86'!J12+'NEW-Tables 80-86'!F42</f>
        <v>2418.0833333333335</v>
      </c>
      <c r="G73" s="12">
        <f>+'NEW-Tables 80-86'!L12+'NEW-Tables 80-86'!G42</f>
        <v>7980.583333333333</v>
      </c>
      <c r="H73" s="112">
        <f>+'NEW-Tables 80-86'!N12+'NEW-Tables 80-86'!H42</f>
        <v>81500.675000000003</v>
      </c>
      <c r="Q73" s="125">
        <f>+GETPIVOTDATA("Grand Total FTE - Old",'FTE Pivot for regular counts'!$A$2,"State","AR","Category",1,"Category2","Four-Year")</f>
        <v>24026.483333333334</v>
      </c>
      <c r="R73" s="125">
        <f>+GETPIVOTDATA("Grand Total FTE - Old",'FTE Pivot for regular counts'!$A$2,"State","AR","Category",2,"Category2","Four-Year")</f>
        <v>8977.875</v>
      </c>
      <c r="S73" s="125">
        <f>+GETPIVOTDATA("Grand Total FTE - Old",'FTE Pivot for regular counts'!$A$2,"State","AR","Category",3,"Category2","Four-Year")</f>
        <v>30872.958333333332</v>
      </c>
      <c r="T73" s="125">
        <f>+GETPIVOTDATA("Grand Total FTE - Old",'FTE Pivot for regular counts'!$A$2,"State","AR","Category",4,"Category2","Four-Year")</f>
        <v>6548.6416666666664</v>
      </c>
      <c r="U73" s="125">
        <f>+GETPIVOTDATA("Grand Total FTE - Old",'FTE Pivot for regular counts'!$A$2,"State","AR","Category",5,"Category2","Four-Year")</f>
        <v>2457.1583333333333</v>
      </c>
      <c r="V73" s="125">
        <f>+GETPIVOTDATA("Grand Total FTE - Old",'FTE Pivot for regular counts'!$A$2,"State","AR","Category",6,"Category2","Four-Year")</f>
        <v>8086.3333333333339</v>
      </c>
      <c r="W73" s="125">
        <f>+GETPIVOTDATA("Grand Total FTE - Old",'FTE Pivot for regular counts'!$A$2,"State","AR","Category2","Four-Year")</f>
        <v>80969.45</v>
      </c>
      <c r="X73" s="4" t="s">
        <v>66</v>
      </c>
    </row>
    <row r="74" spans="1:24" ht="15" customHeight="1">
      <c r="A74" s="1" t="s">
        <v>102</v>
      </c>
      <c r="B74" s="33">
        <f>+'NEW-Tables 80-86'!B13+'NEW-Tables 80-86'!B43</f>
        <v>21165.558333333331</v>
      </c>
      <c r="C74" s="33">
        <f>+'NEW-Tables 80-86'!D13+'NEW-Tables 80-86'!C43</f>
        <v>0</v>
      </c>
      <c r="D74" s="33">
        <f>+'NEW-Tables 80-86'!F13+'NEW-Tables 80-86'!D43</f>
        <v>4293.2749999999996</v>
      </c>
      <c r="E74" s="1">
        <f>+'NEW-Tables 80-86'!H13+'NEW-Tables 80-86'!E43</f>
        <v>0</v>
      </c>
      <c r="F74" s="33">
        <f>+'NEW-Tables 80-86'!J13+'NEW-Tables 80-86'!F43</f>
        <v>0</v>
      </c>
      <c r="G74" s="12">
        <f>+'NEW-Tables 80-86'!L13+'NEW-Tables 80-86'!G43</f>
        <v>0</v>
      </c>
      <c r="H74" s="1">
        <f>+'NEW-Tables 80-86'!N13+'NEW-Tables 80-86'!H43</f>
        <v>25458.833333333332</v>
      </c>
      <c r="Q74" s="125">
        <f>+GETPIVOTDATA("Grand Total FTE - Old",'FTE Pivot for regular counts'!$A$2,"State","DE","Category",1,"Category2","Four-Year")</f>
        <v>20462.574999999997</v>
      </c>
      <c r="R74" s="125">
        <f>+GETPIVOTDATA("Grand Total FTE - Old",'FTE Pivot for regular counts'!$A$2,"State","DE","Category",2,"Category2","Four-Year")</f>
        <v>0</v>
      </c>
      <c r="S74" s="125">
        <f>+GETPIVOTDATA("Grand Total FTE - Old",'FTE Pivot for regular counts'!$A$2,"State","DE","Category",3,"Category2","Four-Year")</f>
        <v>4102.1750000000002</v>
      </c>
      <c r="T74" s="125">
        <f>+GETPIVOTDATA("Grand Total FTE - Old",'FTE Pivot for regular counts'!$A$2,"State","DE","Category",4,"Category2","Four-Year")</f>
        <v>0</v>
      </c>
      <c r="U74" s="125">
        <f>+GETPIVOTDATA("Grand Total FTE - Old",'FTE Pivot for regular counts'!$A$2,"State","DE","Category",5,"Category2","Four-Year")</f>
        <v>0</v>
      </c>
      <c r="V74" s="125">
        <f>+GETPIVOTDATA("Grand Total FTE - Old",'FTE Pivot for regular counts'!$A$2,"State","DE","Category",6,"Category2","Four-Year")</f>
        <v>0</v>
      </c>
      <c r="W74" s="125">
        <f>+GETPIVOTDATA("Grand Total FTE - Old",'FTE Pivot for regular counts'!$A$2,"State","DE","Category2","Four-Year")</f>
        <v>24564.749999999996</v>
      </c>
      <c r="X74" s="1" t="s">
        <v>102</v>
      </c>
    </row>
    <row r="75" spans="1:24" ht="15" customHeight="1">
      <c r="A75" s="1" t="s">
        <v>67</v>
      </c>
      <c r="B75" s="33">
        <f>+'NEW-Tables 80-86'!B14+'NEW-Tables 80-86'!B44</f>
        <v>250021.36666666667</v>
      </c>
      <c r="C75" s="33">
        <f>+'NEW-Tables 80-86'!D14+'NEW-Tables 80-86'!C44</f>
        <v>0</v>
      </c>
      <c r="D75" s="33">
        <f>+'NEW-Tables 80-86'!F14+'NEW-Tables 80-86'!D44</f>
        <v>33367.133333333331</v>
      </c>
      <c r="E75" s="33">
        <f>+'NEW-Tables 80-86'!H14+'NEW-Tables 80-86'!E44</f>
        <v>12456.9</v>
      </c>
      <c r="F75" s="33">
        <f>+'NEW-Tables 80-86'!J14+'NEW-Tables 80-86'!F44</f>
        <v>0</v>
      </c>
      <c r="G75" s="12">
        <f>+'NEW-Tables 80-86'!L14+'NEW-Tables 80-86'!G44</f>
        <v>974.93333333333317</v>
      </c>
      <c r="H75" s="112">
        <f>+'NEW-Tables 80-86'!N14+'NEW-Tables 80-86'!H44</f>
        <v>296820.33333333331</v>
      </c>
      <c r="Q75" s="125">
        <f>+GETPIVOTDATA("Grand Total FTE - Old",'FTE Pivot for regular counts'!$A$2,"State","FL","Category",1,"Category2","Four-Year")</f>
        <v>251243.80416666667</v>
      </c>
      <c r="R75" s="125">
        <f>+GETPIVOTDATA("Grand Total FTE - Old",'FTE Pivot for regular counts'!$A$2,"State","FL","Category",2,"Category2","Four-Year")</f>
        <v>0</v>
      </c>
      <c r="S75" s="125">
        <f>+GETPIVOTDATA("Grand Total FTE - Old",'FTE Pivot for regular counts'!$A$2,"State","FL","Category",3,"Category2","Four-Year")</f>
        <v>34045.291666666664</v>
      </c>
      <c r="T75" s="125">
        <f>+GETPIVOTDATA("Grand Total FTE - Old",'FTE Pivot for regular counts'!$A$2,"State","FL","Category",4,"Category2","Four-Year")</f>
        <v>12070.85</v>
      </c>
      <c r="U75" s="125">
        <f>+GETPIVOTDATA("Grand Total FTE - Old",'FTE Pivot for regular counts'!$A$2,"State","FL","Category",5,"Category2","Four-Year")</f>
        <v>0</v>
      </c>
      <c r="V75" s="125">
        <f>+GETPIVOTDATA("Grand Total FTE - Old",'FTE Pivot for regular counts'!$A$2,"State","FL","Category",6,"Category2","Four-Year")</f>
        <v>921.33333333333337</v>
      </c>
      <c r="W75" s="125">
        <f>+GETPIVOTDATA("Grand Total FTE - Old",'FTE Pivot for regular counts'!$A$2,"State","FL","Category2","Four-Year")</f>
        <v>298281.27916666662</v>
      </c>
      <c r="X75" s="1" t="s">
        <v>67</v>
      </c>
    </row>
    <row r="76" spans="1:24" ht="15" customHeight="1">
      <c r="B76" s="33"/>
      <c r="C76" s="33"/>
      <c r="D76" s="33"/>
      <c r="E76" s="33"/>
      <c r="F76" s="33"/>
      <c r="G76" s="12"/>
      <c r="H76" s="112"/>
      <c r="Q76" s="125"/>
      <c r="R76" s="125"/>
      <c r="S76" s="125"/>
      <c r="T76" s="125"/>
      <c r="U76" s="125"/>
      <c r="V76" s="125"/>
      <c r="W76" s="125"/>
    </row>
    <row r="77" spans="1:24" ht="15" customHeight="1">
      <c r="A77" s="1" t="s">
        <v>68</v>
      </c>
      <c r="B77" s="33">
        <f>+'NEW-Tables 80-86'!B16+'NEW-Tables 80-86'!B46</f>
        <v>68048.916666666657</v>
      </c>
      <c r="C77" s="33">
        <f>+'NEW-Tables 80-86'!D16+'NEW-Tables 80-86'!C46</f>
        <v>25388.472166666666</v>
      </c>
      <c r="D77" s="33">
        <f>+'NEW-Tables 80-86'!F16+'NEW-Tables 80-86'!D46</f>
        <v>68420.675000000017</v>
      </c>
      <c r="E77" s="33">
        <f>+'NEW-Tables 80-86'!H16+'NEW-Tables 80-86'!E46</f>
        <v>51195.73333333333</v>
      </c>
      <c r="F77" s="33">
        <f>+'NEW-Tables 80-86'!J16+'NEW-Tables 80-86'!F46</f>
        <v>6766.0250000000005</v>
      </c>
      <c r="G77" s="12">
        <f>+'NEW-Tables 80-86'!L16+'NEW-Tables 80-86'!G46</f>
        <v>19351.933333333331</v>
      </c>
      <c r="H77" s="112">
        <f>+'NEW-Tables 80-86'!N16+'NEW-Tables 80-86'!H46</f>
        <v>239171.7555</v>
      </c>
      <c r="Q77" s="125">
        <f>+GETPIVOTDATA("Grand Total FTE - Old",'FTE Pivot for regular counts'!$A$2,"State","GA","Category",1,"Category2","Four-Year")</f>
        <v>67266.899999999994</v>
      </c>
      <c r="R77" s="125">
        <f>+GETPIVOTDATA("Grand Total FTE - Old",'FTE Pivot for regular counts'!$A$2,"State","GA","Category",2,"Category2","Four-Year")</f>
        <v>24409.449999999997</v>
      </c>
      <c r="S77" s="125">
        <f>+GETPIVOTDATA("Grand Total FTE - Old",'FTE Pivot for regular counts'!$A$2,"State","GA","Category",3,"Category2","Four-Year")</f>
        <v>65912.0625</v>
      </c>
      <c r="T77" s="125">
        <f>+GETPIVOTDATA("Grand Total FTE - Old",'FTE Pivot for regular counts'!$A$2,"State","GA","Category",4,"Category2","Four-Year")</f>
        <v>50947.241666666661</v>
      </c>
      <c r="U77" s="125">
        <f>+GETPIVOTDATA("Grand Total FTE - Old",'FTE Pivot for regular counts'!$A$2,"State","GA","Category",5,"Category2","Four-Year")</f>
        <v>6898.7583333333332</v>
      </c>
      <c r="V77" s="125">
        <f>+GETPIVOTDATA("Grand Total FTE - Old",'FTE Pivot for regular counts'!$A$2,"State","GA","Category",6,"Category2","Four-Year")</f>
        <v>18904.800000000003</v>
      </c>
      <c r="W77" s="125">
        <f>+GETPIVOTDATA("Grand Total FTE - Old",'FTE Pivot for regular counts'!$A$2,"State","GA","Category2","Four-Year")</f>
        <v>234339.21249999997</v>
      </c>
      <c r="X77" s="1" t="s">
        <v>68</v>
      </c>
    </row>
    <row r="78" spans="1:24" ht="15" customHeight="1">
      <c r="A78" s="1" t="s">
        <v>69</v>
      </c>
      <c r="B78" s="33">
        <f>+'NEW-Tables 80-86'!B17+'NEW-Tables 80-86'!B47</f>
        <v>40960.891666666663</v>
      </c>
      <c r="C78" s="33">
        <f>+'NEW-Tables 80-86'!D17+'NEW-Tables 80-86'!C47</f>
        <v>0</v>
      </c>
      <c r="D78" s="33">
        <f>+'NEW-Tables 80-86'!F17+'NEW-Tables 80-86'!D47</f>
        <v>58667.466666666674</v>
      </c>
      <c r="E78" s="33">
        <f>+'NEW-Tables 80-86'!H17+'NEW-Tables 80-86'!E47</f>
        <v>1463.9083333333333</v>
      </c>
      <c r="F78" s="33">
        <f>+'NEW-Tables 80-86'!J17+'NEW-Tables 80-86'!F47</f>
        <v>0</v>
      </c>
      <c r="G78" s="12">
        <f>+'NEW-Tables 80-86'!L17+'NEW-Tables 80-86'!G47</f>
        <v>0</v>
      </c>
      <c r="H78" s="112">
        <f>+'NEW-Tables 80-86'!N17+'NEW-Tables 80-86'!H47</f>
        <v>101092.26666666668</v>
      </c>
      <c r="Q78" s="125">
        <f>+GETPIVOTDATA("Grand Total FTE - Old",'FTE Pivot for regular counts'!$A$2,"State","KY","Category",1,"Category2","Four-Year")</f>
        <v>40396.724999999999</v>
      </c>
      <c r="R78" s="125">
        <f>+GETPIVOTDATA("Grand Total FTE - Old",'FTE Pivot for regular counts'!$A$2,"State","KY","Category",2,"Category2","Four-Year")</f>
        <v>0</v>
      </c>
      <c r="S78" s="125">
        <f>+GETPIVOTDATA("Grand Total FTE - Old",'FTE Pivot for regular counts'!$A$2,"State","KY","Category",3,"Category2","Four-Year")</f>
        <v>58750.233333333337</v>
      </c>
      <c r="T78" s="125">
        <f>+GETPIVOTDATA("Grand Total FTE - Old",'FTE Pivot for regular counts'!$A$2,"State","KY","Category",4,"Category2","Four-Year")</f>
        <v>1655.6416666666667</v>
      </c>
      <c r="U78" s="125">
        <f>+GETPIVOTDATA("Grand Total FTE - Old",'FTE Pivot for regular counts'!$A$2,"State","KY","Category",5,"Category2","Four-Year")</f>
        <v>0</v>
      </c>
      <c r="V78" s="125">
        <f>+GETPIVOTDATA("Grand Total FTE - Old",'FTE Pivot for regular counts'!$A$2,"State","KY","Category",6,"Category2","Four-Year")</f>
        <v>0</v>
      </c>
      <c r="W78" s="125">
        <f>+GETPIVOTDATA("Grand Total FTE - Old",'FTE Pivot for regular counts'!$A$2,"State","KY","Category2","Four-Year")</f>
        <v>100802.6</v>
      </c>
      <c r="X78" s="1" t="s">
        <v>69</v>
      </c>
    </row>
    <row r="79" spans="1:24" ht="15" customHeight="1">
      <c r="A79" s="1" t="s">
        <v>70</v>
      </c>
      <c r="B79" s="33">
        <f>+'NEW-Tables 80-86'!B18+'NEW-Tables 80-86'!B48</f>
        <v>30062.870833333334</v>
      </c>
      <c r="C79" s="33">
        <f>+'NEW-Tables 80-86'!D18+'NEW-Tables 80-86'!C48</f>
        <v>31546.491666666665</v>
      </c>
      <c r="D79" s="33">
        <f>+'NEW-Tables 80-86'!F18+'NEW-Tables 80-86'!D48</f>
        <v>25278.958333333332</v>
      </c>
      <c r="E79" s="33">
        <f>+'NEW-Tables 80-86'!H18+'NEW-Tables 80-86'!E48</f>
        <v>27148.500000000004</v>
      </c>
      <c r="F79" s="33">
        <f>+'NEW-Tables 80-86'!J18+'NEW-Tables 80-86'!F48</f>
        <v>2009.25</v>
      </c>
      <c r="G79" s="12">
        <f>+'NEW-Tables 80-86'!L18+'NEW-Tables 80-86'!G48</f>
        <v>2026.6</v>
      </c>
      <c r="H79" s="112">
        <f>+'NEW-Tables 80-86'!N18+'NEW-Tables 80-86'!H48</f>
        <v>118072.67083333334</v>
      </c>
      <c r="Q79" s="125">
        <f>+GETPIVOTDATA("Grand Total FTE - Old",'FTE Pivot for regular counts'!$A$2,"State","LA","Category",1,"Category2","Four-Year")</f>
        <v>29667.033333333333</v>
      </c>
      <c r="R79" s="125">
        <f>+GETPIVOTDATA("Grand Total FTE - Old",'FTE Pivot for regular counts'!$A$2,"State","LA","Category",2,"Category2","Four-Year")</f>
        <v>30973.041666666668</v>
      </c>
      <c r="S79" s="125">
        <f>+GETPIVOTDATA("Grand Total FTE - Old",'FTE Pivot for regular counts'!$A$2,"State","LA","Category",3,"Category2","Four-Year")</f>
        <v>25598.716666666667</v>
      </c>
      <c r="T79" s="125">
        <f>+GETPIVOTDATA("Grand Total FTE - Old",'FTE Pivot for regular counts'!$A$2,"State","LA","Category",4,"Category2","Four-Year")</f>
        <v>27290.275000000001</v>
      </c>
      <c r="U79" s="125">
        <f>+GETPIVOTDATA("Grand Total FTE - Old",'FTE Pivot for regular counts'!$A$2,"State","LA","Category",5,"Category2","Four-Year")</f>
        <v>2254.7333333333331</v>
      </c>
      <c r="V79" s="125">
        <f>+GETPIVOTDATA("Grand Total FTE - Old",'FTE Pivot for regular counts'!$A$2,"State","LA","Category",6,"Category2","Four-Year")</f>
        <v>1845.5</v>
      </c>
      <c r="W79" s="125">
        <f>+GETPIVOTDATA("Grand Total FTE - Old",'FTE Pivot for regular counts'!$A$2,"State","LA","Category2","Four-Year")</f>
        <v>117629.29999999999</v>
      </c>
      <c r="X79" s="1" t="s">
        <v>70</v>
      </c>
    </row>
    <row r="80" spans="1:24" ht="15" customHeight="1">
      <c r="A80" s="1" t="s">
        <v>71</v>
      </c>
      <c r="B80" s="33">
        <f>+'NEW-Tables 80-86'!B19+'NEW-Tables 80-86'!B49</f>
        <v>33712.807083333333</v>
      </c>
      <c r="C80" s="33">
        <f>+'NEW-Tables 80-86'!D19+'NEW-Tables 80-86'!C49</f>
        <v>19306.958333333332</v>
      </c>
      <c r="D80" s="33">
        <f>+'NEW-Tables 80-86'!F19+'NEW-Tables 80-86'!D49</f>
        <v>19980.787499999999</v>
      </c>
      <c r="E80" s="33">
        <f>+'NEW-Tables 80-86'!H19+'NEW-Tables 80-86'!E49</f>
        <v>27023.204166666666</v>
      </c>
      <c r="F80" s="33">
        <f>+'NEW-Tables 80-86'!J19+'NEW-Tables 80-86'!F49</f>
        <v>2584.6666666666665</v>
      </c>
      <c r="G80" s="12">
        <f>+'NEW-Tables 80-86'!L19+'NEW-Tables 80-86'!G49</f>
        <v>1841.9833333333333</v>
      </c>
      <c r="H80" s="112">
        <f>+'NEW-Tables 80-86'!N19+'NEW-Tables 80-86'!H49</f>
        <v>104450.40708333332</v>
      </c>
      <c r="Q80" s="125">
        <f>+GETPIVOTDATA("Grand Total FTE - Old",'FTE Pivot for regular counts'!$A$2,"State","MD","Category",1,"Category2","Four-Year")</f>
        <v>33185.449999999997</v>
      </c>
      <c r="R80" s="125">
        <f>+GETPIVOTDATA("Grand Total FTE - Old",'FTE Pivot for regular counts'!$A$2,"State","MD","Category",2,"Category2","Four-Year")</f>
        <v>18896.741666666669</v>
      </c>
      <c r="S80" s="125">
        <f>+GETPIVOTDATA("Grand Total FTE - Old",'FTE Pivot for regular counts'!$A$2,"State","MD","Category",3,"Category2","Four-Year")</f>
        <v>20084.579166666666</v>
      </c>
      <c r="T80" s="125">
        <f>+GETPIVOTDATA("Grand Total FTE - Old",'FTE Pivot for regular counts'!$A$2,"State","MD","Category",4,"Category2","Four-Year")</f>
        <v>27273.679166666669</v>
      </c>
      <c r="U80" s="125">
        <f>+GETPIVOTDATA("Grand Total FTE - Old",'FTE Pivot for regular counts'!$A$2,"State","MD","Category",5,"Category2","Four-Year")</f>
        <v>2649.6750000000002</v>
      </c>
      <c r="V80" s="125">
        <f>+GETPIVOTDATA("Grand Total FTE - Old",'FTE Pivot for regular counts'!$A$2,"State","MD","Category",6,"Category2","Four-Year")</f>
        <v>1862.2666666666667</v>
      </c>
      <c r="W80" s="125">
        <f>+GETPIVOTDATA("Grand Total FTE - Old",'FTE Pivot for regular counts'!$A$2,"State","MD","Category2","Four-Year")</f>
        <v>103952.39166666666</v>
      </c>
      <c r="X80" s="1" t="s">
        <v>71</v>
      </c>
    </row>
    <row r="81" spans="1:26" ht="15" customHeight="1">
      <c r="B81" s="33"/>
      <c r="C81" s="33"/>
      <c r="D81" s="33"/>
      <c r="E81" s="33"/>
      <c r="F81" s="33"/>
      <c r="G81" s="12"/>
      <c r="H81" s="112"/>
      <c r="Q81" s="125"/>
      <c r="R81" s="125"/>
      <c r="S81" s="125"/>
      <c r="T81" s="125"/>
      <c r="U81" s="125"/>
      <c r="V81" s="125"/>
      <c r="W81" s="125"/>
    </row>
    <row r="82" spans="1:26" ht="15" customHeight="1">
      <c r="A82" s="1" t="s">
        <v>72</v>
      </c>
      <c r="B82" s="33">
        <f>+'NEW-Tables 80-86'!B21+'NEW-Tables 80-86'!B51</f>
        <v>30868.758333333331</v>
      </c>
      <c r="C82" s="33">
        <f>+'NEW-Tables 80-86'!D21+'NEW-Tables 80-86'!C51</f>
        <v>27504.270833333336</v>
      </c>
      <c r="D82" s="33">
        <f>+'NEW-Tables 80-86'!F21+'NEW-Tables 80-86'!D51</f>
        <v>0</v>
      </c>
      <c r="E82" s="33">
        <f>+'NEW-Tables 80-86'!H21+'NEW-Tables 80-86'!E51</f>
        <v>8497.9</v>
      </c>
      <c r="F82" s="33">
        <f>+'NEW-Tables 80-86'!J21+'NEW-Tables 80-86'!F51</f>
        <v>2495.25</v>
      </c>
      <c r="G82" s="12">
        <f>+'NEW-Tables 80-86'!L21+'NEW-Tables 80-86'!G51</f>
        <v>0</v>
      </c>
      <c r="H82" s="112">
        <f>+'NEW-Tables 80-86'!N21+'NEW-Tables 80-86'!H51</f>
        <v>69366.179166666669</v>
      </c>
      <c r="Q82" s="125">
        <f>+GETPIVOTDATA("Grand Total FTE - Old",'FTE Pivot for regular counts'!$A$2,"State","MS","Category",1,"Category2","Four-Year")</f>
        <v>31312.6</v>
      </c>
      <c r="R82" s="125">
        <f>+GETPIVOTDATA("Grand Total FTE - Old",'FTE Pivot for regular counts'!$A$2,"State","MS","Category",2,"Category2","Four-Year")</f>
        <v>26636.324999999997</v>
      </c>
      <c r="S82" s="125">
        <f>+GETPIVOTDATA("Grand Total FTE - Old",'FTE Pivot for regular counts'!$A$2,"State","MS","Category",3,"Category2","Four-Year")</f>
        <v>0</v>
      </c>
      <c r="T82" s="125">
        <f>+GETPIVOTDATA("Grand Total FTE - Old",'FTE Pivot for regular counts'!$A$2,"State","MS","Category",4,"Category2","Four-Year")</f>
        <v>8638.8666666666668</v>
      </c>
      <c r="U82" s="125">
        <f>+GETPIVOTDATA("Grand Total FTE - Old",'FTE Pivot for regular counts'!$A$2,"State","MS","Category",5,"Category2","Four-Year")</f>
        <v>2481.8583333333331</v>
      </c>
      <c r="V82" s="125">
        <f>+GETPIVOTDATA("Grand Total FTE - Old",'FTE Pivot for regular counts'!$A$2,"State","MS","Category",6,"Category2","Four-Year")</f>
        <v>0</v>
      </c>
      <c r="W82" s="125">
        <f>+GETPIVOTDATA("Grand Total FTE - Old",'FTE Pivot for regular counts'!$A$2,"State","MS","Category2","Four-Year")</f>
        <v>69069.649999999994</v>
      </c>
      <c r="X82" s="1" t="s">
        <v>72</v>
      </c>
    </row>
    <row r="83" spans="1:26" ht="15" customHeight="1">
      <c r="A83" s="1" t="s">
        <v>73</v>
      </c>
      <c r="B83" s="33">
        <f>+'NEW-Tables 80-86'!B22+'NEW-Tables 80-86'!B52</f>
        <v>94903.8</v>
      </c>
      <c r="C83" s="33">
        <f>+'NEW-Tables 80-86'!D22+'NEW-Tables 80-86'!C52</f>
        <v>23866.841666666667</v>
      </c>
      <c r="D83" s="33">
        <f>+'NEW-Tables 80-86'!F22+'NEW-Tables 80-86'!D52</f>
        <v>58361.158333333333</v>
      </c>
      <c r="E83" s="33">
        <f>+'NEW-Tables 80-86'!H22+'NEW-Tables 80-86'!E52</f>
        <v>5466.85</v>
      </c>
      <c r="F83" s="33">
        <f>+'NEW-Tables 80-86'!J22+'NEW-Tables 80-86'!F52</f>
        <v>10320.366666666667</v>
      </c>
      <c r="G83" s="12">
        <f>+'NEW-Tables 80-86'!L22+'NEW-Tables 80-86'!G52</f>
        <v>5115.8749999999991</v>
      </c>
      <c r="H83" s="112">
        <f>+'NEW-Tables 80-86'!N22+'NEW-Tables 80-86'!H52</f>
        <v>198034.89166666666</v>
      </c>
      <c r="Q83" s="125">
        <f>+GETPIVOTDATA("Grand Total FTE - Old",'FTE Pivot for regular counts'!$A$2,"State","NC","Category",1,"Category2","Four-Year")</f>
        <v>93347.041666666672</v>
      </c>
      <c r="R83" s="125">
        <f>+GETPIVOTDATA("Grand Total FTE - Old",'FTE Pivot for regular counts'!$A$2,"State","NC","Category",2,"Category2","Four-Year")</f>
        <v>23278.275000000001</v>
      </c>
      <c r="S83" s="125">
        <f>+GETPIVOTDATA("Grand Total FTE - Old",'FTE Pivot for regular counts'!$A$2,"State","NC","Category",3,"Category2","Four-Year")</f>
        <v>58110.483333333337</v>
      </c>
      <c r="T83" s="125">
        <f>+GETPIVOTDATA("Grand Total FTE - Old",'FTE Pivot for regular counts'!$A$2,"State","NC","Category",4,"Category2","Four-Year")</f>
        <v>5436.875</v>
      </c>
      <c r="U83" s="125">
        <f>+GETPIVOTDATA("Grand Total FTE - Old",'FTE Pivot for regular counts'!$A$2,"State","NC","Category",5,"Category2","Four-Year")</f>
        <v>10547.958333333332</v>
      </c>
      <c r="V83" s="125">
        <f>+GETPIVOTDATA("Grand Total FTE - Old",'FTE Pivot for regular counts'!$A$2,"State","NC","Category",6,"Category2","Four-Year")</f>
        <v>5451.4333333333325</v>
      </c>
      <c r="W83" s="125">
        <f>+GETPIVOTDATA("Grand Total FTE - Old",'FTE Pivot for regular counts'!$A$2,"State","NC","Category2","Four-Year")</f>
        <v>196172.06666666668</v>
      </c>
      <c r="X83" s="1" t="s">
        <v>73</v>
      </c>
    </row>
    <row r="84" spans="1:26" ht="15" customHeight="1">
      <c r="A84" s="1" t="s">
        <v>74</v>
      </c>
      <c r="B84" s="33">
        <f>+'NEW-Tables 80-86'!B23+'NEW-Tables 80-86'!B53</f>
        <v>40026.1</v>
      </c>
      <c r="C84" s="33">
        <f>+'NEW-Tables 80-86'!D23+'NEW-Tables 80-86'!C53</f>
        <v>0</v>
      </c>
      <c r="D84" s="33">
        <f>+'NEW-Tables 80-86'!F23+'NEW-Tables 80-86'!D53</f>
        <v>19977.641666666666</v>
      </c>
      <c r="E84" s="33">
        <f>+'NEW-Tables 80-86'!H23+'NEW-Tables 80-86'!E53</f>
        <v>3138.6499999999996</v>
      </c>
      <c r="F84" s="33">
        <f>+'NEW-Tables 80-86'!J23+'NEW-Tables 80-86'!F53</f>
        <v>16365</v>
      </c>
      <c r="G84" s="12">
        <f>+'NEW-Tables 80-86'!L23+'NEW-Tables 80-86'!G53</f>
        <v>4878.5083333333332</v>
      </c>
      <c r="H84" s="112">
        <f>+'NEW-Tables 80-86'!N23+'NEW-Tables 80-86'!H53</f>
        <v>84385.89999999998</v>
      </c>
      <c r="Q84" s="125">
        <f>+GETPIVOTDATA("Grand Total FTE - Old",'FTE Pivot for regular counts'!$A$2,"State","OK","Category",1,"Category2","Four-Year")</f>
        <v>39377</v>
      </c>
      <c r="R84" s="125">
        <f>+GETPIVOTDATA("Grand Total FTE - Old",'FTE Pivot for regular counts'!$A$2,"State","OK","Category",2,"Category2","Four-Year")</f>
        <v>0</v>
      </c>
      <c r="S84" s="125">
        <f>+GETPIVOTDATA("Grand Total FTE - Old",'FTE Pivot for regular counts'!$A$2,"State","OK","Category",3,"Category2","Four-Year")</f>
        <v>20078.400000000001</v>
      </c>
      <c r="T84" s="125">
        <f>+GETPIVOTDATA("Grand Total FTE - Old",'FTE Pivot for regular counts'!$A$2,"State","OK","Category",4,"Category2","Four-Year")</f>
        <v>3231.125</v>
      </c>
      <c r="U84" s="125">
        <f>+GETPIVOTDATA("Grand Total FTE - Old",'FTE Pivot for regular counts'!$A$2,"State","OK","Category",5,"Category2","Four-Year")</f>
        <v>16542.758333333331</v>
      </c>
      <c r="V84" s="125">
        <f>+GETPIVOTDATA("Grand Total FTE - Old",'FTE Pivot for regular counts'!$A$2,"State","OK","Category",6,"Category2","Four-Year")</f>
        <v>4945.9249999999993</v>
      </c>
      <c r="W84" s="125">
        <f>+GETPIVOTDATA("Grand Total FTE - Old",'FTE Pivot for regular counts'!$A$2,"State","OK","Category2","Four-Year")</f>
        <v>84175.208333333328</v>
      </c>
      <c r="X84" s="1" t="s">
        <v>74</v>
      </c>
    </row>
    <row r="85" spans="1:26" ht="15" customHeight="1">
      <c r="A85" s="1" t="s">
        <v>75</v>
      </c>
      <c r="B85" s="33">
        <f>+'NEW-Tables 80-86'!B24+'NEW-Tables 80-86'!B54</f>
        <v>51893.983333333337</v>
      </c>
      <c r="C85" s="33">
        <f>+'NEW-Tables 80-86'!D24+'NEW-Tables 80-86'!C54</f>
        <v>0</v>
      </c>
      <c r="D85" s="33">
        <f>+'NEW-Tables 80-86'!F24+'NEW-Tables 80-86'!D54</f>
        <v>20010.395833333332</v>
      </c>
      <c r="E85" s="33">
        <f>+'NEW-Tables 80-86'!H24+'NEW-Tables 80-86'!E54</f>
        <v>0</v>
      </c>
      <c r="F85" s="33">
        <f>+'NEW-Tables 80-86'!J24+'NEW-Tables 80-86'!F54</f>
        <v>16061.833333333332</v>
      </c>
      <c r="G85" s="12">
        <f>+'NEW-Tables 80-86'!L24+'NEW-Tables 80-86'!G54</f>
        <v>12491.383333333333</v>
      </c>
      <c r="H85" s="112">
        <f>+'NEW-Tables 80-86'!N24+'NEW-Tables 80-86'!H54</f>
        <v>100457.59583333331</v>
      </c>
      <c r="Q85" s="125">
        <f>+GETPIVOTDATA("Grand Total FTE - Old",'FTE Pivot for regular counts'!$A$2,"State","SC","Category",1,"Category2","Four-Year")</f>
        <v>50235.950000000004</v>
      </c>
      <c r="R85" s="125">
        <f>+GETPIVOTDATA("Grand Total FTE - Old",'FTE Pivot for regular counts'!$A$2,"State","SC","Category",2,"Category2","Four-Year")</f>
        <v>0</v>
      </c>
      <c r="S85" s="125">
        <f>+GETPIVOTDATA("Grand Total FTE - Old",'FTE Pivot for regular counts'!$A$2,"State","SC","Category",3,"Category2","Four-Year")</f>
        <v>20077.308333333334</v>
      </c>
      <c r="T85" s="125">
        <f>+GETPIVOTDATA("Grand Total FTE - Old",'FTE Pivot for regular counts'!$A$2,"State","SC","Category",4,"Category2","Four-Year")</f>
        <v>0</v>
      </c>
      <c r="U85" s="125">
        <f>+GETPIVOTDATA("Grand Total FTE - Old",'FTE Pivot for regular counts'!$A$2,"State","SC","Category",5,"Category2","Four-Year")</f>
        <v>15927.05</v>
      </c>
      <c r="V85" s="125">
        <f>+GETPIVOTDATA("Grand Total FTE - Old",'FTE Pivot for regular counts'!$A$2,"State","SC","Category",6,"Category2","Four-Year")</f>
        <v>12250.166666666668</v>
      </c>
      <c r="W85" s="125">
        <f>+GETPIVOTDATA("Grand Total FTE - Old",'FTE Pivot for regular counts'!$A$2,"State","SC","Category2","Four-Year")</f>
        <v>98490.475000000006</v>
      </c>
      <c r="X85" s="1" t="s">
        <v>75</v>
      </c>
    </row>
    <row r="86" spans="1:26" ht="15" customHeight="1">
      <c r="B86" s="33"/>
      <c r="C86" s="33"/>
      <c r="D86" s="33"/>
      <c r="E86" s="33"/>
      <c r="F86" s="33"/>
      <c r="G86" s="12"/>
      <c r="H86" s="112"/>
      <c r="Q86" s="125"/>
      <c r="R86" s="125"/>
      <c r="S86" s="125"/>
      <c r="T86" s="125"/>
      <c r="U86" s="125"/>
      <c r="V86" s="125"/>
      <c r="W86" s="125"/>
    </row>
    <row r="87" spans="1:26" ht="15" customHeight="1">
      <c r="A87" s="1" t="s">
        <v>76</v>
      </c>
      <c r="B87" s="33">
        <f>+'NEW-Tables 80-86'!B26+'NEW-Tables 80-86'!B56</f>
        <v>41771.074999999997</v>
      </c>
      <c r="C87" s="33">
        <f>+'NEW-Tables 80-86'!D26+'NEW-Tables 80-86'!C56</f>
        <v>20272.141666666666</v>
      </c>
      <c r="D87" s="33">
        <f>+'NEW-Tables 80-86'!F26+'NEW-Tables 80-86'!D56</f>
        <v>48164.224999999999</v>
      </c>
      <c r="E87" s="33">
        <f>+'NEW-Tables 80-86'!H26+'NEW-Tables 80-86'!E56</f>
        <v>0</v>
      </c>
      <c r="F87" s="33">
        <f>+'NEW-Tables 80-86'!J26+'NEW-Tables 80-86'!F56</f>
        <v>6274.6416666666664</v>
      </c>
      <c r="G87" s="12">
        <f>+'NEW-Tables 80-86'!L26+'NEW-Tables 80-86'!G56</f>
        <v>0</v>
      </c>
      <c r="H87" s="112">
        <f>+'NEW-Tables 80-86'!N26+'NEW-Tables 80-86'!H56</f>
        <v>116482.08333333333</v>
      </c>
      <c r="Q87" s="125">
        <f>+GETPIVOTDATA("Grand Total FTE - Old",'FTE Pivot for regular counts'!$A$2,"State","TN","Category",1,"Category2","Four-Year")</f>
        <v>41612.016666666663</v>
      </c>
      <c r="R87" s="125">
        <f>+GETPIVOTDATA("Grand Total FTE - Old",'FTE Pivot for regular counts'!$A$2,"State","TN","Category",2,"Category2","Four-Year")</f>
        <v>20052.883333333331</v>
      </c>
      <c r="S87" s="125">
        <f>+GETPIVOTDATA("Grand Total FTE - Old",'FTE Pivot for regular counts'!$A$2,"State","TN","Category",3,"Category2","Four-Year")</f>
        <v>48997.008333333331</v>
      </c>
      <c r="T87" s="125">
        <f>+GETPIVOTDATA("Grand Total FTE - Old",'FTE Pivot for regular counts'!$A$2,"State","TN","Category",4,"Category2","Four-Year")</f>
        <v>0</v>
      </c>
      <c r="U87" s="125">
        <f>+GETPIVOTDATA("Grand Total FTE - Old",'FTE Pivot for regular counts'!$A$2,"State","TN","Category",5,"Category2","Four-Year")</f>
        <v>6579.8166666666666</v>
      </c>
      <c r="V87" s="125">
        <f>+GETPIVOTDATA("Grand Total FTE - Old",'FTE Pivot for regular counts'!$A$2,"State","TN","Category",6,"Category2","Four-Year")</f>
        <v>0</v>
      </c>
      <c r="W87" s="125">
        <f>+GETPIVOTDATA("Grand Total FTE - Old",'FTE Pivot for regular counts'!$A$2,"State","TN","Category2","Four-Year")</f>
        <v>117241.72499999999</v>
      </c>
      <c r="X87" s="1" t="s">
        <v>76</v>
      </c>
    </row>
    <row r="88" spans="1:26" ht="15" customHeight="1">
      <c r="A88" s="1" t="s">
        <v>77</v>
      </c>
      <c r="B88" s="33">
        <f>+'NEW-Tables 80-86'!B27+'NEW-Tables 80-86'!B57</f>
        <v>240476.6333333333</v>
      </c>
      <c r="C88" s="33">
        <f>+'NEW-Tables 80-86'!D27+'NEW-Tables 80-86'!C57</f>
        <v>53189.474999999999</v>
      </c>
      <c r="D88" s="33">
        <f>+'NEW-Tables 80-86'!F27+'NEW-Tables 80-86'!D57</f>
        <v>188827.97499999998</v>
      </c>
      <c r="E88" s="33">
        <f>+'NEW-Tables 80-86'!H27+'NEW-Tables 80-86'!E57</f>
        <v>6180.6833333333343</v>
      </c>
      <c r="F88" s="33">
        <f>+'NEW-Tables 80-86'!J27+'NEW-Tables 80-86'!F57</f>
        <v>13236.25</v>
      </c>
      <c r="G88" s="12">
        <f>+'NEW-Tables 80-86'!L27+'NEW-Tables 80-86'!G57</f>
        <v>2173.4833333333336</v>
      </c>
      <c r="H88" s="112">
        <f>+'NEW-Tables 80-86'!N27+'NEW-Tables 80-86'!H57</f>
        <v>504084.49999999994</v>
      </c>
      <c r="Q88" s="125">
        <f>+GETPIVOTDATA("Grand Total FTE - Old",'FTE Pivot for regular counts'!$A$2,"State","TX","Category",1,"Category2","Four-Year")</f>
        <v>232636.82499999998</v>
      </c>
      <c r="R88" s="125">
        <f>+GETPIVOTDATA("Grand Total FTE - Old",'FTE Pivot for regular counts'!$A$2,"State","TX","Category",2,"Category2","Four-Year")</f>
        <v>52990.45</v>
      </c>
      <c r="S88" s="125">
        <f>+GETPIVOTDATA("Grand Total FTE - Old",'FTE Pivot for regular counts'!$A$2,"State","TX","Category",3,"Category2","Four-Year")</f>
        <v>182764.30833333335</v>
      </c>
      <c r="T88" s="125">
        <f>+GETPIVOTDATA("Grand Total FTE - Old",'FTE Pivot for regular counts'!$A$2,"State","TX","Category",4,"Category2","Four-Year")</f>
        <v>6114.208333333333</v>
      </c>
      <c r="U88" s="125">
        <f>+GETPIVOTDATA("Grand Total FTE - Old",'FTE Pivot for regular counts'!$A$2,"State","TX","Category",5,"Category2","Four-Year")</f>
        <v>13157.308333333332</v>
      </c>
      <c r="V88" s="125">
        <f>+GETPIVOTDATA("Grand Total FTE - Old",'FTE Pivot for regular counts'!$A$2,"State","TX","Category",6,"Category2","Four-Year")</f>
        <v>2104.25</v>
      </c>
      <c r="W88" s="125">
        <f>+GETPIVOTDATA("Grand Total FTE - Old",'FTE Pivot for regular counts'!$A$2,"State","TX","Category2","Four-Year")</f>
        <v>489767.35</v>
      </c>
      <c r="X88" s="1" t="s">
        <v>77</v>
      </c>
    </row>
    <row r="89" spans="1:26" ht="15" customHeight="1">
      <c r="A89" s="1" t="s">
        <v>78</v>
      </c>
      <c r="B89" s="33">
        <f>+'NEW-Tables 80-86'!B28+'NEW-Tables 80-86'!B58</f>
        <v>131923.99583333335</v>
      </c>
      <c r="C89" s="33">
        <f>+'NEW-Tables 80-86'!D28+'NEW-Tables 80-86'!C58</f>
        <v>8490.8716666666678</v>
      </c>
      <c r="D89" s="33">
        <f>+'NEW-Tables 80-86'!F28+'NEW-Tables 80-86'!D58</f>
        <v>48910.891666666663</v>
      </c>
      <c r="E89" s="33">
        <f>+'NEW-Tables 80-86'!H28+'NEW-Tables 80-86'!E58</f>
        <v>0</v>
      </c>
      <c r="F89" s="33">
        <f>+'NEW-Tables 80-86'!J28+'NEW-Tables 80-86'!F58</f>
        <v>5063.1166666666668</v>
      </c>
      <c r="G89" s="12">
        <f>+'NEW-Tables 80-86'!L28+'NEW-Tables 80-86'!G58</f>
        <v>1733.5333333333333</v>
      </c>
      <c r="H89" s="112">
        <f>+'NEW-Tables 80-86'!N28+'NEW-Tables 80-86'!H58</f>
        <v>196122.40916666665</v>
      </c>
      <c r="Q89" s="125">
        <f>+GETPIVOTDATA("Grand Total FTE - Old",'FTE Pivot for regular counts'!$A$2,"State","VA","Category",1,"Category2","Four-Year")</f>
        <v>130438.08749999999</v>
      </c>
      <c r="R89" s="125">
        <f>+GETPIVOTDATA("Grand Total FTE - Old",'FTE Pivot for regular counts'!$A$2,"State","VA","Category",2,"Category2","Four-Year")</f>
        <v>8471.2891666666656</v>
      </c>
      <c r="S89" s="125">
        <f>+GETPIVOTDATA("Grand Total FTE - Old",'FTE Pivot for regular counts'!$A$2,"State","VA","Category",3,"Category2","Four-Year")</f>
        <v>49734.175000000003</v>
      </c>
      <c r="T89" s="125">
        <f>+GETPIVOTDATA("Grand Total FTE - Old",'FTE Pivot for regular counts'!$A$2,"State","VA","Category",4,"Category2","Four-Year")</f>
        <v>0</v>
      </c>
      <c r="U89" s="125">
        <f>+GETPIVOTDATA("Grand Total FTE - Old",'FTE Pivot for regular counts'!$A$2,"State","VA","Category",5,"Category2","Four-Year")</f>
        <v>5086.8833333333332</v>
      </c>
      <c r="V89" s="125">
        <f>+GETPIVOTDATA("Grand Total FTE - Old",'FTE Pivot for regular counts'!$A$2,"State","VA","Category",6,"Category2","Four-Year")</f>
        <v>1756.1666666666667</v>
      </c>
      <c r="W89" s="125">
        <f>+GETPIVOTDATA("Grand Total FTE - Old",'FTE Pivot for regular counts'!$A$2,"State","VA","Category2","Four-Year")</f>
        <v>195486.60166666663</v>
      </c>
      <c r="X89" s="1" t="s">
        <v>78</v>
      </c>
    </row>
    <row r="90" spans="1:26" ht="15" customHeight="1">
      <c r="A90" s="3" t="s">
        <v>79</v>
      </c>
      <c r="B90" s="13">
        <f>+'NEW-Tables 80-86'!B29+'NEW-Tables 80-86'!B59</f>
        <v>26071</v>
      </c>
      <c r="C90" s="13">
        <f>+'NEW-Tables 80-86'!D29+'NEW-Tables 80-86'!C59</f>
        <v>0</v>
      </c>
      <c r="D90" s="13">
        <f>+'NEW-Tables 80-86'!F29+'NEW-Tables 80-86'!D59</f>
        <v>11636.099999999999</v>
      </c>
      <c r="E90" s="13">
        <f>+'NEW-Tables 80-86'!H29+'NEW-Tables 80-86'!E59</f>
        <v>0</v>
      </c>
      <c r="F90" s="13">
        <f>+'NEW-Tables 80-86'!J29+'NEW-Tables 80-86'!F59</f>
        <v>6951.6166666666668</v>
      </c>
      <c r="G90" s="14">
        <f>+'NEW-Tables 80-86'!L29+'NEW-Tables 80-86'!G59</f>
        <v>12695.034999999998</v>
      </c>
      <c r="H90" s="113">
        <f>+'NEW-Tables 80-86'!N29+'NEW-Tables 80-86'!H59</f>
        <v>57353.751666666663</v>
      </c>
      <c r="Q90" s="125">
        <f>+GETPIVOTDATA("Grand Total FTE - Old",'FTE Pivot for regular counts'!$A$2,"State","WV","Category",1,"Category2","Four-Year")</f>
        <v>26578.875</v>
      </c>
      <c r="R90" s="125">
        <f>+GETPIVOTDATA("Grand Total FTE - Old",'FTE Pivot for regular counts'!$A$2,"State","WV","Category",2,"Category2","Four-Year")</f>
        <v>0</v>
      </c>
      <c r="S90" s="125">
        <f>+GETPIVOTDATA("Grand Total FTE - Old",'FTE Pivot for regular counts'!$A$2,"State","WV","Category",3,"Category2","Four-Year")</f>
        <v>11418.091666666665</v>
      </c>
      <c r="T90" s="125">
        <f>+GETPIVOTDATA("Grand Total FTE - Old",'FTE Pivot for regular counts'!$A$2,"State","WV","Category",4,"Category2","Four-Year")</f>
        <v>0</v>
      </c>
      <c r="U90" s="125">
        <f>+GETPIVOTDATA("Grand Total FTE - Old",'FTE Pivot for regular counts'!$A$2,"State","WV","Category",5,"Category2","Four-Year")</f>
        <v>7270.0083333333332</v>
      </c>
      <c r="V90" s="125">
        <f>+GETPIVOTDATA("Grand Total FTE - Old",'FTE Pivot for regular counts'!$A$2,"State","WV","Category",6,"Category2","Four-Year")</f>
        <v>13361.933333333331</v>
      </c>
      <c r="W90" s="125">
        <f>+GETPIVOTDATA("Grand Total FTE - Old",'FTE Pivot for regular counts'!$A$2,"State","WV","Category2","Four-Year")</f>
        <v>58628.908333333326</v>
      </c>
      <c r="X90" s="25" t="s">
        <v>79</v>
      </c>
    </row>
    <row r="91" spans="1:26" s="25" customFormat="1" ht="42" customHeight="1">
      <c r="A91" s="831" t="s">
        <v>978</v>
      </c>
      <c r="B91" s="831"/>
      <c r="C91" s="831"/>
      <c r="D91" s="831"/>
      <c r="E91" s="831"/>
      <c r="F91" s="831"/>
      <c r="G91" s="831"/>
      <c r="H91" s="831"/>
      <c r="I91" s="15"/>
      <c r="J91" s="102"/>
      <c r="K91" s="102"/>
      <c r="L91" s="102"/>
      <c r="M91" s="102"/>
    </row>
    <row r="92" spans="1:26" ht="10.5" customHeight="1">
      <c r="A92" s="380"/>
      <c r="B92" s="380"/>
      <c r="C92" s="380"/>
      <c r="D92" s="380"/>
      <c r="E92" s="380"/>
      <c r="F92" s="380"/>
      <c r="G92" s="380"/>
      <c r="H92" s="524" t="s">
        <v>975</v>
      </c>
    </row>
    <row r="93" spans="1:26">
      <c r="A93" s="49"/>
      <c r="B93" s="50"/>
      <c r="C93" s="50"/>
      <c r="D93" s="50"/>
      <c r="E93" s="50"/>
      <c r="F93" s="50"/>
      <c r="G93" s="50"/>
      <c r="H93" s="168"/>
    </row>
    <row r="94" spans="1:26" ht="18">
      <c r="A94" s="835" t="s">
        <v>166</v>
      </c>
      <c r="B94" s="835"/>
      <c r="C94" s="835"/>
      <c r="D94" s="835"/>
      <c r="E94" s="835"/>
      <c r="F94" s="835"/>
      <c r="G94" s="835"/>
      <c r="H94" s="835"/>
      <c r="I94" s="835"/>
      <c r="J94" s="835"/>
      <c r="K94" s="163"/>
      <c r="L94" s="163"/>
      <c r="M94" s="177"/>
    </row>
    <row r="95" spans="1:26" ht="15.75">
      <c r="A95" s="21"/>
      <c r="B95" s="21"/>
      <c r="C95" s="21"/>
      <c r="D95" s="21"/>
      <c r="E95" s="21"/>
      <c r="F95" s="21"/>
      <c r="G95" s="21"/>
      <c r="H95" s="104"/>
      <c r="I95" s="21"/>
      <c r="J95" s="104"/>
      <c r="K95" s="104"/>
      <c r="L95" s="104"/>
      <c r="M95" s="193"/>
      <c r="Q95" s="1" t="s">
        <v>38</v>
      </c>
    </row>
    <row r="96" spans="1:26" ht="15.75">
      <c r="A96" s="836" t="s">
        <v>34</v>
      </c>
      <c r="B96" s="836"/>
      <c r="C96" s="836"/>
      <c r="D96" s="836"/>
      <c r="E96" s="836"/>
      <c r="F96" s="836"/>
      <c r="G96" s="836"/>
      <c r="H96" s="836"/>
      <c r="I96" s="836"/>
      <c r="J96" s="836"/>
      <c r="K96" s="131"/>
      <c r="L96" s="131"/>
      <c r="M96" s="194"/>
      <c r="Q96" s="191" t="s">
        <v>34</v>
      </c>
      <c r="R96" s="131"/>
      <c r="S96" s="131"/>
      <c r="T96" s="131"/>
      <c r="U96" s="131"/>
      <c r="V96" s="131"/>
      <c r="W96" s="131"/>
      <c r="X96" s="131"/>
      <c r="Y96" s="131"/>
      <c r="Z96" s="131"/>
    </row>
    <row r="97" spans="1:26" ht="15.75">
      <c r="A97" s="837" t="s">
        <v>972</v>
      </c>
      <c r="B97" s="837"/>
      <c r="C97" s="837"/>
      <c r="D97" s="837"/>
      <c r="E97" s="837"/>
      <c r="F97" s="837"/>
      <c r="G97" s="837"/>
      <c r="H97" s="837"/>
      <c r="I97" s="837"/>
      <c r="J97" s="837"/>
      <c r="K97" s="131"/>
      <c r="L97" s="131"/>
      <c r="M97" s="194"/>
      <c r="Q97" s="191" t="s">
        <v>170</v>
      </c>
      <c r="R97" s="131"/>
      <c r="S97" s="131"/>
      <c r="T97" s="131"/>
      <c r="U97" s="131"/>
      <c r="V97" s="131"/>
      <c r="W97" s="131"/>
      <c r="X97" s="131"/>
      <c r="Y97" s="131"/>
      <c r="Z97" s="131"/>
    </row>
    <row r="98" spans="1:26">
      <c r="B98" s="2"/>
      <c r="C98" s="2"/>
      <c r="D98" s="2"/>
      <c r="E98" s="2"/>
      <c r="F98" s="2"/>
      <c r="G98" s="2"/>
      <c r="H98" s="106"/>
      <c r="I98" s="2"/>
      <c r="J98" s="106"/>
      <c r="K98" s="106"/>
      <c r="L98" s="106"/>
      <c r="M98" s="186"/>
      <c r="Q98" s="192"/>
      <c r="R98" s="2"/>
      <c r="S98" s="2"/>
      <c r="T98" s="2"/>
      <c r="U98" s="2"/>
      <c r="V98" s="2"/>
      <c r="W98" s="2"/>
      <c r="X98" s="2"/>
      <c r="Y98" s="2"/>
      <c r="Z98" s="2"/>
    </row>
    <row r="99" spans="1:26" ht="15" customHeight="1">
      <c r="A99" s="44"/>
      <c r="B99" s="56" t="s">
        <v>63</v>
      </c>
      <c r="C99" s="56"/>
      <c r="D99" s="27"/>
      <c r="E99" s="27"/>
      <c r="F99" s="28"/>
      <c r="G99" s="57" t="s">
        <v>45</v>
      </c>
      <c r="H99" s="90"/>
      <c r="I99" s="91"/>
      <c r="K99" s="169" t="s">
        <v>28</v>
      </c>
      <c r="L99" s="169"/>
      <c r="M99" s="169"/>
      <c r="Q99" s="44"/>
      <c r="R99" s="56" t="s">
        <v>63</v>
      </c>
      <c r="S99" s="56"/>
      <c r="T99" s="27"/>
      <c r="U99" s="27"/>
      <c r="V99" s="28"/>
      <c r="W99" s="391" t="s">
        <v>45</v>
      </c>
      <c r="X99" s="392"/>
      <c r="Y99" s="393"/>
      <c r="Z99" s="389" t="s">
        <v>28</v>
      </c>
    </row>
    <row r="100" spans="1:26" ht="24">
      <c r="A100" s="45"/>
      <c r="B100" s="58" t="s">
        <v>140</v>
      </c>
      <c r="C100" s="46">
        <v>1</v>
      </c>
      <c r="D100" s="46">
        <v>2</v>
      </c>
      <c r="E100" s="46">
        <v>3</v>
      </c>
      <c r="F100" s="59" t="s">
        <v>30</v>
      </c>
      <c r="G100" s="60">
        <v>1</v>
      </c>
      <c r="H100" s="93">
        <v>2</v>
      </c>
      <c r="I100" s="92" t="s">
        <v>30</v>
      </c>
      <c r="K100" s="122"/>
      <c r="L100" s="122"/>
      <c r="M100" s="122"/>
      <c r="Q100" s="45"/>
      <c r="R100" s="58" t="s">
        <v>140</v>
      </c>
      <c r="S100" s="46">
        <v>1</v>
      </c>
      <c r="T100" s="46">
        <v>2</v>
      </c>
      <c r="U100" s="46">
        <v>3</v>
      </c>
      <c r="V100" s="59" t="s">
        <v>30</v>
      </c>
      <c r="W100" s="60">
        <v>1</v>
      </c>
      <c r="X100" s="47">
        <v>2</v>
      </c>
      <c r="Y100" s="46" t="s">
        <v>30</v>
      </c>
      <c r="Z100" s="390"/>
    </row>
    <row r="101" spans="1:26" ht="15" customHeight="1">
      <c r="A101" s="1" t="s">
        <v>64</v>
      </c>
      <c r="B101" s="5">
        <f>+GETPIVOTDATA("Undergrad Student Credit Hour FTE - New",'FTE Pivot for regular counts'!$A$2,"Category","7","Category2","Two-Year")</f>
        <v>300597.36666666664</v>
      </c>
      <c r="C101" s="15">
        <f>+GETPIVOTDATA("Undergrad Student Credit Hour FTE - New",'FTE Pivot for regular counts'!$A$2,"Category","8","Category2","Two-Year")</f>
        <v>798753.44400000002</v>
      </c>
      <c r="D101" s="5">
        <f>+GETPIVOTDATA("Undergrad Student Credit Hour FTE - New",'FTE Pivot for regular counts'!$A$2,"Category","9","Category2","Two-Year")</f>
        <v>382187.91066666663</v>
      </c>
      <c r="E101" s="5">
        <f>+GETPIVOTDATA("Undergrad Student Credit Hour FTE - New",'FTE Pivot for regular counts'!$A$2,"Category","10","Category2","Two-Year")</f>
        <v>113875.65466666664</v>
      </c>
      <c r="F101" s="23">
        <f>+GETPIVOTDATA("Undergrad Student Credit Hour FTE - New",'FTE Pivot for regular counts'!$A$2,"Category2","Two-Year")</f>
        <v>1595414.3759999999</v>
      </c>
      <c r="G101" s="18">
        <f>+GETPIVOTDATA("Undergrad Student Credit Hour FTE - New",'FTE Pivot for regular counts'!$A$2,"Category","12","Category2","Technical")</f>
        <v>83365.833333333314</v>
      </c>
      <c r="H101" s="102">
        <f>+GETPIVOTDATA("Undergrad Student Credit Hour FTE - New",'FTE Pivot for regular counts'!$A$2,"Category","13","Category2","Technical")</f>
        <v>1774.5</v>
      </c>
      <c r="I101" s="4">
        <f>+GETPIVOTDATA("Undergrad Student Credit Hour FTE - New",'FTE Pivot for regular counts'!$A$2,"Category2","Technical")</f>
        <v>85140.333333333314</v>
      </c>
      <c r="Q101" s="1" t="s">
        <v>64</v>
      </c>
      <c r="R101" s="5">
        <f>+GETPIVOTDATA("Undergrad Student Credit Hour  FTE - Old",'FTE Pivot for regular counts'!$A$2,"Category","7","Category2","Two-Year")</f>
        <v>306032.2</v>
      </c>
      <c r="S101" s="15">
        <f>+GETPIVOTDATA("Undergrad Student Credit Hour  FTE - Old",'FTE Pivot for regular counts'!$A$2,"Category","8","Category2","Two-Year")</f>
        <v>821314.8666666667</v>
      </c>
      <c r="T101" s="5">
        <f>+GETPIVOTDATA("Undergrad Student Credit Hour  FTE - Old",'FTE Pivot for regular counts'!$A$2,"Category","9","Category2","Two-Year")</f>
        <v>398617.8666666667</v>
      </c>
      <c r="U101" s="5">
        <f>+GETPIVOTDATA("Undergrad Student Credit Hour  FTE - Old",'FTE Pivot for regular counts'!$A$2,"Category","10","Category2","Two-Year")</f>
        <v>118674.02999999998</v>
      </c>
      <c r="V101" s="23">
        <f>+GETPIVOTDATA("Undergrad Student Credit Hour  FTE - Old",'FTE Pivot for regular counts'!$A$2,"Category2","Two-Year")</f>
        <v>1644638.9633333331</v>
      </c>
      <c r="W101" s="18">
        <f>+GETPIVOTDATA("Undergrad Student Credit Hour  FTE - Old",'FTE Pivot for regular counts'!$A$2,"Category","12","Category2","Technical")</f>
        <v>88194.566666666666</v>
      </c>
      <c r="X101" s="15">
        <f>+GETPIVOTDATA("Undergrad Student Credit Hour  FTE - Old",'FTE Pivot for regular counts'!$A$2,"Category","13","Category2","Technical")</f>
        <v>1908.1999999999998</v>
      </c>
      <c r="Y101" s="1">
        <f>+GETPIVOTDATA("Undergrad Student Credit Hour  FTE - Old",'FTE Pivot for regular counts'!$A$2,"Category2","Technical")</f>
        <v>90102.766666666663</v>
      </c>
      <c r="Z101" s="25"/>
    </row>
    <row r="102" spans="1:26" ht="15" customHeight="1">
      <c r="B102" s="5"/>
      <c r="C102" s="15"/>
      <c r="D102" s="5"/>
      <c r="E102" s="5"/>
      <c r="F102" s="23"/>
      <c r="G102" s="18"/>
      <c r="H102" s="102"/>
      <c r="I102" s="4"/>
      <c r="R102" s="5"/>
      <c r="S102" s="15"/>
      <c r="T102" s="5"/>
      <c r="U102" s="5"/>
      <c r="V102" s="23"/>
      <c r="W102" s="18"/>
      <c r="X102" s="15"/>
      <c r="Z102" s="25"/>
    </row>
    <row r="103" spans="1:26" ht="15" customHeight="1">
      <c r="A103" s="1" t="s">
        <v>65</v>
      </c>
      <c r="B103" s="5">
        <f>+GETPIVOTDATA("Undergrad Student Credit Hour FTE - New",'FTE Pivot for regular counts'!$A$2,"State","AL","Category","7","Category2","Two-Year")</f>
        <v>0</v>
      </c>
      <c r="C103" s="15">
        <f>+GETPIVOTDATA("Undergrad Student Credit Hour FTE - New",'FTE Pivot for regular counts'!$A$2,"State","AL","Category","8","Category2","Two-Year")</f>
        <v>12914.266666666666</v>
      </c>
      <c r="D103" s="5">
        <f>+GETPIVOTDATA("Undergrad Student Credit Hour FTE - New",'FTE Pivot for regular counts'!$A$2,"State","AL","Category","9","Category2","Two-Year")</f>
        <v>37038.033333333333</v>
      </c>
      <c r="E103" s="5">
        <f>+GETPIVOTDATA("Undergrad Student Credit Hour FTE - New",'FTE Pivot for regular counts'!$A$2,"State","AL","Category","10","Category2","Two-Year")</f>
        <v>9762.0666666666675</v>
      </c>
      <c r="F103" s="23">
        <f>+GETPIVOTDATA("Undergrad Student Credit Hour FTE - New",'FTE Pivot for regular counts'!$A$2,"State","AL","Category2","Two-Year")</f>
        <v>59714.366666666669</v>
      </c>
      <c r="G103" s="18">
        <f>+GETPIVOTDATA("Undergrad Student Credit Hour FTE - New",'FTE Pivot for regular counts'!$A$2,"State","AL","Category","12","Category2","Technical")</f>
        <v>1202.9000000000001</v>
      </c>
      <c r="H103" s="102">
        <f>+GETPIVOTDATA("Undergrad Student Credit Hour FTE - New",'FTE Pivot for regular counts'!$A$2,"State","AL","Category","13","Category2","Technical")</f>
        <v>1774.5</v>
      </c>
      <c r="I103" s="4">
        <f>+GETPIVOTDATA("Undergrad Student Credit Hour FTE - New",'FTE Pivot for regular counts'!$A$2,"State","AL","Category2","Technical")</f>
        <v>2977.4</v>
      </c>
      <c r="Q103" s="1" t="s">
        <v>65</v>
      </c>
      <c r="R103" s="5">
        <f>+GETPIVOTDATA("Undergrad Student Credit Hour  FTE - Old",'FTE Pivot for regular counts'!$A$2,"State","AL","Category","7","Category2","Two-Year")</f>
        <v>0</v>
      </c>
      <c r="S103" s="15">
        <f>+GETPIVOTDATA("Undergrad Student Credit Hour  FTE - Old",'FTE Pivot for regular counts'!$A$2,"State","AL","Category","8","Category2","Two-Year")</f>
        <v>13491.366666666667</v>
      </c>
      <c r="T103" s="5">
        <f>+GETPIVOTDATA("Undergrad Student Credit Hour  FTE - Old",'FTE Pivot for regular counts'!$A$2,"State","AL","Category","9","Category2","Two-Year")</f>
        <v>38473.533333333333</v>
      </c>
      <c r="U103" s="5">
        <f>+GETPIVOTDATA("Undergrad Student Credit Hour  FTE - Old",'FTE Pivot for regular counts'!$A$2,"State","AL","Category","10","Category2","Two-Year")</f>
        <v>9679</v>
      </c>
      <c r="V103" s="23">
        <f>+GETPIVOTDATA("Undergrad Student Credit Hour  FTE - Old",'FTE Pivot for regular counts'!$A$2,"State","AL","Category2","Two-Year")</f>
        <v>61643.9</v>
      </c>
      <c r="W103" s="18">
        <f>+GETPIVOTDATA("Undergrad Student Credit Hour  FTE - Old",'FTE Pivot for regular counts'!$A$2,"State","AL","Category","12","Category2","Technical")</f>
        <v>1159.8</v>
      </c>
      <c r="X103" s="15">
        <f>+GETPIVOTDATA("Undergrad Student Credit Hour  FTE - Old",'FTE Pivot for regular counts'!$A$2,"State","AL","Category","13","Category2","Technical")</f>
        <v>1908.1999999999998</v>
      </c>
      <c r="Y103" s="1">
        <f>+GETPIVOTDATA("Undergrad Student Credit Hour  FTE - Old",'FTE Pivot for regular counts'!$A$2,"State","AL","Category2","Technical")</f>
        <v>3068</v>
      </c>
      <c r="Z103" s="25"/>
    </row>
    <row r="104" spans="1:26" ht="15" customHeight="1">
      <c r="A104" s="4" t="s">
        <v>66</v>
      </c>
      <c r="B104" s="15">
        <f>+GETPIVOTDATA("Undergrad Student Credit Hour FTE - New",'FTE Pivot for regular counts'!$A$2,"State","AR","Category","7","Category2","Two-Year")</f>
        <v>0</v>
      </c>
      <c r="C104" s="15">
        <f>+GETPIVOTDATA("Undergrad Student Credit Hour FTE - New",'FTE Pivot for regular counts'!$A$2,"State","AR","Category","8","Category2","Two-Year")</f>
        <v>10656.633333333333</v>
      </c>
      <c r="D104" s="15">
        <f>+GETPIVOTDATA("Undergrad Student Credit Hour FTE - New",'FTE Pivot for regular counts'!$A$2,"State","AR","Category","9","Category2","Two-Year")</f>
        <v>4918.666666666667</v>
      </c>
      <c r="E104" s="15">
        <f>+GETPIVOTDATA("Undergrad Student Credit Hour FTE - New",'FTE Pivot for regular counts'!$A$2,"State","AR","Category","10","Category2","Two-Year")</f>
        <v>19247.333333333336</v>
      </c>
      <c r="F104" s="23">
        <f>+GETPIVOTDATA("Undergrad Student Credit Hour FTE - New",'FTE Pivot for regular counts'!$A$2,"State","AR","Category2","Two-Year")</f>
        <v>34822.633333333331</v>
      </c>
      <c r="G104" s="18">
        <f>+GETPIVOTDATA("Undergrad Student Credit Hour FTE - New",'FTE Pivot for regular counts'!$A$2,"State","AR","Category","12","Category2","Technical")</f>
        <v>0</v>
      </c>
      <c r="H104" s="102">
        <f>+GETPIVOTDATA("Undergrad Student Credit Hour FTE - New",'FTE Pivot for regular counts'!$A$2,"State","AR","Category","13","Category2","Technical")</f>
        <v>0</v>
      </c>
      <c r="I104" s="73">
        <f>+GETPIVOTDATA("Undergrad Student Credit Hour FTE - New",'FTE Pivot for regular counts'!$A$2,"State","AR","Category2","Technical")</f>
        <v>0</v>
      </c>
      <c r="K104" s="73"/>
      <c r="L104" s="73"/>
      <c r="Q104" s="4" t="s">
        <v>66</v>
      </c>
      <c r="R104" s="15">
        <f>+GETPIVOTDATA("Undergrad Student Credit Hour  FTE - Old",'FTE Pivot for regular counts'!$A$2,"State","AR","Category","7","Category2","Two-Year")</f>
        <v>0</v>
      </c>
      <c r="S104" s="15">
        <f>+GETPIVOTDATA("Undergrad Student Credit Hour  FTE - Old",'FTE Pivot for regular counts'!$A$2,"State","AR","Category","8","Category2","Two-Year")</f>
        <v>12110.966666666667</v>
      </c>
      <c r="T104" s="15">
        <f>+GETPIVOTDATA("Undergrad Student Credit Hour  FTE - Old",'FTE Pivot for regular counts'!$A$2,"State","AR","Category","9","Category2","Two-Year")</f>
        <v>5105.6333333333332</v>
      </c>
      <c r="U104" s="15">
        <f>+GETPIVOTDATA("Undergrad Student Credit Hour  FTE - Old",'FTE Pivot for regular counts'!$A$2,"State","AR","Category","10","Category2","Two-Year")</f>
        <v>20364.599999999999</v>
      </c>
      <c r="V104" s="23">
        <f>+GETPIVOTDATA("Undergrad Student Credit Hour  FTE - Old",'FTE Pivot for regular counts'!$A$2,"State","AR","Category2","Two-Year")</f>
        <v>37581.199999999997</v>
      </c>
      <c r="W104" s="18">
        <f>+GETPIVOTDATA("Undergrad Student Credit Hour  FTE - Old",'FTE Pivot for regular counts'!$A$2,"State","AR","Category","12","Category2","Technical")</f>
        <v>0</v>
      </c>
      <c r="X104" s="15">
        <f>+GETPIVOTDATA("Undergrad Student Credit Hour  FTE - Old",'FTE Pivot for regular counts'!$A$2,"State","AR","Category","13","Category2","Technical")</f>
        <v>0</v>
      </c>
      <c r="Y104" s="25">
        <f>+GETPIVOTDATA("Undergrad Student Credit Hour  FTE - Old",'FTE Pivot for regular counts'!$A$2,"State","AR","Category2","Technical")</f>
        <v>0</v>
      </c>
      <c r="Z104" s="25"/>
    </row>
    <row r="105" spans="1:26" ht="15" customHeight="1">
      <c r="A105" s="1" t="s">
        <v>102</v>
      </c>
      <c r="B105" s="15">
        <f>+GETPIVOTDATA("Undergrad Student Credit Hour FTE - New",'FTE Pivot for regular counts'!$A$2,"State","DE","Category","7","Category2","Two-Year")</f>
        <v>0</v>
      </c>
      <c r="C105" s="15">
        <f>+GETPIVOTDATA("Undergrad Student Credit Hour FTE - New",'FTE Pivot for regular counts'!$A$2,"State","DE","Category","8","Category2","Two-Year")</f>
        <v>0</v>
      </c>
      <c r="D105" s="15">
        <f>+GETPIVOTDATA("Undergrad Student Credit Hour FTE - New",'FTE Pivot for regular counts'!$A$2,"State","DE","Category","9","Category2","Two-Year")</f>
        <v>9102</v>
      </c>
      <c r="E105" s="15">
        <f>+GETPIVOTDATA("Undergrad Student Credit Hour FTE - New",'FTE Pivot for regular counts'!$A$2,"State","DE","Category","10","Category2","Two-Year")</f>
        <v>0</v>
      </c>
      <c r="F105" s="23">
        <f>+GETPIVOTDATA("Undergrad Student Credit Hour FTE - New",'FTE Pivot for regular counts'!$A$2,"State","DE","Category2","Two-Year")</f>
        <v>9102</v>
      </c>
      <c r="G105" s="18">
        <f>+GETPIVOTDATA("Undergrad Student Credit Hour FTE - New",'FTE Pivot for regular counts'!$A$2,"State","DE","Category","12","Category2","Technical")</f>
        <v>0</v>
      </c>
      <c r="H105" s="102">
        <f>+GETPIVOTDATA("Undergrad Student Credit Hour FTE - New",'FTE Pivot for regular counts'!$A$2,"State","DE","Category","13","Category2","Technical")</f>
        <v>0</v>
      </c>
      <c r="I105" s="73">
        <f>+GETPIVOTDATA("Undergrad Student Credit Hour FTE - New",'FTE Pivot for regular counts'!$A$2,"State","DE","Category2","Technical")</f>
        <v>0</v>
      </c>
      <c r="K105" s="73"/>
      <c r="L105" s="73"/>
      <c r="Q105" s="1" t="s">
        <v>102</v>
      </c>
      <c r="R105" s="15">
        <f>+GETPIVOTDATA("Undergrad Student Credit Hour  FTE - Old",'FTE Pivot for regular counts'!$A$2,"State","DE","Category","7","Category2","Two-Year")</f>
        <v>0</v>
      </c>
      <c r="S105" s="15">
        <f>+GETPIVOTDATA("Undergrad Student Credit Hour  FTE - Old",'FTE Pivot for regular counts'!$A$2,"State","DE","Category","8","Category2","Two-Year")</f>
        <v>0</v>
      </c>
      <c r="T105" s="15">
        <f>+GETPIVOTDATA("Undergrad Student Credit Hour  FTE - Old",'FTE Pivot for regular counts'!$A$2,"State","DE","Category","9","Category2","Two-Year")</f>
        <v>9913.6</v>
      </c>
      <c r="U105" s="15">
        <f>+GETPIVOTDATA("Undergrad Student Credit Hour  FTE - Old",'FTE Pivot for regular counts'!$A$2,"State","DE","Category","10","Category2","Two-Year")</f>
        <v>0</v>
      </c>
      <c r="V105" s="23">
        <f>+GETPIVOTDATA("Undergrad Student Credit Hour  FTE - Old",'FTE Pivot for regular counts'!$A$2,"State","DE","Category2","Two-Year")</f>
        <v>9913.6</v>
      </c>
      <c r="W105" s="18">
        <f>+GETPIVOTDATA("Undergrad Student Credit Hour  FTE - Old",'FTE Pivot for regular counts'!$A$2,"State","DE","Category","12","Category2","Technical")</f>
        <v>0</v>
      </c>
      <c r="X105" s="15">
        <f>+GETPIVOTDATA("Undergrad Student Credit Hour  FTE - Old",'FTE Pivot for regular counts'!$A$2,"State","DE","Category","13","Category2","Technical")</f>
        <v>0</v>
      </c>
      <c r="Y105" s="25">
        <f>+GETPIVOTDATA("Undergrad Student Credit Hour  FTE - Old",'FTE Pivot for regular counts'!$A$2,"State","DE","Category2","Technical")</f>
        <v>0</v>
      </c>
      <c r="Z105" s="25"/>
    </row>
    <row r="106" spans="1:26" ht="15" customHeight="1">
      <c r="A106" s="1" t="s">
        <v>67</v>
      </c>
      <c r="B106" s="15">
        <f>+GETPIVOTDATA("Undergrad Student Credit Hour FTE - New",'FTE Pivot for regular counts'!$A$2,"State","FL","Category","7","Category2","Two-Year")</f>
        <v>258110.1333333333</v>
      </c>
      <c r="C106" s="15">
        <f>+GETPIVOTDATA("Undergrad Student Credit Hour FTE - New",'FTE Pivot for regular counts'!$A$2,"State","FL","Category","8","Category2","Two-Year")</f>
        <v>44959.166666666672</v>
      </c>
      <c r="D106" s="15">
        <f>+GETPIVOTDATA("Undergrad Student Credit Hour FTE - New",'FTE Pivot for regular counts'!$A$2,"State","FL","Category","9","Category2","Two-Year")</f>
        <v>6064.1333333333332</v>
      </c>
      <c r="E106" s="15">
        <f>+GETPIVOTDATA("Undergrad Student Credit Hour FTE - New",'FTE Pivot for regular counts'!$A$2,"State","FL","Category","10","Category2","Two-Year")</f>
        <v>1375</v>
      </c>
      <c r="F106" s="23">
        <f>+GETPIVOTDATA("Undergrad Student Credit Hour FTE - New",'FTE Pivot for regular counts'!$A$2,"State","FL","Category2","Two-Year")</f>
        <v>310508.43333333335</v>
      </c>
      <c r="G106" s="18">
        <f>+GETPIVOTDATA("Undergrad Student Credit Hour FTE - New",'FTE Pivot for regular counts'!$A$2,"State","FL","Category","12","Category2","Technical")</f>
        <v>0</v>
      </c>
      <c r="H106" s="102">
        <f>+GETPIVOTDATA("Undergrad Student Credit Hour FTE - New",'FTE Pivot for regular counts'!$A$2,"State","FL","Category","13","Category2","Technical")</f>
        <v>0</v>
      </c>
      <c r="I106" s="73">
        <f>+GETPIVOTDATA("Undergrad Student Credit Hour FTE - New",'FTE Pivot for regular counts'!$A$2,"State","FL","Category2","Technical")</f>
        <v>0</v>
      </c>
      <c r="K106" s="73"/>
      <c r="L106" s="73"/>
      <c r="Q106" s="1" t="s">
        <v>67</v>
      </c>
      <c r="R106" s="15">
        <f>GETPIVOTDATA("Undergrad Student Credit Hour  FTE - Old",'FTE Pivot for regular counts'!$A$2,"State","FL","Category","7","Category2","Two-Year")</f>
        <v>263723.26666666666</v>
      </c>
      <c r="S106" s="15">
        <f>GETPIVOTDATA("Undergrad Student Credit Hour  FTE - Old",'FTE Pivot for regular counts'!$A$2,"State","FL","Category","8","Category2","Two-Year")</f>
        <v>45839.833333333336</v>
      </c>
      <c r="T106" s="15">
        <f>GETPIVOTDATA("Undergrad Student Credit Hour  FTE - Old",'FTE Pivot for regular counts'!$A$2,"State","FL","Category","9","Category2","Two-Year")</f>
        <v>6120</v>
      </c>
      <c r="U106" s="15">
        <f>GETPIVOTDATA("Undergrad Student Credit Hour  FTE - Old",'FTE Pivot for regular counts'!$A$2,"State","FL","Category","10","Category2","Two-Year")</f>
        <v>1409.6666666666665</v>
      </c>
      <c r="V106" s="23">
        <f>GETPIVOTDATA("Undergrad Student Credit Hour  FTE - Old",'FTE Pivot for regular counts'!$A$2,"State","FL","Category2","Two-Year")</f>
        <v>317092.76666666666</v>
      </c>
      <c r="W106" s="18">
        <f>GETPIVOTDATA("Undergrad Student Credit Hour  FTE - Old",'FTE Pivot for regular counts'!$A$2,"State","FL","Category","12","Category2","Technical")</f>
        <v>0</v>
      </c>
      <c r="X106" s="15">
        <f>GETPIVOTDATA("Undergrad Student Credit Hour  FTE - Old",'FTE Pivot for regular counts'!$A$2,"State","FL","Category","13","Category2","Technical")</f>
        <v>0</v>
      </c>
      <c r="Y106" s="25">
        <f>GETPIVOTDATA("Undergrad Student Credit Hour  FTE - Old",'FTE Pivot for regular counts'!$A$2,"State","FL","Category2","Technical")</f>
        <v>0</v>
      </c>
      <c r="Z106" s="25"/>
    </row>
    <row r="107" spans="1:26" ht="15" customHeight="1">
      <c r="B107" s="15"/>
      <c r="C107" s="15"/>
      <c r="D107" s="15"/>
      <c r="E107" s="15"/>
      <c r="F107" s="23"/>
      <c r="G107" s="18"/>
      <c r="H107" s="102"/>
      <c r="I107" s="73"/>
      <c r="K107" s="73"/>
      <c r="L107" s="73"/>
      <c r="R107" s="15"/>
      <c r="S107" s="15"/>
      <c r="T107" s="15"/>
      <c r="U107" s="15"/>
      <c r="V107" s="23"/>
      <c r="W107" s="18"/>
      <c r="X107" s="15"/>
      <c r="Y107" s="25"/>
      <c r="Z107" s="25"/>
    </row>
    <row r="108" spans="1:26" ht="15" customHeight="1">
      <c r="A108" s="1" t="s">
        <v>68</v>
      </c>
      <c r="B108" s="15">
        <f>+GETPIVOTDATA("Undergrad Student Credit Hour FTE - New",'FTE Pivot for regular counts'!$A$2,"State","GA","Category","7","Category2","Two-Year")</f>
        <v>8397.2333333333336</v>
      </c>
      <c r="C108" s="15">
        <f>+GETPIVOTDATA("Undergrad Student Credit Hour FTE - New",'FTE Pivot for regular counts'!$A$2,"State","GA","Category","8","Category2","Two-Year")</f>
        <v>15173.966666666667</v>
      </c>
      <c r="D108" s="15">
        <f>+GETPIVOTDATA("Undergrad Student Credit Hour FTE - New",'FTE Pivot for regular counts'!$A$2,"State","GA","Category","9","Category2","Two-Year")</f>
        <v>16808.45</v>
      </c>
      <c r="E108" s="15">
        <f>+GETPIVOTDATA("Undergrad Student Credit Hour FTE - New",'FTE Pivot for regular counts'!$A$2,"State","GA","Category","10","Category2","Two-Year")</f>
        <v>0</v>
      </c>
      <c r="F108" s="23">
        <f>+GETPIVOTDATA("Undergrad Student Credit Hour FTE - New",'FTE Pivot for regular counts'!$A$2,"State","GA","Category2","Two-Year")</f>
        <v>40379.65</v>
      </c>
      <c r="G108" s="18">
        <f>+GETPIVOTDATA("Undergrad Student Credit Hour FTE - New",'FTE Pivot for regular counts'!$A$2,"State","GA","Category","12","Category2","Technical")</f>
        <v>67506.233333333323</v>
      </c>
      <c r="H108" s="102">
        <f>+GETPIVOTDATA("Undergrad Student Credit Hour FTE - New",'FTE Pivot for regular counts'!$A$2,"State","GA","Category","13","Category2","Technical")</f>
        <v>0</v>
      </c>
      <c r="I108" s="73">
        <f>+GETPIVOTDATA("Undergrad Student Credit Hour FTE - New",'FTE Pivot for regular counts'!$A$2,"State","GA","Category2","Technical")</f>
        <v>67506.233333333323</v>
      </c>
      <c r="K108" s="73"/>
      <c r="L108" s="73"/>
      <c r="Q108" s="1" t="s">
        <v>68</v>
      </c>
      <c r="R108" s="15">
        <f>+GETPIVOTDATA("Undergrad Student Credit Hour  FTE - Old",'FTE Pivot for regular counts'!$A$2,"State","GA","Category","7","Category2","Two-Year")</f>
        <v>8365.9000000000015</v>
      </c>
      <c r="S108" s="15">
        <f>+GETPIVOTDATA("Undergrad Student Credit Hour  FTE - Old",'FTE Pivot for regular counts'!$A$2,"State","GA","Category","8","Category2","Two-Year")</f>
        <v>15378.033333333333</v>
      </c>
      <c r="T108" s="15">
        <f>+GETPIVOTDATA("Undergrad Student Credit Hour  FTE - Old",'FTE Pivot for regular counts'!$A$2,"State","GA","Category","9","Category2","Two-Year")</f>
        <v>17123.050000000003</v>
      </c>
      <c r="U108" s="15">
        <f>+GETPIVOTDATA("Undergrad Student Credit Hour  FTE - Old",'FTE Pivot for regular counts'!$A$2,"State","GA","Category","10","Category2","Two-Year")</f>
        <v>0</v>
      </c>
      <c r="V108" s="23">
        <f>+GETPIVOTDATA("Undergrad Student Credit Hour  FTE - Old",'FTE Pivot for regular counts'!$A$2,"State","GA","Category2","Two-Year")</f>
        <v>40866.983333333337</v>
      </c>
      <c r="W108" s="18">
        <f>+GETPIVOTDATA("Undergrad Student Credit Hour  FTE - Old",'FTE Pivot for regular counts'!$A$2,"State","GA","Category","12","Category2","Technical")</f>
        <v>71686.516666666663</v>
      </c>
      <c r="X108" s="15">
        <f>+GETPIVOTDATA("Undergrad Student Credit Hour  FTE - Old",'FTE Pivot for regular counts'!$A$2,"State","GA","Category","13","Category2","Technical")</f>
        <v>0</v>
      </c>
      <c r="Y108" s="25">
        <f>+GETPIVOTDATA("Undergrad Student Credit Hour  FTE - Old",'FTE Pivot for regular counts'!$A$2,"State","GA","Category2","Technical")</f>
        <v>71686.516666666663</v>
      </c>
      <c r="Z108" s="25"/>
    </row>
    <row r="109" spans="1:26" ht="15" customHeight="1">
      <c r="A109" s="1" t="s">
        <v>69</v>
      </c>
      <c r="B109" s="15">
        <f>+GETPIVOTDATA("Undergrad Student Credit Hour FTE - New",'FTE Pivot for regular counts'!$A$2,"State","KY","Category","7","Category2","Two-Year")</f>
        <v>0</v>
      </c>
      <c r="C109" s="15">
        <f>+GETPIVOTDATA("Undergrad Student Credit Hour FTE - New",'FTE Pivot for regular counts'!$A$2,"State","KY","Category","8","Category2","Two-Year")</f>
        <v>13931.1</v>
      </c>
      <c r="D109" s="15">
        <f>+GETPIVOTDATA("Undergrad Student Credit Hour FTE - New",'FTE Pivot for regular counts'!$A$2,"State","KY","Category","9","Category2","Two-Year")</f>
        <v>27879.033333333333</v>
      </c>
      <c r="E109" s="15">
        <f>+GETPIVOTDATA("Undergrad Student Credit Hour FTE - New",'FTE Pivot for regular counts'!$A$2,"State","KY","Category","10","Category2","Two-Year")</f>
        <v>978.36666666666667</v>
      </c>
      <c r="F109" s="23">
        <f>+GETPIVOTDATA("Undergrad Student Credit Hour FTE - New",'FTE Pivot for regular counts'!$A$2,"State","KY","Category2","Two-Year")</f>
        <v>42788.5</v>
      </c>
      <c r="G109" s="18">
        <f>+GETPIVOTDATA("Undergrad Student Credit Hour FTE - New",'FTE Pivot for regular counts'!$A$2,"State","KY","Category","12","Category2","Technical")</f>
        <v>4898.7</v>
      </c>
      <c r="H109" s="102">
        <f>+GETPIVOTDATA("Undergrad Student Credit Hour FTE - New",'FTE Pivot for regular counts'!$A$2,"State","KY","Category","13","Category2","Technical")</f>
        <v>0</v>
      </c>
      <c r="I109" s="73">
        <f>+GETPIVOTDATA("Undergrad Student Credit Hour FTE - New",'FTE Pivot for regular counts'!$A$2,"State","KY","Category2","Technical")</f>
        <v>4898.7</v>
      </c>
      <c r="K109" s="73"/>
      <c r="L109" s="73"/>
      <c r="Q109" s="1" t="s">
        <v>69</v>
      </c>
      <c r="R109" s="15">
        <f>+GETPIVOTDATA("Undergrad Student Credit Hour  FTE - Old",'FTE Pivot for regular counts'!$A$2,"State","KY","Category","7","Category2","Two-Year")</f>
        <v>0</v>
      </c>
      <c r="S109" s="15">
        <f>+GETPIVOTDATA("Undergrad Student Credit Hour  FTE - Old",'FTE Pivot for regular counts'!$A$2,"State","KY","Category","8","Category2","Two-Year")</f>
        <v>14732.5</v>
      </c>
      <c r="T109" s="15">
        <f>+GETPIVOTDATA("Undergrad Student Credit Hour  FTE - Old",'FTE Pivot for regular counts'!$A$2,"State","KY","Category","9","Category2","Two-Year")</f>
        <v>30483.166666666668</v>
      </c>
      <c r="U109" s="15">
        <f>+GETPIVOTDATA("Undergrad Student Credit Hour  FTE - Old",'FTE Pivot for regular counts'!$A$2,"State","KY","Category","10","Category2","Two-Year")</f>
        <v>1128.7666666666667</v>
      </c>
      <c r="V109" s="23">
        <f>+GETPIVOTDATA("Undergrad Student Credit Hour  FTE - Old",'FTE Pivot for regular counts'!$A$2,"State","KY","Category2","Two-Year")</f>
        <v>46344.433333333342</v>
      </c>
      <c r="W109" s="18">
        <f>+GETPIVOTDATA("Undergrad Student Credit Hour  FTE - Old",'FTE Pivot for regular counts'!$A$2,"State","KY","Category","12","Category2","Technical")</f>
        <v>5098.7333333333336</v>
      </c>
      <c r="X109" s="15">
        <f>+GETPIVOTDATA("Undergrad Student Credit Hour  FTE - Old",'FTE Pivot for regular counts'!$A$2,"State","KY","Category","13","Category2","Technical")</f>
        <v>0</v>
      </c>
      <c r="Y109" s="25">
        <f>+GETPIVOTDATA("Undergrad Student Credit Hour  FTE - Old",'FTE Pivot for regular counts'!$A$2,"State","KY","Category2","Technical")</f>
        <v>5098.7333333333336</v>
      </c>
      <c r="Z109" s="25"/>
    </row>
    <row r="110" spans="1:26" ht="15" customHeight="1">
      <c r="A110" s="1" t="s">
        <v>70</v>
      </c>
      <c r="B110" s="15">
        <f>+GETPIVOTDATA("Undergrad Student Credit Hour FTE - New",'FTE Pivot for regular counts'!$A$2,"State","LA","Category","7","Category2","Two-Year")</f>
        <v>0</v>
      </c>
      <c r="C110" s="15">
        <f>+GETPIVOTDATA("Undergrad Student Credit Hour FTE - New",'FTE Pivot for regular counts'!$A$2,"State","LA","Category","8","Category2","Two-Year")</f>
        <v>22957.266666666666</v>
      </c>
      <c r="D110" s="15">
        <f>+GETPIVOTDATA("Undergrad Student Credit Hour FTE - New",'FTE Pivot for regular counts'!$A$2,"State","LA","Category","9","Category2","Two-Year")</f>
        <v>9229.7333333333336</v>
      </c>
      <c r="E110" s="15">
        <f>+GETPIVOTDATA("Undergrad Student Credit Hour FTE - New",'FTE Pivot for regular counts'!$A$2,"State","LA","Category","10","Category2","Two-Year")</f>
        <v>4471.8666666666668</v>
      </c>
      <c r="F110" s="23">
        <f>+GETPIVOTDATA("Undergrad Student Credit Hour FTE - New",'FTE Pivot for regular counts'!$A$2,"State","LA","Category2","Two-Year")</f>
        <v>36658.866666666669</v>
      </c>
      <c r="G110" s="18">
        <f>+GETPIVOTDATA("Undergrad Student Credit Hour FTE - New",'FTE Pivot for regular counts'!$A$2,"State","LA","Category","12","Category2","Technical")</f>
        <v>9758</v>
      </c>
      <c r="H110" s="102">
        <f>+GETPIVOTDATA("Undergrad Student Credit Hour FTE - New",'FTE Pivot for regular counts'!$A$2,"State","LA","Category","13","Category2","Technical")</f>
        <v>0</v>
      </c>
      <c r="I110" s="73">
        <f>+GETPIVOTDATA("Undergrad Student Credit Hour FTE - New",'FTE Pivot for regular counts'!$A$2,"State","LA","Category2","Technical")</f>
        <v>9758</v>
      </c>
      <c r="K110" s="73"/>
      <c r="L110" s="73"/>
      <c r="Q110" s="1" t="s">
        <v>70</v>
      </c>
      <c r="R110" s="15">
        <f>+GETPIVOTDATA("Undergrad Student Credit Hour  FTE - Old",'FTE Pivot for regular counts'!$A$2,"State","LA","Category","7","Category2","Two-Year")</f>
        <v>0</v>
      </c>
      <c r="S110" s="15">
        <f>+GETPIVOTDATA("Undergrad Student Credit Hour  FTE - Old",'FTE Pivot for regular counts'!$A$2,"State","LA","Category","8","Category2","Two-Year")</f>
        <v>24773.98333333333</v>
      </c>
      <c r="T110" s="15">
        <f>+GETPIVOTDATA("Undergrad Student Credit Hour  FTE - Old",'FTE Pivot for regular counts'!$A$2,"State","LA","Category","9","Category2","Two-Year")</f>
        <v>9220.5333333333328</v>
      </c>
      <c r="U110" s="15">
        <f>+GETPIVOTDATA("Undergrad Student Credit Hour  FTE - Old",'FTE Pivot for regular counts'!$A$2,"State","LA","Category","10","Category2","Two-Year")</f>
        <v>4599.7333333333336</v>
      </c>
      <c r="V110" s="23">
        <f>+GETPIVOTDATA("Undergrad Student Credit Hour  FTE - Old",'FTE Pivot for regular counts'!$A$2,"State","LA","Category2","Two-Year")</f>
        <v>38594.25</v>
      </c>
      <c r="W110" s="18">
        <f>+GETPIVOTDATA("Undergrad Student Credit Hour  FTE - Old",'FTE Pivot for regular counts'!$A$2,"State","LA","Category","12","Category2","Technical")</f>
        <v>10249.516666666666</v>
      </c>
      <c r="X110" s="15">
        <f>+GETPIVOTDATA("Undergrad Student Credit Hour  FTE - Old",'FTE Pivot for regular counts'!$A$2,"State","LA","Category","13","Category2","Technical")</f>
        <v>0</v>
      </c>
      <c r="Y110" s="25">
        <f>+GETPIVOTDATA("Undergrad Student Credit Hour  FTE - Old",'FTE Pivot for regular counts'!$A$2,"State","LA","Category2","Technical")</f>
        <v>10249.516666666666</v>
      </c>
      <c r="Z110" s="25"/>
    </row>
    <row r="111" spans="1:26" ht="15" customHeight="1">
      <c r="A111" s="1" t="s">
        <v>71</v>
      </c>
      <c r="B111" s="15">
        <f>+GETPIVOTDATA("Undergrad Student Credit Hour FTE - New",'FTE Pivot for regular counts'!$A$2,"State","MD","Category","7","Category2","Two-Year")</f>
        <v>0</v>
      </c>
      <c r="C111" s="15">
        <f>+GETPIVOTDATA("Undergrad Student Credit Hour FTE - New",'FTE Pivot for regular counts'!$A$2,"State","MD","Category","8","Category2","Two-Year")</f>
        <v>67112.533333333326</v>
      </c>
      <c r="D111" s="15">
        <f>+GETPIVOTDATA("Undergrad Student Credit Hour FTE - New",'FTE Pivot for regular counts'!$A$2,"State","MD","Category","9","Category2","Two-Year")</f>
        <v>18634.099999999999</v>
      </c>
      <c r="E111" s="15">
        <f>+GETPIVOTDATA("Undergrad Student Credit Hour FTE - New",'FTE Pivot for regular counts'!$A$2,"State","MD","Category","10","Category2","Two-Year")</f>
        <v>3499.0250000000001</v>
      </c>
      <c r="F111" s="23">
        <f>+GETPIVOTDATA("Undergrad Student Credit Hour FTE - New",'FTE Pivot for regular counts'!$A$2,"State","MD","Category2","Two-Year")</f>
        <v>89245.658333333326</v>
      </c>
      <c r="G111" s="18">
        <f>+GETPIVOTDATA("Undergrad Student Credit Hour FTE - New",'FTE Pivot for regular counts'!$A$2,"State","MD","Category","12","Category2","Technical")</f>
        <v>0</v>
      </c>
      <c r="H111" s="102">
        <f>+GETPIVOTDATA("Undergrad Student Credit Hour FTE - New",'FTE Pivot for regular counts'!$A$2,"State","MD","Category","13","Category2","Technical")</f>
        <v>0</v>
      </c>
      <c r="I111" s="73">
        <f>+GETPIVOTDATA("Undergrad Student Credit Hour FTE - New",'FTE Pivot for regular counts'!$A$2,"State","MD","Category2","Technical")</f>
        <v>0</v>
      </c>
      <c r="K111" s="73"/>
      <c r="L111" s="73"/>
      <c r="Q111" s="1" t="s">
        <v>71</v>
      </c>
      <c r="R111" s="15">
        <f>+GETPIVOTDATA("Undergrad Student Credit Hour  FTE - Old",'FTE Pivot for regular counts'!$A$2,"State","MD","Category","7","Category2","Two-Year")</f>
        <v>0</v>
      </c>
      <c r="S111" s="15">
        <f>+GETPIVOTDATA("Undergrad Student Credit Hour  FTE - Old",'FTE Pivot for regular counts'!$A$2,"State","MD","Category","8","Category2","Two-Year")</f>
        <v>71035.849999999991</v>
      </c>
      <c r="T111" s="15">
        <f>+GETPIVOTDATA("Undergrad Student Credit Hour  FTE - Old",'FTE Pivot for regular counts'!$A$2,"State","MD","Category","9","Category2","Two-Year")</f>
        <v>20908.283333333333</v>
      </c>
      <c r="U111" s="15">
        <f>+GETPIVOTDATA("Undergrad Student Credit Hour  FTE - Old",'FTE Pivot for regular counts'!$A$2,"State","MD","Category","10","Category2","Two-Year")</f>
        <v>3669.2</v>
      </c>
      <c r="V111" s="23">
        <f>+GETPIVOTDATA("Undergrad Student Credit Hour  FTE - Old",'FTE Pivot for regular counts'!$A$2,"State","MD","Category2","Two-Year")</f>
        <v>95613.333333333328</v>
      </c>
      <c r="W111" s="18">
        <f>+GETPIVOTDATA("Undergrad Student Credit Hour  FTE - Old",'FTE Pivot for regular counts'!$A$2,"State","MD","Category","12","Category2","Technical")</f>
        <v>0</v>
      </c>
      <c r="X111" s="15">
        <f>+GETPIVOTDATA("Undergrad Student Credit Hour  FTE - Old",'FTE Pivot for regular counts'!$A$2,"State","MD","Category","13","Category2","Technical")</f>
        <v>0</v>
      </c>
      <c r="Y111" s="25">
        <f>+GETPIVOTDATA("Undergrad Student Credit Hour  FTE - Old",'FTE Pivot for regular counts'!$A$2,"State","MD","Category2","Technical")</f>
        <v>0</v>
      </c>
      <c r="Z111" s="25"/>
    </row>
    <row r="112" spans="1:26" ht="15" customHeight="1">
      <c r="B112" s="15"/>
      <c r="C112" s="15"/>
      <c r="D112" s="15"/>
      <c r="E112" s="15"/>
      <c r="F112" s="23"/>
      <c r="G112" s="18"/>
      <c r="H112" s="102"/>
      <c r="I112" s="73"/>
      <c r="K112" s="73"/>
      <c r="L112" s="73"/>
      <c r="R112" s="15"/>
      <c r="S112" s="15"/>
      <c r="T112" s="15"/>
      <c r="U112" s="15"/>
      <c r="V112" s="23"/>
      <c r="W112" s="18"/>
      <c r="X112" s="15"/>
      <c r="Y112" s="25"/>
      <c r="Z112" s="25"/>
    </row>
    <row r="113" spans="1:26" ht="15" customHeight="1">
      <c r="A113" s="1" t="s">
        <v>72</v>
      </c>
      <c r="B113" s="15">
        <f>+GETPIVOTDATA("Undergrad Student Credit Hour FTE - New",'FTE Pivot for regular counts'!$A$2,"State","MS","Category","7","Category2","Two-Year")</f>
        <v>0</v>
      </c>
      <c r="C113" s="15">
        <f>+GETPIVOTDATA("Undergrad Student Credit Hour FTE - New",'FTE Pivot for regular counts'!$A$2,"State","MS","Category","8","Category2","Two-Year")</f>
        <v>29990.933333333331</v>
      </c>
      <c r="D113" s="15">
        <f>+GETPIVOTDATA("Undergrad Student Credit Hour FTE - New",'FTE Pivot for regular counts'!$A$2,"State","MS","Category","9","Category2","Two-Year")</f>
        <v>31231.966666666667</v>
      </c>
      <c r="E113" s="15">
        <f>+GETPIVOTDATA("Undergrad Student Credit Hour FTE - New",'FTE Pivot for regular counts'!$A$2,"State","MS","Category","10","Category2","Two-Year")</f>
        <v>3591.666666666667</v>
      </c>
      <c r="F113" s="23">
        <f>+GETPIVOTDATA("Undergrad Student Credit Hour FTE - New",'FTE Pivot for regular counts'!$A$2,"State","MS","Category2","Two-Year")</f>
        <v>64814.566666666658</v>
      </c>
      <c r="G113" s="18">
        <f>+GETPIVOTDATA("Undergrad Student Credit Hour FTE - New",'FTE Pivot for regular counts'!$A$2,"State","MS","Category","12","Category2","Technical")</f>
        <v>0</v>
      </c>
      <c r="H113" s="102">
        <f>+GETPIVOTDATA("Undergrad Student Credit Hour FTE - New",'FTE Pivot for regular counts'!$A$2,"State","MS","Category","13","Category2","Technical")</f>
        <v>0</v>
      </c>
      <c r="I113" s="73">
        <f>+GETPIVOTDATA("Undergrad Student Credit Hour FTE - New",'FTE Pivot for regular counts'!$A$2,"State","MS","Category2","Technical")</f>
        <v>0</v>
      </c>
      <c r="K113" s="73"/>
      <c r="L113" s="73"/>
      <c r="Q113" s="1" t="s">
        <v>72</v>
      </c>
      <c r="R113" s="15">
        <f>+GETPIVOTDATA("Undergrad Student Credit Hour  FTE - Old",'FTE Pivot for regular counts'!$A$2,"State","MS","Category","7","Category2","Two-Year")</f>
        <v>0</v>
      </c>
      <c r="S113" s="15">
        <f>+GETPIVOTDATA("Undergrad Student Credit Hour  FTE - Old",'FTE Pivot for regular counts'!$A$2,"State","MS","Category","8","Category2","Two-Year")</f>
        <v>30403.76666666667</v>
      </c>
      <c r="T113" s="15">
        <f>+GETPIVOTDATA("Undergrad Student Credit Hour  FTE - Old",'FTE Pivot for regular counts'!$A$2,"State","MS","Category","9","Category2","Two-Year")</f>
        <v>31313.133333333331</v>
      </c>
      <c r="U113" s="15">
        <f>+GETPIVOTDATA("Undergrad Student Credit Hour  FTE - Old",'FTE Pivot for regular counts'!$A$2,"State","MS","Category","10","Category2","Two-Year")</f>
        <v>3614.5</v>
      </c>
      <c r="V113" s="23">
        <f>+GETPIVOTDATA("Undergrad Student Credit Hour  FTE - Old",'FTE Pivot for regular counts'!$A$2,"State","MS","Category2","Two-Year")</f>
        <v>65331.4</v>
      </c>
      <c r="W113" s="18">
        <f>+GETPIVOTDATA("Undergrad Student Credit Hour  FTE - Old",'FTE Pivot for regular counts'!$A$2,"State","MS","Category","12","Category2","Technical")</f>
        <v>0</v>
      </c>
      <c r="X113" s="15">
        <f>+GETPIVOTDATA("Undergrad Student Credit Hour  FTE - Old",'FTE Pivot for regular counts'!$A$2,"State","MS","Category","13","Category2","Technical")</f>
        <v>0</v>
      </c>
      <c r="Y113" s="25">
        <f>+GETPIVOTDATA("Undergrad Student Credit Hour  FTE - Old",'FTE Pivot for regular counts'!$A$2,"State","MS","Category2","Technical")</f>
        <v>0</v>
      </c>
      <c r="Z113" s="25"/>
    </row>
    <row r="114" spans="1:26" ht="15" customHeight="1">
      <c r="A114" s="1" t="s">
        <v>73</v>
      </c>
      <c r="B114" s="15">
        <f>+GETPIVOTDATA("Undergrad Student Credit Hour FTE - New",'FTE Pivot for regular counts'!$A$2,"State","NC","Category","7","Category2","Two-Year")</f>
        <v>0</v>
      </c>
      <c r="C114" s="15">
        <f>+GETPIVOTDATA("Undergrad Student Credit Hour FTE - New",'FTE Pivot for regular counts'!$A$2,"State","NC","Category","8","Category2","Two-Year")</f>
        <v>72378.333333333343</v>
      </c>
      <c r="D114" s="15">
        <f>+GETPIVOTDATA("Undergrad Student Credit Hour FTE - New",'FTE Pivot for regular counts'!$A$2,"State","NC","Category","9","Category2","Two-Year")</f>
        <v>55524.43333333332</v>
      </c>
      <c r="E114" s="15">
        <f>+GETPIVOTDATA("Undergrad Student Credit Hour FTE - New",'FTE Pivot for regular counts'!$A$2,"State","NC","Category","10","Category2","Two-Year")</f>
        <v>21399.166666666661</v>
      </c>
      <c r="F114" s="23">
        <f>+GETPIVOTDATA("Undergrad Student Credit Hour FTE - New",'FTE Pivot for regular counts'!$A$2,"State","NC","Category2","Two-Year")</f>
        <v>149301.93333333332</v>
      </c>
      <c r="G114" s="18">
        <f>+GETPIVOTDATA("Undergrad Student Credit Hour FTE - New",'FTE Pivot for regular counts'!$A$2,"State","NC","Category","12","Category2","Technical")</f>
        <v>0</v>
      </c>
      <c r="H114" s="102">
        <f>+GETPIVOTDATA("Undergrad Student Credit Hour FTE - New",'FTE Pivot for regular counts'!$A$2,"State","NC","Category","13","Category2","Technical")</f>
        <v>0</v>
      </c>
      <c r="I114" s="73">
        <f>+GETPIVOTDATA("Undergrad Student Credit Hour FTE - New",'FTE Pivot for regular counts'!$A$2,"State","NC","Category2","Technical")</f>
        <v>0</v>
      </c>
      <c r="K114" s="73"/>
      <c r="L114" s="73"/>
      <c r="Q114" s="1" t="s">
        <v>73</v>
      </c>
      <c r="R114" s="15">
        <f>+GETPIVOTDATA("Undergrad Student Credit Hour  FTE - Old",'FTE Pivot for regular counts'!$A$2,"State","NC","Category","7","Category2","Two-Year")</f>
        <v>0</v>
      </c>
      <c r="S114" s="15">
        <f>+GETPIVOTDATA("Undergrad Student Credit Hour  FTE - Old",'FTE Pivot for regular counts'!$A$2,"State","NC","Category","8","Category2","Two-Year")</f>
        <v>75999.666666666657</v>
      </c>
      <c r="T114" s="15">
        <f>+GETPIVOTDATA("Undergrad Student Credit Hour  FTE - Old",'FTE Pivot for regular counts'!$A$2,"State","NC","Category","9","Category2","Two-Year")</f>
        <v>59540.900000000016</v>
      </c>
      <c r="U114" s="15">
        <f>+GETPIVOTDATA("Undergrad Student Credit Hour  FTE - Old",'FTE Pivot for regular counts'!$A$2,"State","NC","Category","10","Category2","Two-Year")</f>
        <v>23352.100000000002</v>
      </c>
      <c r="V114" s="23">
        <f>+GETPIVOTDATA("Undergrad Student Credit Hour  FTE - Old",'FTE Pivot for regular counts'!$A$2,"State","NC","Category2","Two-Year")</f>
        <v>158892.66666666669</v>
      </c>
      <c r="W114" s="18">
        <f>+GETPIVOTDATA("Undergrad Student Credit Hour  FTE - Old",'FTE Pivot for regular counts'!$A$2,"State","NC","Category","12","Category2","Technical")</f>
        <v>0</v>
      </c>
      <c r="X114" s="15">
        <f>+GETPIVOTDATA("Undergrad Student Credit Hour  FTE - Old",'FTE Pivot for regular counts'!$A$2,"State","NC","Category","13","Category2","Technical")</f>
        <v>0</v>
      </c>
      <c r="Y114" s="25">
        <f>+GETPIVOTDATA("Undergrad Student Credit Hour  FTE - Old",'FTE Pivot for regular counts'!$A$2,"State","NC","Category2","Technical")</f>
        <v>0</v>
      </c>
      <c r="Z114" s="25"/>
    </row>
    <row r="115" spans="1:26" ht="15" customHeight="1">
      <c r="A115" s="1" t="s">
        <v>74</v>
      </c>
      <c r="B115" s="15">
        <f>+GETPIVOTDATA("Undergrad Student Credit Hour FTE - New",'FTE Pivot for regular counts'!$A$2,"State","OK","Category","7","Category2","Two-Year")</f>
        <v>6647.7</v>
      </c>
      <c r="C115" s="15">
        <f>+GETPIVOTDATA("Undergrad Student Credit Hour FTE - New",'FTE Pivot for regular counts'!$A$2,"State","OK","Category","8","Category2","Two-Year")</f>
        <v>19343.533333333333</v>
      </c>
      <c r="D115" s="15">
        <f>+GETPIVOTDATA("Undergrad Student Credit Hour FTE - New",'FTE Pivot for regular counts'!$A$2,"State","OK","Category","9","Category2","Two-Year")</f>
        <v>7302.6666666666661</v>
      </c>
      <c r="E115" s="15">
        <f>+GETPIVOTDATA("Undergrad Student Credit Hour FTE - New",'FTE Pivot for regular counts'!$A$2,"State","OK","Category","10","Category2","Two-Year")</f>
        <v>11579.599999999999</v>
      </c>
      <c r="F115" s="23">
        <f>+GETPIVOTDATA("Undergrad Student Credit Hour FTE - New",'FTE Pivot for regular counts'!$A$2,"State","OK","Category2","Two-Year")</f>
        <v>44873.5</v>
      </c>
      <c r="G115" s="18">
        <f>+GETPIVOTDATA("Undergrad Student Credit Hour FTE - New",'FTE Pivot for regular counts'!$A$2,"State","OK","Category","12","Category2","Technical")</f>
        <v>0</v>
      </c>
      <c r="H115" s="102">
        <f>+GETPIVOTDATA("Undergrad Student Credit Hour FTE - New",'FTE Pivot for regular counts'!$A$2,"State","OK","Category","13","Category2","Technical")</f>
        <v>0</v>
      </c>
      <c r="I115" s="73">
        <f>+GETPIVOTDATA("Undergrad Student Credit Hour FTE - New",'FTE Pivot for regular counts'!$A$2,"State","OK","Category2","Technical")</f>
        <v>0</v>
      </c>
      <c r="K115" s="73"/>
      <c r="L115" s="73"/>
      <c r="Q115" s="1" t="s">
        <v>74</v>
      </c>
      <c r="R115" s="15">
        <f>+GETPIVOTDATA("Undergrad Student Credit Hour  FTE - Old",'FTE Pivot for regular counts'!$A$2,"State","OK","Category","7","Category2","Two-Year")</f>
        <v>7513</v>
      </c>
      <c r="S115" s="15">
        <f>+GETPIVOTDATA("Undergrad Student Credit Hour  FTE - Old",'FTE Pivot for regular counts'!$A$2,"State","OK","Category","8","Category2","Two-Year")</f>
        <v>19723.266666666666</v>
      </c>
      <c r="T115" s="15">
        <f>+GETPIVOTDATA("Undergrad Student Credit Hour  FTE - Old",'FTE Pivot for regular counts'!$A$2,"State","OK","Category","9","Category2","Two-Year")</f>
        <v>7471.5</v>
      </c>
      <c r="U115" s="15">
        <f>+GETPIVOTDATA("Undergrad Student Credit Hour  FTE - Old",'FTE Pivot for regular counts'!$A$2,"State","OK","Category","10","Category2","Two-Year")</f>
        <v>12007.933333333334</v>
      </c>
      <c r="V115" s="23">
        <f>+GETPIVOTDATA("Undergrad Student Credit Hour  FTE - Old",'FTE Pivot for regular counts'!$A$2,"State","OK","Category2","Two-Year")</f>
        <v>46715.7</v>
      </c>
      <c r="W115" s="18">
        <f>+GETPIVOTDATA("Undergrad Student Credit Hour  FTE - Old",'FTE Pivot for regular counts'!$A$2,"State","OK","Category","12","Category2","Technical")</f>
        <v>0</v>
      </c>
      <c r="X115" s="15">
        <f>+GETPIVOTDATA("Undergrad Student Credit Hour  FTE - Old",'FTE Pivot for regular counts'!$A$2,"State","OK","Category","13","Category2","Technical")</f>
        <v>0</v>
      </c>
      <c r="Y115" s="25">
        <f>+GETPIVOTDATA("Undergrad Student Credit Hour  FTE - Old",'FTE Pivot for regular counts'!$A$2,"State","OK","Category2","Technical")</f>
        <v>0</v>
      </c>
      <c r="Z115" s="25"/>
    </row>
    <row r="116" spans="1:26" ht="15" customHeight="1">
      <c r="A116" s="1" t="s">
        <v>75</v>
      </c>
      <c r="B116" s="15">
        <f>+GETPIVOTDATA("Undergrad Student Credit Hour FTE - New",'FTE Pivot for regular counts'!$A$2,"State","SC","Category","7","Category2","Two-Year")</f>
        <v>0</v>
      </c>
      <c r="C116" s="15">
        <f>+GETPIVOTDATA("Undergrad Student Credit Hour FTE - New",'FTE Pivot for regular counts'!$A$2,"State","SC","Category","8","Category2","Two-Year")</f>
        <v>50281.12733333333</v>
      </c>
      <c r="D116" s="15">
        <f>+GETPIVOTDATA("Undergrad Student Credit Hour FTE - New",'FTE Pivot for regular counts'!$A$2,"State","SC","Category","9","Category2","Two-Year")</f>
        <v>14114.827333333333</v>
      </c>
      <c r="E116" s="15">
        <f>+GETPIVOTDATA("Undergrad Student Credit Hour FTE - New",'FTE Pivot for regular counts'!$A$2,"State","SC","Category","10","Category2","Two-Year")</f>
        <v>7284.2396666666664</v>
      </c>
      <c r="F116" s="23">
        <f>+GETPIVOTDATA("Undergrad Student Credit Hour FTE - New",'FTE Pivot for regular counts'!$A$2,"State","SC","Category2","Two-Year")</f>
        <v>71680.194333333333</v>
      </c>
      <c r="G116" s="18">
        <f>+GETPIVOTDATA("Undergrad Student Credit Hour FTE - New",'FTE Pivot for regular counts'!$A$2,"State","SC","Category","12","Category2","Technical")</f>
        <v>0</v>
      </c>
      <c r="H116" s="102">
        <f>+GETPIVOTDATA("Undergrad Student Credit Hour FTE - New",'FTE Pivot for regular counts'!$A$2,"State","SC","Category","13","Category2","Technical")</f>
        <v>0</v>
      </c>
      <c r="I116" s="73">
        <f>+GETPIVOTDATA("Undergrad Student Credit Hour FTE - New",'FTE Pivot for regular counts'!$A$2,"State","SC","Category2","Technical")</f>
        <v>0</v>
      </c>
      <c r="K116" s="73"/>
      <c r="L116" s="73"/>
      <c r="Q116" s="1" t="s">
        <v>75</v>
      </c>
      <c r="R116" s="15">
        <f>+GETPIVOTDATA("Undergrad Student Credit Hour  FTE - Old",'FTE Pivot for regular counts'!$A$2,"State","SC","Category","7","Category2","Two-Year")</f>
        <v>0</v>
      </c>
      <c r="S116" s="15">
        <f>+GETPIVOTDATA("Undergrad Student Credit Hour  FTE - Old",'FTE Pivot for regular counts'!$A$2,"State","SC","Category","8","Category2","Two-Year")</f>
        <v>52973.4</v>
      </c>
      <c r="T116" s="15">
        <f>+GETPIVOTDATA("Undergrad Student Credit Hour  FTE - Old",'FTE Pivot for regular counts'!$A$2,"State","SC","Category","9","Category2","Two-Year")</f>
        <v>15147.366666666667</v>
      </c>
      <c r="U116" s="15">
        <f>+GETPIVOTDATA("Undergrad Student Credit Hour  FTE - Old",'FTE Pivot for regular counts'!$A$2,"State","SC","Category","10","Category2","Two-Year")</f>
        <v>8085.833333333333</v>
      </c>
      <c r="V116" s="23">
        <f>+GETPIVOTDATA("Undergrad Student Credit Hour  FTE - Old",'FTE Pivot for regular counts'!$A$2,"State","SC","Category2","Two-Year")</f>
        <v>76206.599999999991</v>
      </c>
      <c r="W116" s="18">
        <f>+GETPIVOTDATA("Undergrad Student Credit Hour  FTE - Old",'FTE Pivot for regular counts'!$A$2,"State","SC","Category","12","Category2","Technical")</f>
        <v>0</v>
      </c>
      <c r="X116" s="15">
        <f>+GETPIVOTDATA("Undergrad Student Credit Hour  FTE - Old",'FTE Pivot for regular counts'!$A$2,"State","SC","Category","13","Category2","Technical")</f>
        <v>0</v>
      </c>
      <c r="Y116" s="25">
        <f>+GETPIVOTDATA("Undergrad Student Credit Hour  FTE - Old",'FTE Pivot for regular counts'!$A$2,"State","SC","Category2","Technical")</f>
        <v>0</v>
      </c>
      <c r="Z116" s="25"/>
    </row>
    <row r="117" spans="1:26" ht="15" customHeight="1">
      <c r="B117" s="15"/>
      <c r="C117" s="15"/>
      <c r="D117" s="15"/>
      <c r="E117" s="15"/>
      <c r="F117" s="23"/>
      <c r="G117" s="18"/>
      <c r="H117" s="102"/>
      <c r="I117" s="73"/>
      <c r="K117" s="73"/>
      <c r="L117" s="73"/>
      <c r="R117" s="15"/>
      <c r="S117" s="15"/>
      <c r="T117" s="15"/>
      <c r="U117" s="15"/>
      <c r="V117" s="23"/>
      <c r="W117" s="18"/>
      <c r="X117" s="15"/>
      <c r="Y117" s="25"/>
      <c r="Z117" s="25"/>
    </row>
    <row r="118" spans="1:26" ht="15" customHeight="1">
      <c r="A118" s="1" t="s">
        <v>76</v>
      </c>
      <c r="B118" s="15">
        <f>+GETPIVOTDATA("Undergrad Student Credit Hour FTE - New",'FTE Pivot for regular counts'!$A$2,"State","TN","Category","7","Category2","Two-Year")</f>
        <v>0</v>
      </c>
      <c r="C118" s="15">
        <f>+GETPIVOTDATA("Undergrad Student Credit Hour FTE - New",'FTE Pivot for regular counts'!$A$2,"State","TN","Category","8","Category2","Two-Year")</f>
        <v>31691.966666666667</v>
      </c>
      <c r="D118" s="15">
        <f>+GETPIVOTDATA("Undergrad Student Credit Hour FTE - New",'FTE Pivot for regular counts'!$A$2,"State","TN","Category","9","Category2","Two-Year")</f>
        <v>25723.266666666666</v>
      </c>
      <c r="E118" s="15">
        <f>+GETPIVOTDATA("Undergrad Student Credit Hour FTE - New",'FTE Pivot for regular counts'!$A$2,"State","TN","Category","10","Category2","Two-Year")</f>
        <v>0</v>
      </c>
      <c r="F118" s="23">
        <f>+GETPIVOTDATA("Undergrad Student Credit Hour FTE - New",'FTE Pivot for regular counts'!$A$2,"State","TN","Category2","Two-Year")</f>
        <v>57415.233333333337</v>
      </c>
      <c r="G118" s="18">
        <f>+GETPIVOTDATA("Undergrad Student Credit Hour FTE - New",'FTE Pivot for regular counts'!$A$2,"State","TN","Category","12","Category2","Technical")</f>
        <v>0</v>
      </c>
      <c r="H118" s="102">
        <f>+GETPIVOTDATA("Undergrad Student Credit Hour FTE - New",'FTE Pivot for regular counts'!$A$2,"State","TN","Category","13","Category2","Technical")</f>
        <v>0</v>
      </c>
      <c r="I118" s="73">
        <f>+GETPIVOTDATA("Undergrad Student Credit Hour FTE - New",'FTE Pivot for regular counts'!$A$2,"State","TN","Category2","Technical")</f>
        <v>0</v>
      </c>
      <c r="K118" s="73"/>
      <c r="L118" s="73"/>
      <c r="Q118" s="1" t="s">
        <v>76</v>
      </c>
      <c r="R118" s="15">
        <f>+GETPIVOTDATA("Undergrad Student Credit Hour  FTE - Old",'FTE Pivot for regular counts'!$A$2,"State","TN","Category","7","Category2","Two-Year")</f>
        <v>0</v>
      </c>
      <c r="S118" s="15">
        <f>+GETPIVOTDATA("Undergrad Student Credit Hour  FTE - Old",'FTE Pivot for regular counts'!$A$2,"State","TN","Category","8","Category2","Two-Year")</f>
        <v>31617.699999999997</v>
      </c>
      <c r="T118" s="15">
        <f>+GETPIVOTDATA("Undergrad Student Credit Hour  FTE - Old",'FTE Pivot for regular counts'!$A$2,"State","TN","Category","9","Category2","Two-Year")</f>
        <v>25256.799999999996</v>
      </c>
      <c r="U118" s="15">
        <f>+GETPIVOTDATA("Undergrad Student Credit Hour  FTE - Old",'FTE Pivot for regular counts'!$A$2,"State","TN","Category","10","Category2","Two-Year")</f>
        <v>0</v>
      </c>
      <c r="V118" s="23">
        <f>+GETPIVOTDATA("Undergrad Student Credit Hour  FTE - Old",'FTE Pivot for regular counts'!$A$2,"State","TN","Category2","Two-Year")</f>
        <v>56874.499999999993</v>
      </c>
      <c r="W118" s="18">
        <f>+GETPIVOTDATA("Undergrad Student Credit Hour  FTE - Old",'FTE Pivot for regular counts'!$A$2,"State","TN","Category","12","Category2","Technical")</f>
        <v>0</v>
      </c>
      <c r="X118" s="15">
        <f>+GETPIVOTDATA("Undergrad Student Credit Hour  FTE - Old",'FTE Pivot for regular counts'!$A$2,"State","TN","Category","13","Category2","Technical")</f>
        <v>0</v>
      </c>
      <c r="Y118" s="25">
        <f>+GETPIVOTDATA("Undergrad Student Credit Hour  FTE - Old",'FTE Pivot for regular counts'!$A$2,"State","TN","Category2","Technical")</f>
        <v>0</v>
      </c>
      <c r="Z118" s="25"/>
    </row>
    <row r="119" spans="1:26" ht="15" customHeight="1">
      <c r="A119" s="1" t="s">
        <v>77</v>
      </c>
      <c r="B119" s="15">
        <f>+GETPIVOTDATA("Undergrad Student Credit Hour FTE - New",'FTE Pivot for regular counts'!$A$2,"State","TX","Category","7","Category2","Two-Year")</f>
        <v>26190.566666666666</v>
      </c>
      <c r="C119" s="15">
        <f>+GETPIVOTDATA("Undergrad Student Credit Hour FTE - New",'FTE Pivot for regular counts'!$A$2,"State","TX","Category","8","Category2","Two-Year")</f>
        <v>335776.06666666665</v>
      </c>
      <c r="D119" s="15">
        <f>+GETPIVOTDATA("Undergrad Student Credit Hour FTE - New",'FTE Pivot for regular counts'!$A$2,"State","TX","Category","9","Category2","Two-Year")</f>
        <v>82175.766666666663</v>
      </c>
      <c r="E119" s="15">
        <f>+GETPIVOTDATA("Undergrad Student Credit Hour FTE - New",'FTE Pivot for regular counts'!$A$2,"State","TX","Category","10","Category2","Two-Year")</f>
        <v>12571.833333333334</v>
      </c>
      <c r="F119" s="23">
        <f>+GETPIVOTDATA("Undergrad Student Credit Hour FTE - New",'FTE Pivot for regular counts'!$A$2,"State","TX","Category2","Two-Year")</f>
        <v>456714.23333333328</v>
      </c>
      <c r="G119" s="18">
        <f>+GETPIVOTDATA("Undergrad Student Credit Hour FTE - New",'FTE Pivot for regular counts'!$A$2,"State","TX","Category","12","Category2","Technical")</f>
        <v>0</v>
      </c>
      <c r="H119" s="102">
        <f>+GETPIVOTDATA("Undergrad Student Credit Hour FTE - New",'FTE Pivot for regular counts'!$A$2,"State","TX","Category","13","Category2","Technical")</f>
        <v>0</v>
      </c>
      <c r="I119" s="73">
        <f>+GETPIVOTDATA("Undergrad Student Credit Hour FTE - New",'FTE Pivot for regular counts'!$A$2,"State","TX","Category2","Technical")</f>
        <v>0</v>
      </c>
      <c r="K119" s="73"/>
      <c r="L119" s="73"/>
      <c r="Q119" s="1" t="s">
        <v>77</v>
      </c>
      <c r="R119" s="15">
        <f>+GETPIVOTDATA("Undergrad Student Credit Hour  FTE - Old",'FTE Pivot for regular counts'!$A$2,"State","TX","Category","7","Category2","Two-Year")</f>
        <v>25108.5</v>
      </c>
      <c r="S119" s="15">
        <f>+GETPIVOTDATA("Undergrad Student Credit Hour  FTE - Old",'FTE Pivot for regular counts'!$A$2,"State","TX","Category","8","Category2","Two-Year")</f>
        <v>338152.83333333331</v>
      </c>
      <c r="T119" s="15">
        <f>+GETPIVOTDATA("Undergrad Student Credit Hour  FTE - Old",'FTE Pivot for regular counts'!$A$2,"State","TX","Category","9","Category2","Two-Year")</f>
        <v>84003.4</v>
      </c>
      <c r="U119" s="15">
        <f>+GETPIVOTDATA("Undergrad Student Credit Hour  FTE - Old",'FTE Pivot for regular counts'!$A$2,"State","TX","Category","10","Category2","Two-Year")</f>
        <v>12103.299999999997</v>
      </c>
      <c r="V119" s="23">
        <f>+GETPIVOTDATA("Undergrad Student Credit Hour  FTE - Old",'FTE Pivot for regular counts'!$A$2,"State","TX","Category2","Two-Year")</f>
        <v>459368.03333333327</v>
      </c>
      <c r="W119" s="18">
        <f>+GETPIVOTDATA("Undergrad Student Credit Hour  FTE - Old",'FTE Pivot for regular counts'!$A$2,"State","TX","Category","12","Category2","Technical")</f>
        <v>0</v>
      </c>
      <c r="X119" s="15">
        <f>+GETPIVOTDATA("Undergrad Student Credit Hour  FTE - Old",'FTE Pivot for regular counts'!$A$2,"State","TX","Category","13","Category2","Technical")</f>
        <v>0</v>
      </c>
      <c r="Y119" s="25">
        <f>+GETPIVOTDATA("Undergrad Student Credit Hour  FTE - Old",'FTE Pivot for regular counts'!$A$2,"State","TX","Category2","Technical")</f>
        <v>0</v>
      </c>
      <c r="Z119" s="25"/>
    </row>
    <row r="120" spans="1:26" ht="15" customHeight="1">
      <c r="A120" s="1" t="s">
        <v>78</v>
      </c>
      <c r="B120" s="15">
        <f>+GETPIVOTDATA("Undergrad Student Credit Hour FTE - New",'FTE Pivot for regular counts'!$A$2,"State","VA","Category","7","Category2","Two-Year")</f>
        <v>0</v>
      </c>
      <c r="C120" s="15">
        <f>+GETPIVOTDATA("Undergrad Student Credit Hour FTE - New",'FTE Pivot for regular counts'!$A$2,"State","VA","Category","8","Category2","Two-Year")</f>
        <v>71586.55</v>
      </c>
      <c r="D120" s="15">
        <f>+GETPIVOTDATA("Undergrad Student Credit Hour FTE - New",'FTE Pivot for regular counts'!$A$2,"State","VA","Category","9","Category2","Two-Year")</f>
        <v>33529</v>
      </c>
      <c r="E120" s="15">
        <f>+GETPIVOTDATA("Undergrad Student Credit Hour FTE - New",'FTE Pivot for regular counts'!$A$2,"State","VA","Category","10","Category2","Two-Year")</f>
        <v>10137.866666666667</v>
      </c>
      <c r="F120" s="23">
        <f>+GETPIVOTDATA("Undergrad Student Credit Hour FTE - New",'FTE Pivot for regular counts'!$A$2,"State","VA","Category2","Two-Year")</f>
        <v>115253.41666666667</v>
      </c>
      <c r="G120" s="18">
        <f>+GETPIVOTDATA("Undergrad Student Credit Hour FTE - New",'FTE Pivot for regular counts'!$A$2,"State","VA","Category","12","Category2","Technical")</f>
        <v>0</v>
      </c>
      <c r="H120" s="102">
        <f>+GETPIVOTDATA("Undergrad Student Credit Hour FTE - New",'FTE Pivot for regular counts'!$A$2,"State","VA","Category","13","Category2","Technical")</f>
        <v>0</v>
      </c>
      <c r="I120" s="73">
        <f>+GETPIVOTDATA("Undergrad Student Credit Hour FTE - New",'FTE Pivot for regular counts'!$A$2,"State","VA","Category2","Technical")</f>
        <v>0</v>
      </c>
      <c r="K120" s="73"/>
      <c r="L120" s="73"/>
      <c r="Q120" s="1" t="s">
        <v>78</v>
      </c>
      <c r="R120" s="15">
        <f>+GETPIVOTDATA("Undergrad Student Credit Hour  FTE - Old",'FTE Pivot for regular counts'!$A$2,"State","VA","Category","7","Category2","Two-Year")</f>
        <v>0</v>
      </c>
      <c r="S120" s="15">
        <f>+GETPIVOTDATA("Undergrad Student Credit Hour  FTE - Old",'FTE Pivot for regular counts'!$A$2,"State","VA","Category","8","Category2","Two-Year")</f>
        <v>75081.7</v>
      </c>
      <c r="T120" s="15">
        <f>+GETPIVOTDATA("Undergrad Student Credit Hour  FTE - Old",'FTE Pivot for regular counts'!$A$2,"State","VA","Category","9","Category2","Two-Year")</f>
        <v>35035.166666666664</v>
      </c>
      <c r="U120" s="15">
        <f>+GETPIVOTDATA("Undergrad Student Credit Hour  FTE - Old",'FTE Pivot for regular counts'!$A$2,"State","VA","Category","10","Category2","Two-Year")</f>
        <v>10146.466666666665</v>
      </c>
      <c r="V120" s="23">
        <f>+GETPIVOTDATA("Undergrad Student Credit Hour  FTE - Old",'FTE Pivot for regular counts'!$A$2,"State","VA","Category2","Two-Year")</f>
        <v>120263.33333333333</v>
      </c>
      <c r="W120" s="18">
        <f>+GETPIVOTDATA("Undergrad Student Credit Hour  FTE - Old",'FTE Pivot for regular counts'!$A$2,"State","VA","Category","12","Category2","Technical")</f>
        <v>0</v>
      </c>
      <c r="X120" s="15">
        <f>+GETPIVOTDATA("Undergrad Student Credit Hour  FTE - Old",'FTE Pivot for regular counts'!$A$2,"State","VA","Category","13","Category2","Technical")</f>
        <v>0</v>
      </c>
      <c r="Y120" s="25">
        <f>+GETPIVOTDATA("Undergrad Student Credit Hour  FTE - Old",'FTE Pivot for regular counts'!$A$2,"State","VA","Category2","Technical")</f>
        <v>0</v>
      </c>
      <c r="Z120" s="25"/>
    </row>
    <row r="121" spans="1:26" ht="15" customHeight="1">
      <c r="A121" s="3" t="s">
        <v>79</v>
      </c>
      <c r="B121" s="6">
        <f>+GETPIVOTDATA("Undergrad Student Credit Hour FTE - New",'FTE Pivot for regular counts'!$A$2,"State","WV","Category","7","Category2","Two-Year")</f>
        <v>1251.7333333333333</v>
      </c>
      <c r="C121" s="6">
        <f>+GETPIVOTDATA("Undergrad Student Credit Hour FTE - New",'FTE Pivot for regular counts'!$A$2,"State","WV","Category","8","Category2","Two-Year")</f>
        <v>0</v>
      </c>
      <c r="D121" s="6">
        <f>+GETPIVOTDATA("Undergrad Student Credit Hour FTE - New",'FTE Pivot for regular counts'!$A$2,"State","WV","Category","9","Category2","Two-Year")</f>
        <v>2911.833333333333</v>
      </c>
      <c r="E121" s="6">
        <f>+GETPIVOTDATA("Undergrad Student Credit Hour FTE - New",'FTE Pivot for regular counts'!$A$2,"State","WV","Category","10","Category2","Two-Year")</f>
        <v>7977.623333333333</v>
      </c>
      <c r="F121" s="24">
        <f>+GETPIVOTDATA("Undergrad Student Credit Hour FTE - New",'FTE Pivot for regular counts'!$A$2,"State","WV","Category2","Two-Year")</f>
        <v>12141.189999999999</v>
      </c>
      <c r="G121" s="19">
        <f>+GETPIVOTDATA("Undergrad Student Credit Hour FTE - New",'FTE Pivot for regular counts'!$A$2,"State","WV","Category","12","Category2","Technical")</f>
        <v>0</v>
      </c>
      <c r="H121" s="115">
        <f>+GETPIVOTDATA("Undergrad Student Credit Hour FTE - New",'FTE Pivot for regular counts'!$A$2,"State","WV","Category","13","Category2","Technical")</f>
        <v>0</v>
      </c>
      <c r="I121" s="83">
        <f>+GETPIVOTDATA("Undergrad Student Credit Hour FTE - New",'FTE Pivot for regular counts'!$A$2,"State","WV","Category2","Technical")</f>
        <v>0</v>
      </c>
      <c r="K121" s="73"/>
      <c r="L121" s="73"/>
      <c r="Q121" s="3" t="s">
        <v>79</v>
      </c>
      <c r="R121" s="6">
        <f>+GETPIVOTDATA("Undergrad Student Credit Hour  FTE - Old",'FTE Pivot for regular counts'!$A$2,"State","WV","Category","7","Category2","Two-Year")</f>
        <v>1321.5333333333333</v>
      </c>
      <c r="S121" s="6">
        <f>+GETPIVOTDATA("Undergrad Student Credit Hour  FTE - Old",'FTE Pivot for regular counts'!$A$2,"State","WV","Category","8","Category2","Two-Year")</f>
        <v>0</v>
      </c>
      <c r="T121" s="6">
        <f>+GETPIVOTDATA("Undergrad Student Credit Hour  FTE - Old",'FTE Pivot for regular counts'!$A$2,"State","WV","Category","9","Category2","Two-Year")</f>
        <v>3501.8</v>
      </c>
      <c r="U121" s="6">
        <f>+GETPIVOTDATA("Undergrad Student Credit Hour  FTE - Old",'FTE Pivot for regular counts'!$A$2,"State","WV","Category","10","Category2","Two-Year")</f>
        <v>8512.9299999999985</v>
      </c>
      <c r="V121" s="24">
        <f>+GETPIVOTDATA("Undergrad Student Credit Hour  FTE - Old",'FTE Pivot for regular counts'!$A$2,"State","WV","Category2","Two-Year")</f>
        <v>13336.263333333332</v>
      </c>
      <c r="W121" s="19">
        <f>+GETPIVOTDATA("Undergrad Student Credit Hour  FTE - Old",'FTE Pivot for regular counts'!$A$2,"State","WV","Category","12","Category2","Technical")</f>
        <v>0</v>
      </c>
      <c r="X121" s="6">
        <f>+GETPIVOTDATA("Undergrad Student Credit Hour  FTE - Old",'FTE Pivot for regular counts'!$A$2,"State","WV","Category","13","Category2","Technical")</f>
        <v>0</v>
      </c>
      <c r="Y121" s="3">
        <f>+GETPIVOTDATA("Undergrad Student Credit Hour  FTE - Old",'FTE Pivot for regular counts'!$A$2,"State","WV","Category2","Technical")</f>
        <v>0</v>
      </c>
      <c r="Z121" s="25"/>
    </row>
    <row r="122" spans="1:26" ht="36.75" customHeight="1">
      <c r="A122" s="831" t="s">
        <v>976</v>
      </c>
      <c r="B122" s="831"/>
      <c r="C122" s="831"/>
      <c r="D122" s="831"/>
      <c r="E122" s="831"/>
      <c r="F122" s="831"/>
      <c r="G122" s="831"/>
      <c r="H122" s="831"/>
      <c r="I122" s="831"/>
      <c r="J122" s="315"/>
      <c r="K122" s="162"/>
      <c r="L122" s="162"/>
      <c r="M122" s="195"/>
    </row>
    <row r="123" spans="1:26" ht="10.5" customHeight="1">
      <c r="I123" s="524" t="s">
        <v>975</v>
      </c>
      <c r="J123" s="168"/>
      <c r="K123" s="168"/>
      <c r="L123" s="168"/>
      <c r="M123" s="196"/>
    </row>
    <row r="124" spans="1:26" ht="18">
      <c r="A124" s="835" t="s">
        <v>167</v>
      </c>
      <c r="B124" s="835"/>
      <c r="C124" s="835"/>
      <c r="D124" s="835"/>
      <c r="E124" s="835"/>
      <c r="F124" s="835"/>
      <c r="G124" s="835"/>
      <c r="H124" s="835"/>
      <c r="I124" s="835"/>
      <c r="J124" s="835"/>
      <c r="K124" s="163"/>
      <c r="L124" s="163"/>
      <c r="M124" s="177"/>
    </row>
    <row r="125" spans="1:26" ht="15.75">
      <c r="A125" s="77"/>
      <c r="B125" s="17"/>
      <c r="C125" s="43"/>
      <c r="D125" s="55"/>
      <c r="E125" s="17"/>
      <c r="F125" s="17"/>
      <c r="G125" s="17"/>
      <c r="H125" s="116"/>
      <c r="I125" s="17"/>
      <c r="J125" s="116"/>
      <c r="K125" s="116"/>
      <c r="L125" s="116"/>
      <c r="Q125" s="1" t="s">
        <v>38</v>
      </c>
    </row>
    <row r="126" spans="1:26" ht="15.75">
      <c r="A126" s="836" t="s">
        <v>35</v>
      </c>
      <c r="B126" s="836"/>
      <c r="C126" s="836"/>
      <c r="D126" s="836"/>
      <c r="E126" s="836"/>
      <c r="F126" s="836"/>
      <c r="G126" s="836"/>
      <c r="H126" s="836"/>
      <c r="I126" s="836"/>
      <c r="J126" s="836"/>
      <c r="K126" s="131"/>
      <c r="L126" s="131"/>
      <c r="Q126" s="191" t="s">
        <v>35</v>
      </c>
      <c r="R126" s="131"/>
      <c r="S126" s="131"/>
      <c r="T126" s="131"/>
      <c r="U126" s="131"/>
      <c r="V126" s="131"/>
      <c r="W126" s="131"/>
      <c r="X126" s="131"/>
      <c r="Y126" s="131"/>
      <c r="Z126" s="131"/>
    </row>
    <row r="127" spans="1:26" ht="15.75">
      <c r="A127" s="837" t="s">
        <v>972</v>
      </c>
      <c r="B127" s="837"/>
      <c r="C127" s="837"/>
      <c r="D127" s="837"/>
      <c r="E127" s="837"/>
      <c r="F127" s="837"/>
      <c r="G127" s="837"/>
      <c r="H127" s="837"/>
      <c r="I127" s="837"/>
      <c r="J127" s="837"/>
      <c r="K127" s="131"/>
      <c r="L127" s="131"/>
      <c r="Q127" s="191" t="s">
        <v>170</v>
      </c>
      <c r="R127" s="131"/>
      <c r="S127" s="131"/>
      <c r="T127" s="131"/>
      <c r="U127" s="131"/>
      <c r="V127" s="131"/>
      <c r="W127" s="131"/>
      <c r="X127" s="131"/>
      <c r="Y127" s="131"/>
      <c r="Z127" s="131"/>
    </row>
    <row r="128" spans="1:26">
      <c r="A128" s="22"/>
      <c r="B128" s="22"/>
      <c r="C128" s="22"/>
      <c r="D128" s="22"/>
      <c r="E128" s="22"/>
      <c r="F128" s="22"/>
      <c r="G128" s="22"/>
      <c r="H128" s="105"/>
      <c r="I128" s="22"/>
      <c r="J128" s="105"/>
      <c r="K128" s="105"/>
      <c r="L128" s="105"/>
      <c r="Q128" s="22"/>
      <c r="R128" s="22"/>
      <c r="S128" s="22"/>
      <c r="T128" s="22"/>
      <c r="U128" s="22"/>
      <c r="V128" s="22"/>
      <c r="W128" s="22"/>
      <c r="X128" s="22"/>
      <c r="Y128" s="22"/>
      <c r="Z128" s="22"/>
    </row>
    <row r="129" spans="1:25">
      <c r="A129" s="376"/>
      <c r="B129" s="377" t="s">
        <v>63</v>
      </c>
      <c r="C129" s="377"/>
      <c r="D129" s="336"/>
      <c r="E129" s="336"/>
      <c r="F129" s="336"/>
      <c r="G129" s="378" t="s">
        <v>45</v>
      </c>
      <c r="H129" s="107"/>
      <c r="I129" s="379"/>
      <c r="J129" s="169" t="s">
        <v>28</v>
      </c>
      <c r="K129" s="169"/>
      <c r="L129" s="73"/>
      <c r="M129" s="1"/>
      <c r="P129" s="61"/>
      <c r="Q129" s="56" t="s">
        <v>63</v>
      </c>
      <c r="R129" s="56"/>
      <c r="S129" s="27"/>
      <c r="T129" s="27"/>
      <c r="U129" s="27"/>
      <c r="V129" s="57" t="s">
        <v>45</v>
      </c>
      <c r="W129" s="29"/>
      <c r="X129" s="30"/>
      <c r="Y129" s="389" t="s">
        <v>28</v>
      </c>
    </row>
    <row r="130" spans="1:25" ht="24">
      <c r="A130" s="45"/>
      <c r="B130" s="58" t="s">
        <v>140</v>
      </c>
      <c r="C130" s="46">
        <v>1</v>
      </c>
      <c r="D130" s="46">
        <v>2</v>
      </c>
      <c r="E130" s="46">
        <v>3</v>
      </c>
      <c r="F130" s="46" t="s">
        <v>30</v>
      </c>
      <c r="G130" s="60">
        <v>1</v>
      </c>
      <c r="H130" s="93">
        <v>2</v>
      </c>
      <c r="I130" s="92" t="s">
        <v>30</v>
      </c>
      <c r="J130" s="122"/>
      <c r="K130" s="122"/>
      <c r="L130" s="73"/>
      <c r="M130" s="1"/>
      <c r="P130" s="45"/>
      <c r="Q130" s="58" t="s">
        <v>140</v>
      </c>
      <c r="R130" s="46">
        <v>1</v>
      </c>
      <c r="S130" s="46">
        <v>2</v>
      </c>
      <c r="T130" s="46">
        <v>3</v>
      </c>
      <c r="U130" s="46" t="s">
        <v>30</v>
      </c>
      <c r="V130" s="60">
        <v>1</v>
      </c>
      <c r="W130" s="47">
        <v>2</v>
      </c>
      <c r="X130" s="46" t="s">
        <v>30</v>
      </c>
      <c r="Y130" s="390"/>
    </row>
    <row r="131" spans="1:25" ht="15" customHeight="1">
      <c r="A131" s="1" t="s">
        <v>64</v>
      </c>
      <c r="B131" s="7">
        <f>+GETPIVOTDATA(" Undergrad Contact Hour FTE - New",'FTE Pivot for regular counts'!$A$2,"Category","7","Category2","Two-Year")</f>
        <v>17699.74666666667</v>
      </c>
      <c r="C131" s="7">
        <f>+GETPIVOTDATA(" Undergrad Contact Hour FTE - New",'FTE Pivot for regular counts'!$A$2,"Category","8","Category2","Two-Year")</f>
        <v>28416.297777777778</v>
      </c>
      <c r="D131" s="7">
        <f>+GETPIVOTDATA(" Undergrad Contact Hour FTE - New",'FTE Pivot for regular counts'!$A$2,"Category","9","Category2","Two-Year")</f>
        <v>20293.836666666666</v>
      </c>
      <c r="E131" s="7">
        <f>+GETPIVOTDATA(" Undergrad Contact Hour FTE - New",'FTE Pivot for regular counts'!$A$2,"Category","10","Category2","Two-Year")</f>
        <v>8506.0244444444434</v>
      </c>
      <c r="F131" s="8">
        <f>+GETPIVOTDATA(" Undergrad Contact Hour FTE - New",'FTE Pivot for regular counts'!$A$2,"Category2","Two-Year")</f>
        <v>74915.905555555553</v>
      </c>
      <c r="G131" s="7">
        <f>+GETPIVOTDATA(" Undergrad Contact Hour FTE - New",'FTE Pivot for regular counts'!$A$2,"Category","12","Category2","Technical")</f>
        <v>5860.0292111111103</v>
      </c>
      <c r="H131" s="117">
        <f>+GETPIVOTDATA(" Undergrad Contact Hour FTE - New",'FTE Pivot for regular counts'!$A$2,"Category","13","Category2","Technical")</f>
        <v>25295.632422222225</v>
      </c>
      <c r="I131" s="117">
        <f>+GETPIVOTDATA(" Undergrad Contact Hour FTE - New",'FTE Pivot for regular counts'!$A$2,"Category2","Technical")</f>
        <v>31155.661633333337</v>
      </c>
      <c r="J131" s="117"/>
      <c r="K131" s="117"/>
      <c r="L131" s="73"/>
      <c r="M131" s="1"/>
      <c r="P131" s="1" t="s">
        <v>64</v>
      </c>
      <c r="Q131" s="7">
        <f>+GETPIVOTDATA(" Undergrad Contact Hour FTE - Old",'FTE Pivot for regular counts'!$A$2,"Category","7","Category2","Two-Year")</f>
        <v>17641.624444444446</v>
      </c>
      <c r="R131" s="7">
        <f>+GETPIVOTDATA(" Undergrad Contact Hour FTE - Old",'FTE Pivot for regular counts'!$A$2,"Category","8","Category2","Two-Year")</f>
        <v>28164.647777777776</v>
      </c>
      <c r="S131" s="7">
        <f>+GETPIVOTDATA(" Undergrad Contact Hour FTE - Old",'FTE Pivot for regular counts'!$A$2,"Category","9","Category2","Two-Year")</f>
        <v>21287.156666666669</v>
      </c>
      <c r="T131" s="7">
        <f>+GETPIVOTDATA(" Undergrad Contact Hour FTE - Old",'FTE Pivot for regular counts'!$A$2,"Category","10","Category2","Two-Year")</f>
        <v>8952.6066666666648</v>
      </c>
      <c r="U131" s="8">
        <f>+GETPIVOTDATA(" Undergrad Contact Hour FTE - Old",'FTE Pivot for regular counts'!$A$2,"Category2","Two-Year")</f>
        <v>76046.035555555558</v>
      </c>
      <c r="V131" s="7">
        <f>+GETPIVOTDATA(" Undergrad Contact Hour FTE - Old",'FTE Pivot for regular counts'!$A$2,"Category","12","Category2","Technical")</f>
        <v>5904.1132333333335</v>
      </c>
      <c r="W131" s="7">
        <f>+GETPIVOTDATA(" Undergrad Contact Hour FTE - Old",'FTE Pivot for regular counts'!$A$2,"Category","13","Category2","Technical")</f>
        <v>25112.060677777776</v>
      </c>
      <c r="X131" s="7">
        <f>+GETPIVOTDATA(" Undergrad Contact Hour FTE - Old",'FTE Pivot for regular counts'!$A$2,"Category2","Technical")</f>
        <v>31016.173911111109</v>
      </c>
      <c r="Y131" s="32"/>
    </row>
    <row r="132" spans="1:25" ht="15" customHeight="1">
      <c r="B132" s="7"/>
      <c r="C132" s="32"/>
      <c r="D132" s="32"/>
      <c r="G132" s="31"/>
      <c r="I132" s="4"/>
      <c r="L132" s="73"/>
      <c r="M132" s="1"/>
      <c r="Q132" s="7"/>
      <c r="R132" s="32"/>
      <c r="S132" s="32"/>
      <c r="V132" s="31"/>
      <c r="Y132" s="25"/>
    </row>
    <row r="133" spans="1:25" ht="15" customHeight="1">
      <c r="A133" s="1" t="s">
        <v>65</v>
      </c>
      <c r="B133" s="7">
        <f>+GETPIVOTDATA(" Undergrad Contact Hour FTE - New",'FTE Pivot for regular counts'!$A$2,"State","AL","Category","7","Category2","Two-Year")</f>
        <v>0</v>
      </c>
      <c r="C133" s="7">
        <f>+GETPIVOTDATA(" Undergrad Contact Hour FTE - New",'FTE Pivot for regular counts'!$A$2,"State","AL","Category","8","Category2","Two-Year")</f>
        <v>0</v>
      </c>
      <c r="D133" s="7">
        <f>+GETPIVOTDATA(" Undergrad Contact Hour FTE - New",'FTE Pivot for regular counts'!$A$2,"State","AL","Category","9","Category2","Two-Year")</f>
        <v>0</v>
      </c>
      <c r="E133" s="7">
        <f>+GETPIVOTDATA(" Undergrad Contact Hour FTE - New",'FTE Pivot for regular counts'!$A$2,"State","AL","Category","10","Category2","Two-Year")</f>
        <v>0</v>
      </c>
      <c r="F133" s="8">
        <f>+GETPIVOTDATA(" Undergrad Contact Hour FTE - New",'FTE Pivot for regular counts'!$A$2,"State","AL","Category2","Two-Year")</f>
        <v>0</v>
      </c>
      <c r="G133" s="7">
        <f>+GETPIVOTDATA(" Undergrad Contact Hour FTE - New",'FTE Pivot for regular counts'!$A$2,"State","AL","Category","12","Category2","Technical")</f>
        <v>0</v>
      </c>
      <c r="H133" s="117">
        <f>+GETPIVOTDATA(" Undergrad Contact Hour FTE - New",'FTE Pivot for regular counts'!$A$2,"State","AL","Category","13","Category2","Technical")</f>
        <v>0</v>
      </c>
      <c r="I133" s="117">
        <f>+GETPIVOTDATA(" Undergrad Contact Hour FTE - New",'FTE Pivot for regular counts'!$A$2,"State","AL","Category2","Technical")</f>
        <v>0</v>
      </c>
      <c r="J133" s="117"/>
      <c r="K133" s="117"/>
      <c r="L133" s="73"/>
      <c r="M133" s="1"/>
      <c r="P133" s="1" t="s">
        <v>65</v>
      </c>
      <c r="Q133" s="7">
        <f>+GETPIVOTDATA(" Undergrad Contact Hour FTE - Old",'FTE Pivot for regular counts'!$A$2,"State","AL","Category","7","Category2","Two-Year")</f>
        <v>0</v>
      </c>
      <c r="R133" s="7">
        <f>+GETPIVOTDATA(" Undergrad Contact Hour FTE - Old",'FTE Pivot for regular counts'!$A$2,"State","AL","Category","8","Category2","Two-Year")</f>
        <v>0</v>
      </c>
      <c r="S133" s="7">
        <f>+GETPIVOTDATA(" Undergrad Contact Hour FTE - Old",'FTE Pivot for regular counts'!$A$2,"State","AL","Category","9","Category2","Two-Year")</f>
        <v>0</v>
      </c>
      <c r="T133" s="7">
        <f>+GETPIVOTDATA(" Undergrad Contact Hour FTE - Old",'FTE Pivot for regular counts'!$A$2,"State","AL","Category","10","Category2","Two-Year")</f>
        <v>0</v>
      </c>
      <c r="U133" s="8">
        <f>+GETPIVOTDATA(" Undergrad Contact Hour FTE - Old",'FTE Pivot for regular counts'!$A$2,"State","AL","Category2","Two-Year")</f>
        <v>0</v>
      </c>
      <c r="V133" s="7">
        <f>+GETPIVOTDATA(" Undergrad Contact Hour FTE - Old",'FTE Pivot for regular counts'!$A$2,"State","AL","Category","12","Category2","Technical")</f>
        <v>0</v>
      </c>
      <c r="W133" s="7">
        <f>+GETPIVOTDATA(" Undergrad Contact Hour FTE - Old",'FTE Pivot for regular counts'!$A$2,"State","AL","Category","13","Category2","Technical")</f>
        <v>0</v>
      </c>
      <c r="X133" s="7">
        <f>+GETPIVOTDATA(" Undergrad Contact Hour FTE - Old",'FTE Pivot for regular counts'!$A$2,"State","AL","Category2","Technical")</f>
        <v>0</v>
      </c>
      <c r="Y133" s="32"/>
    </row>
    <row r="134" spans="1:25" ht="15" customHeight="1">
      <c r="A134" s="1" t="s">
        <v>66</v>
      </c>
      <c r="B134" s="32">
        <f>+GETPIVOTDATA(" Undergrad Contact Hour FTE - New",'FTE Pivot for regular counts'!$A$2,"State","AR","Category","7","Category2","Two-Year")</f>
        <v>0</v>
      </c>
      <c r="C134" s="32">
        <f>+GETPIVOTDATA(" Undergrad Contact Hour FTE - New",'FTE Pivot for regular counts'!$A$2,"State","AR","Category","8","Category2","Two-Year")</f>
        <v>0</v>
      </c>
      <c r="D134" s="32">
        <f>+GETPIVOTDATA(" Undergrad Contact Hour FTE - New",'FTE Pivot for regular counts'!$A$2,"State","AR","Category","9","Category2","Two-Year")</f>
        <v>0</v>
      </c>
      <c r="E134" s="32">
        <f>+GETPIVOTDATA(" Undergrad Contact Hour FTE - New",'FTE Pivot for regular counts'!$A$2,"State","AR","Category","10","Category2","Two-Year")</f>
        <v>0</v>
      </c>
      <c r="F134" s="8">
        <f>+GETPIVOTDATA(" Undergrad Contact Hour FTE - New",'FTE Pivot for regular counts'!$A$2,"State","AR","Category2","Two-Year")</f>
        <v>0</v>
      </c>
      <c r="G134" s="32">
        <f>+GETPIVOTDATA(" Undergrad Contact Hour FTE - New",'FTE Pivot for regular counts'!$A$2,"State","AR","Category","12","Category2","Technical")</f>
        <v>0</v>
      </c>
      <c r="H134" s="118">
        <f>+GETPIVOTDATA(" Undergrad Contact Hour FTE - New",'FTE Pivot for regular counts'!$A$2,"State","AR","Category","13","Category2","Technical")</f>
        <v>0</v>
      </c>
      <c r="I134" s="118">
        <f>+GETPIVOTDATA(" Undergrad Contact Hour FTE - New",'FTE Pivot for regular counts'!$A$2,"State","AR","Category2","Technical")</f>
        <v>0</v>
      </c>
      <c r="J134" s="118"/>
      <c r="K134" s="118"/>
      <c r="L134" s="73"/>
      <c r="M134" s="1"/>
      <c r="P134" s="1" t="s">
        <v>66</v>
      </c>
      <c r="Q134" s="32">
        <f>+GETPIVOTDATA(" Undergrad Contact Hour FTE - Old",'FTE Pivot for regular counts'!$A$2,"State","AR","Category","7","Category2","Two-Year")</f>
        <v>0</v>
      </c>
      <c r="R134" s="32">
        <f>+GETPIVOTDATA(" Undergrad Contact Hour FTE - Old",'FTE Pivot for regular counts'!$A$2,"State","AR","Category","8","Category2","Two-Year")</f>
        <v>0</v>
      </c>
      <c r="S134" s="32">
        <f>+GETPIVOTDATA(" Undergrad Contact Hour FTE - Old",'FTE Pivot for regular counts'!$A$2,"State","AR","Category","9","Category2","Two-Year")</f>
        <v>0</v>
      </c>
      <c r="T134" s="32">
        <f>+GETPIVOTDATA(" Undergrad Contact Hour FTE - Old",'FTE Pivot for regular counts'!$A$2,"State","AR","Category","10","Category2","Two-Year")</f>
        <v>0</v>
      </c>
      <c r="U134" s="8">
        <f>+GETPIVOTDATA(" Undergrad Contact Hour FTE - Old",'FTE Pivot for regular counts'!$A$2,"State","AR","Category2","Two-Year")</f>
        <v>0</v>
      </c>
      <c r="V134" s="32">
        <f>+GETPIVOTDATA(" Undergrad Contact Hour FTE - Old",'FTE Pivot for regular counts'!$A$2,"State","AR","Category","12","Category2","Technical")</f>
        <v>0</v>
      </c>
      <c r="W134" s="32">
        <f>+GETPIVOTDATA(" Undergrad Contact Hour FTE - Old",'FTE Pivot for regular counts'!$A$2,"State","AR","Category","13","Category2","Technical")</f>
        <v>0</v>
      </c>
      <c r="X134" s="32">
        <f>+GETPIVOTDATA(" Undergrad Contact Hour FTE - Old",'FTE Pivot for regular counts'!$A$2,"State","AR","Category2","Technical")</f>
        <v>0</v>
      </c>
      <c r="Y134" s="32"/>
    </row>
    <row r="135" spans="1:25" ht="15" customHeight="1">
      <c r="A135" s="1" t="s">
        <v>102</v>
      </c>
      <c r="B135" s="32">
        <f>+GETPIVOTDATA(" Undergrad Contact Hour FTE - New",'FTE Pivot for regular counts'!$A$2,"State","DE","Category","7","Category2","Two-Year")</f>
        <v>0</v>
      </c>
      <c r="C135" s="32">
        <f>+GETPIVOTDATA(" Undergrad Contact Hour FTE - New",'FTE Pivot for regular counts'!$A$2,"State","DE","Category","8","Category2","Two-Year")</f>
        <v>0</v>
      </c>
      <c r="D135" s="32">
        <f>+GETPIVOTDATA(" Undergrad Contact Hour FTE - New",'FTE Pivot for regular counts'!$A$2,"State","DE","Category","9","Category2","Two-Year")</f>
        <v>0</v>
      </c>
      <c r="E135" s="32">
        <f>+GETPIVOTDATA(" Undergrad Contact Hour FTE - New",'FTE Pivot for regular counts'!$A$2,"State","DE","Category","10","Category2","Two-Year")</f>
        <v>0</v>
      </c>
      <c r="F135" s="8">
        <f>+GETPIVOTDATA(" Undergrad Contact Hour FTE - New",'FTE Pivot for regular counts'!$A$2,"State","DE","Category2","Two-Year")</f>
        <v>0</v>
      </c>
      <c r="G135" s="32">
        <f>+GETPIVOTDATA(" Undergrad Contact Hour FTE - New",'FTE Pivot for regular counts'!$A$2,"State","DE","Category","12","Category2","Technical")</f>
        <v>0</v>
      </c>
      <c r="H135" s="118">
        <f>+GETPIVOTDATA(" Undergrad Contact Hour FTE - New",'FTE Pivot for regular counts'!$A$2,"State","DE","Category","13","Category2","Technical")</f>
        <v>0</v>
      </c>
      <c r="I135" s="118">
        <f>+GETPIVOTDATA(" Undergrad Contact Hour FTE - New",'FTE Pivot for regular counts'!$A$2,"State","DE","Category2","Technical")</f>
        <v>0</v>
      </c>
      <c r="J135" s="118"/>
      <c r="K135" s="118"/>
      <c r="L135" s="73"/>
      <c r="M135" s="1"/>
      <c r="P135" s="1" t="s">
        <v>102</v>
      </c>
      <c r="Q135" s="32">
        <f>+GETPIVOTDATA(" Undergrad Contact Hour FTE - Old",'FTE Pivot for regular counts'!$A$2,"State","DE","Category","7","Category2","Two-Year")</f>
        <v>0</v>
      </c>
      <c r="R135" s="32">
        <f>+GETPIVOTDATA(" Undergrad Contact Hour FTE - Old",'FTE Pivot for regular counts'!$A$2,"State","DE","Category","8","Category2","Two-Year")</f>
        <v>0</v>
      </c>
      <c r="S135" s="32">
        <f>+GETPIVOTDATA(" Undergrad Contact Hour FTE - Old",'FTE Pivot for regular counts'!$A$2,"State","DE","Category","9","Category2","Two-Year")</f>
        <v>0</v>
      </c>
      <c r="T135" s="32">
        <f>+GETPIVOTDATA(" Undergrad Contact Hour FTE - Old",'FTE Pivot for regular counts'!$A$2,"State","DE","Category","10","Category2","Two-Year")</f>
        <v>0</v>
      </c>
      <c r="U135" s="8">
        <f>+GETPIVOTDATA(" Undergrad Contact Hour FTE - Old",'FTE Pivot for regular counts'!$A$2,"State","DE","Category2","Two-Year")</f>
        <v>0</v>
      </c>
      <c r="V135" s="32">
        <f>+GETPIVOTDATA(" Undergrad Contact Hour FTE - Old",'FTE Pivot for regular counts'!$A$2,"State","DE","Category","12","Category2","Technical")</f>
        <v>0</v>
      </c>
      <c r="W135" s="32">
        <f>+GETPIVOTDATA(" Undergrad Contact Hour FTE - Old",'FTE Pivot for regular counts'!$A$2,"State","DE","Category","13","Category2","Technical")</f>
        <v>0</v>
      </c>
      <c r="X135" s="32">
        <f>+GETPIVOTDATA(" Undergrad Contact Hour FTE - Old",'FTE Pivot for regular counts'!$A$2,"State","DE","Category2","Technical")</f>
        <v>0</v>
      </c>
      <c r="Y135" s="32"/>
    </row>
    <row r="136" spans="1:25" ht="15" customHeight="1">
      <c r="A136" s="1" t="s">
        <v>67</v>
      </c>
      <c r="B136" s="32">
        <f>+GETPIVOTDATA(" Undergrad Contact Hour FTE - New",'FTE Pivot for regular counts'!$A$2,"State","FL","Category","7","Category2","Two-Year")</f>
        <v>16593.296666666669</v>
      </c>
      <c r="C136" s="32">
        <f>+GETPIVOTDATA(" Undergrad Contact Hour FTE - New",'FTE Pivot for regular counts'!$A$2,"State","FL","Category","8","Category2","Two-Year")</f>
        <v>3179.7666666666669</v>
      </c>
      <c r="D136" s="32">
        <f>+GETPIVOTDATA(" Undergrad Contact Hour FTE - New",'FTE Pivot for regular counts'!$A$2,"State","FL","Category","9","Category2","Two-Year")</f>
        <v>932.18333333333328</v>
      </c>
      <c r="E136" s="32">
        <f>+GETPIVOTDATA(" Undergrad Contact Hour FTE - New",'FTE Pivot for regular counts'!$A$2,"State","FL","Category","10","Category2","Two-Year")</f>
        <v>156.45333333333332</v>
      </c>
      <c r="F136" s="8">
        <f>+GETPIVOTDATA(" Undergrad Contact Hour FTE - New",'FTE Pivot for regular counts'!$A$2,"State","FL","Category2","Two-Year")</f>
        <v>20861.700000000004</v>
      </c>
      <c r="G136" s="32">
        <f>+GETPIVOTDATA(" Undergrad Contact Hour FTE - New",'FTE Pivot for regular counts'!$A$2,"State","FL","Category","12","Category2","Technical")</f>
        <v>0</v>
      </c>
      <c r="H136" s="118">
        <f>+GETPIVOTDATA(" Undergrad Contact Hour FTE - New",'FTE Pivot for regular counts'!$A$2,"State","FL","Category","13","Category2","Technical")</f>
        <v>0</v>
      </c>
      <c r="I136" s="118">
        <f>+GETPIVOTDATA(" Undergrad Contact Hour FTE - New",'FTE Pivot for regular counts'!$A$2,"State","FL","Category2","Technical")</f>
        <v>0</v>
      </c>
      <c r="J136" s="118"/>
      <c r="K136" s="118"/>
      <c r="L136" s="73"/>
      <c r="M136" s="1"/>
      <c r="P136" s="1" t="s">
        <v>67</v>
      </c>
      <c r="Q136" s="32">
        <f>+GETPIVOTDATA(" Undergrad Contact Hour FTE - Old",'FTE Pivot for regular counts'!$A$2,"State","FL","Category","7","Category2","Two-Year")</f>
        <v>16526.211111111112</v>
      </c>
      <c r="R136" s="32">
        <f>+GETPIVOTDATA(" Undergrad Contact Hour FTE - Old",'FTE Pivot for regular counts'!$A$2,"State","FL","Category","8","Category2","Two-Year")</f>
        <v>3246.0144444444445</v>
      </c>
      <c r="S136" s="32">
        <f>+GETPIVOTDATA(" Undergrad Contact Hour FTE - Old",'FTE Pivot for regular counts'!$A$2,"State","FL","Category","9","Category2","Two-Year")</f>
        <v>926.08888888888896</v>
      </c>
      <c r="T136" s="32">
        <f>+GETPIVOTDATA(" Undergrad Contact Hour FTE - Old",'FTE Pivot for regular counts'!$A$2,"State","FL","Category","10","Category2","Two-Year")</f>
        <v>115.72555555555556</v>
      </c>
      <c r="U136" s="8">
        <f>+GETPIVOTDATA(" Undergrad Contact Hour FTE - Old",'FTE Pivot for regular counts'!$A$2,"State","FL","Category2","Two-Year")</f>
        <v>20814.04</v>
      </c>
      <c r="V136" s="32">
        <f>+GETPIVOTDATA(" Undergrad Contact Hour FTE - Old",'FTE Pivot for regular counts'!$A$2,"State","FL","Category","12","Category2","Technical")</f>
        <v>0</v>
      </c>
      <c r="W136" s="32">
        <f>+GETPIVOTDATA(" Undergrad Contact Hour FTE - Old",'FTE Pivot for regular counts'!$A$2,"State","FL","Category","13","Category2","Technical")</f>
        <v>0</v>
      </c>
      <c r="X136" s="32">
        <f>+GETPIVOTDATA(" Undergrad Contact Hour FTE - Old",'FTE Pivot for regular counts'!$A$2,"State","FL","Category2","Technical")</f>
        <v>0</v>
      </c>
      <c r="Y136" s="32"/>
    </row>
    <row r="137" spans="1:25" ht="15" customHeight="1">
      <c r="B137" s="32"/>
      <c r="C137" s="32"/>
      <c r="D137" s="32"/>
      <c r="E137" s="32"/>
      <c r="F137" s="8"/>
      <c r="G137" s="32"/>
      <c r="H137" s="118"/>
      <c r="I137" s="118"/>
      <c r="J137" s="118"/>
      <c r="K137" s="118"/>
      <c r="L137" s="73"/>
      <c r="M137" s="1"/>
      <c r="Q137" s="32"/>
      <c r="R137" s="32"/>
      <c r="S137" s="32"/>
      <c r="T137" s="32"/>
      <c r="U137" s="8"/>
      <c r="V137" s="32"/>
      <c r="W137" s="32"/>
      <c r="X137" s="32"/>
      <c r="Y137" s="32"/>
    </row>
    <row r="138" spans="1:25" ht="15" customHeight="1">
      <c r="A138" s="1" t="s">
        <v>68</v>
      </c>
      <c r="B138" s="32">
        <f>+GETPIVOTDATA(" Undergrad Contact Hour FTE - New",'FTE Pivot for regular counts'!$A$2,"State","GA","Category","7","Category2","Two-Year")</f>
        <v>0</v>
      </c>
      <c r="C138" s="32">
        <f>+GETPIVOTDATA(" Undergrad Contact Hour FTE - New",'FTE Pivot for regular counts'!$A$2,"State","GA","Category","8","Category2","Two-Year")</f>
        <v>0</v>
      </c>
      <c r="D138" s="32">
        <f>+GETPIVOTDATA(" Undergrad Contact Hour FTE - New",'FTE Pivot for regular counts'!$A$2,"State","GA","Category","9","Category2","Two-Year")</f>
        <v>0</v>
      </c>
      <c r="E138" s="32">
        <f>+GETPIVOTDATA(" Undergrad Contact Hour FTE - New",'FTE Pivot for regular counts'!$A$2,"State","GA","Category","10","Category2","Two-Year")</f>
        <v>0</v>
      </c>
      <c r="F138" s="8">
        <f>+GETPIVOTDATA(" Undergrad Contact Hour FTE - New",'FTE Pivot for regular counts'!$A$2,"State","GA","Category2","Two-Year")</f>
        <v>0</v>
      </c>
      <c r="G138" s="32">
        <f>+GETPIVOTDATA(" Undergrad Contact Hour FTE - New",'FTE Pivot for regular counts'!$A$2,"State","GA","Category","12","Category2","Technical")</f>
        <v>0</v>
      </c>
      <c r="H138" s="118">
        <f>+GETPIVOTDATA(" Undergrad Contact Hour FTE - New",'FTE Pivot for regular counts'!$A$2,"State","GA","Category","13","Category2","Technical")</f>
        <v>0</v>
      </c>
      <c r="I138" s="118">
        <f>+GETPIVOTDATA(" Undergrad Contact Hour FTE - New",'FTE Pivot for regular counts'!$A$2,"State","GA","Category2","Technical")</f>
        <v>0</v>
      </c>
      <c r="J138" s="118"/>
      <c r="K138" s="118"/>
      <c r="L138" s="73"/>
      <c r="M138" s="1"/>
      <c r="P138" s="1" t="s">
        <v>68</v>
      </c>
      <c r="Q138" s="32">
        <f>+GETPIVOTDATA(" Undergrad Contact Hour FTE - Old",'FTE Pivot for regular counts'!$A$2,"State","GA","Category","7","Category2","Two-Year")</f>
        <v>0</v>
      </c>
      <c r="R138" s="32">
        <f>+GETPIVOTDATA(" Undergrad Contact Hour FTE - Old",'FTE Pivot for regular counts'!$A$2,"State","GA","Category","8","Category2","Two-Year")</f>
        <v>0</v>
      </c>
      <c r="S138" s="32">
        <f>+GETPIVOTDATA(" Undergrad Contact Hour FTE - Old",'FTE Pivot for regular counts'!$A$2,"State","GA","Category","9","Category2","Two-Year")</f>
        <v>0</v>
      </c>
      <c r="T138" s="32">
        <f>+GETPIVOTDATA(" Undergrad Contact Hour FTE - Old",'FTE Pivot for regular counts'!$A$2,"State","GA","Category","10","Category2","Two-Year")</f>
        <v>0</v>
      </c>
      <c r="U138" s="8">
        <f>+GETPIVOTDATA(" Undergrad Contact Hour FTE - Old",'FTE Pivot for regular counts'!$A$2,"State","GA","Category2","Two-Year")</f>
        <v>0</v>
      </c>
      <c r="V138" s="32">
        <f>+GETPIVOTDATA(" Undergrad Contact Hour FTE - Old",'FTE Pivot for regular counts'!$A$2,"State","GA","Category","12","Category2","Technical")</f>
        <v>0</v>
      </c>
      <c r="W138" s="32">
        <f>+GETPIVOTDATA(" Undergrad Contact Hour FTE - Old",'FTE Pivot for regular counts'!$A$2,"State","GA","Category","13","Category2","Technical")</f>
        <v>0</v>
      </c>
      <c r="X138" s="32">
        <f>+GETPIVOTDATA(" Undergrad Contact Hour FTE - Old",'FTE Pivot for regular counts'!$A$2,"State","GA","Category2","Technical")</f>
        <v>0</v>
      </c>
      <c r="Y138" s="32"/>
    </row>
    <row r="139" spans="1:25" ht="15" customHeight="1">
      <c r="A139" s="1" t="s">
        <v>69</v>
      </c>
      <c r="B139" s="32">
        <f>+GETPIVOTDATA(" Undergrad Contact Hour FTE - New",'FTE Pivot for regular counts'!$A$2,"State","KY","Category","7","Category2","Two-Year")</f>
        <v>0</v>
      </c>
      <c r="C139" s="32">
        <f>+GETPIVOTDATA(" Undergrad Contact Hour FTE - New",'FTE Pivot for regular counts'!$A$2,"State","KY","Category","8","Category2","Two-Year")</f>
        <v>0</v>
      </c>
      <c r="D139" s="32">
        <f>+GETPIVOTDATA(" Undergrad Contact Hour FTE - New",'FTE Pivot for regular counts'!$A$2,"State","KY","Category","9","Category2","Two-Year")</f>
        <v>0</v>
      </c>
      <c r="E139" s="32">
        <f>+GETPIVOTDATA(" Undergrad Contact Hour FTE - New",'FTE Pivot for regular counts'!$A$2,"State","KY","Category","10","Category2","Two-Year")</f>
        <v>0</v>
      </c>
      <c r="F139" s="8">
        <f>+GETPIVOTDATA(" Undergrad Contact Hour FTE - New",'FTE Pivot for regular counts'!$A$2,"State","KY","Category2","Two-Year")</f>
        <v>0</v>
      </c>
      <c r="G139" s="32">
        <f>+GETPIVOTDATA(" Undergrad Contact Hour FTE - New",'FTE Pivot for regular counts'!$A$2,"State","KY","Category","12","Category2","Technical")</f>
        <v>0</v>
      </c>
      <c r="H139" s="118">
        <f>+GETPIVOTDATA(" Undergrad Contact Hour FTE - New",'FTE Pivot for regular counts'!$A$2,"State","KY","Category","13","Category2","Technical")</f>
        <v>0</v>
      </c>
      <c r="I139" s="118">
        <f>+GETPIVOTDATA(" Undergrad Contact Hour FTE - New",'FTE Pivot for regular counts'!$A$2,"State","KY","Category2","Technical")</f>
        <v>0</v>
      </c>
      <c r="J139" s="118"/>
      <c r="K139" s="118"/>
      <c r="L139" s="73"/>
      <c r="M139" s="1"/>
      <c r="P139" s="1" t="s">
        <v>69</v>
      </c>
      <c r="Q139" s="32">
        <f>+GETPIVOTDATA(" Undergrad Contact Hour FTE - Old",'FTE Pivot for regular counts'!$A$2,"State","KY","Category","7","Category2","Two-Year")</f>
        <v>0</v>
      </c>
      <c r="R139" s="32">
        <f>+GETPIVOTDATA(" Undergrad Contact Hour FTE - Old",'FTE Pivot for regular counts'!$A$2,"State","KY","Category","8","Category2","Two-Year")</f>
        <v>0</v>
      </c>
      <c r="S139" s="32">
        <f>+GETPIVOTDATA(" Undergrad Contact Hour FTE - Old",'FTE Pivot for regular counts'!$A$2,"State","KY","Category","9","Category2","Two-Year")</f>
        <v>0</v>
      </c>
      <c r="T139" s="32">
        <f>+GETPIVOTDATA(" Undergrad Contact Hour FTE - Old",'FTE Pivot for regular counts'!$A$2,"State","KY","Category","10","Category2","Two-Year")</f>
        <v>0</v>
      </c>
      <c r="U139" s="8">
        <f>+GETPIVOTDATA(" Undergrad Contact Hour FTE - Old",'FTE Pivot for regular counts'!$A$2,"State","KY","Category2","Two-Year")</f>
        <v>0</v>
      </c>
      <c r="V139" s="32">
        <f>+GETPIVOTDATA(" Undergrad Contact Hour FTE - Old",'FTE Pivot for regular counts'!$A$2,"State","KY","Category","12","Category2","Technical")</f>
        <v>0</v>
      </c>
      <c r="W139" s="32">
        <f>+GETPIVOTDATA(" Undergrad Contact Hour FTE - Old",'FTE Pivot for regular counts'!$A$2,"State","KY","Category","13","Category2","Technical")</f>
        <v>0</v>
      </c>
      <c r="X139" s="32">
        <f>+GETPIVOTDATA(" Undergrad Contact Hour FTE - Old",'FTE Pivot for regular counts'!$A$2,"State","KY","Category2","Technical")</f>
        <v>0</v>
      </c>
      <c r="Y139" s="32"/>
    </row>
    <row r="140" spans="1:25" ht="15" customHeight="1">
      <c r="A140" s="1" t="s">
        <v>70</v>
      </c>
      <c r="B140" s="32">
        <f>+GETPIVOTDATA(" Undergrad Contact Hour FTE - New",'FTE Pivot for regular counts'!$A$2,"State","LA","Category","7","Category2","Two-Year")</f>
        <v>0</v>
      </c>
      <c r="C140" s="32">
        <f>+GETPIVOTDATA(" Undergrad Contact Hour FTE - New",'FTE Pivot for regular counts'!$A$2,"State","LA","Category","8","Category2","Two-Year")</f>
        <v>0</v>
      </c>
      <c r="D140" s="32">
        <f>+GETPIVOTDATA(" Undergrad Contact Hour FTE - New",'FTE Pivot for regular counts'!$A$2,"State","LA","Category","9","Category2","Two-Year")</f>
        <v>0</v>
      </c>
      <c r="E140" s="32">
        <f>+GETPIVOTDATA(" Undergrad Contact Hour FTE - New",'FTE Pivot for regular counts'!$A$2,"State","LA","Category","10","Category2","Two-Year")</f>
        <v>0</v>
      </c>
      <c r="F140" s="8">
        <f>+GETPIVOTDATA(" Undergrad Contact Hour FTE - New",'FTE Pivot for regular counts'!$A$2,"State","LA","Category2","Two-Year")</f>
        <v>0</v>
      </c>
      <c r="G140" s="32">
        <f>+GETPIVOTDATA(" Undergrad Contact Hour FTE - New",'FTE Pivot for regular counts'!$A$2,"State","LA","Category","12","Category2","Technical")</f>
        <v>66.081111111111113</v>
      </c>
      <c r="H140" s="118">
        <f>+GETPIVOTDATA(" Undergrad Contact Hour FTE - New",'FTE Pivot for regular counts'!$A$2,"State","LA","Category","13","Category2","Technical")</f>
        <v>0</v>
      </c>
      <c r="I140" s="118">
        <f>+GETPIVOTDATA(" Undergrad Contact Hour FTE - New",'FTE Pivot for regular counts'!$A$2,"State","LA","Category2","Technical")</f>
        <v>66.081111111111113</v>
      </c>
      <c r="J140" s="118"/>
      <c r="K140" s="118"/>
      <c r="L140" s="73"/>
      <c r="M140" s="1"/>
      <c r="P140" s="1" t="s">
        <v>70</v>
      </c>
      <c r="Q140" s="32">
        <f>+GETPIVOTDATA(" Undergrad Contact Hour FTE - Old",'FTE Pivot for regular counts'!$A$2,"State","LA","Category","7","Category2","Two-Year")</f>
        <v>0</v>
      </c>
      <c r="R140" s="32">
        <f>+GETPIVOTDATA(" Undergrad Contact Hour FTE - Old",'FTE Pivot for regular counts'!$A$2,"State","LA","Category","8","Category2","Two-Year")</f>
        <v>0</v>
      </c>
      <c r="S140" s="472">
        <f>+GETPIVOTDATA(" Undergrad Contact Hour FTE - Old",'FTE Pivot for regular counts'!$A$2,"State","LA","Category","9","Category2","Two-Year")</f>
        <v>0</v>
      </c>
      <c r="T140" s="32">
        <f>+GETPIVOTDATA(" Undergrad Contact Hour FTE - Old",'FTE Pivot for regular counts'!$A$2,"State","LA","Category","10","Category2","Two-Year")</f>
        <v>0</v>
      </c>
      <c r="U140" s="473">
        <f>+GETPIVOTDATA(" Undergrad Contact Hour FTE - Old",'FTE Pivot for regular counts'!$A$2,"State","LA","Category2","Two-Year")</f>
        <v>0</v>
      </c>
      <c r="V140" s="32">
        <f>+GETPIVOTDATA(" Undergrad Contact Hour FTE - Old",'FTE Pivot for regular counts'!$A$2,"State","LA","Category","12","Category2","Technical")</f>
        <v>117.355</v>
      </c>
      <c r="W140" s="32">
        <f>+GETPIVOTDATA(" Undergrad Contact Hour FTE - Old",'FTE Pivot for regular counts'!$A$2,"State","LA","Category","13","Category2","Technical")</f>
        <v>0</v>
      </c>
      <c r="X140" s="32">
        <f>+GETPIVOTDATA(" Undergrad Contact Hour FTE - Old",'FTE Pivot for regular counts'!$A$2,"State","LA","Category2","Technical")</f>
        <v>117.355</v>
      </c>
      <c r="Y140" s="32"/>
    </row>
    <row r="141" spans="1:25" ht="15" customHeight="1">
      <c r="A141" s="1" t="s">
        <v>71</v>
      </c>
      <c r="B141" s="32">
        <f>+GETPIVOTDATA(" Undergrad Contact Hour FTE - New",'FTE Pivot for regular counts'!$A$2,"State","MD","Category","7","Category2","Two-Year")</f>
        <v>0</v>
      </c>
      <c r="C141" s="32">
        <f>+GETPIVOTDATA(" Undergrad Contact Hour FTE - New",'FTE Pivot for regular counts'!$A$2,"State","MD","Category","8","Category2","Two-Year")</f>
        <v>0</v>
      </c>
      <c r="D141" s="32">
        <f>+GETPIVOTDATA(" Undergrad Contact Hour FTE - New",'FTE Pivot for regular counts'!$A$2,"State","MD","Category","9","Category2","Two-Year")</f>
        <v>0</v>
      </c>
      <c r="E141" s="32">
        <f>+GETPIVOTDATA(" Undergrad Contact Hour FTE - New",'FTE Pivot for regular counts'!$A$2,"State","MD","Category","10","Category2","Two-Year")</f>
        <v>0</v>
      </c>
      <c r="F141" s="8">
        <f>+GETPIVOTDATA(" Undergrad Contact Hour FTE - New",'FTE Pivot for regular counts'!$A$2,"State","MD","Category2","Two-Year")</f>
        <v>0</v>
      </c>
      <c r="G141" s="32">
        <f>+GETPIVOTDATA(" Undergrad Contact Hour FTE - New",'FTE Pivot for regular counts'!$A$2,"State","MD","Category","12","Category2","Technical")</f>
        <v>0</v>
      </c>
      <c r="H141" s="118">
        <f>+GETPIVOTDATA(" Undergrad Contact Hour FTE - New",'FTE Pivot for regular counts'!$A$2,"State","MD","Category","13","Category2","Technical")</f>
        <v>0</v>
      </c>
      <c r="I141" s="118">
        <f>+GETPIVOTDATA(" Undergrad Contact Hour FTE - New",'FTE Pivot for regular counts'!$A$2,"State","MD","Category2","Technical")</f>
        <v>0</v>
      </c>
      <c r="J141" s="118"/>
      <c r="K141" s="118"/>
      <c r="L141" s="73"/>
      <c r="M141" s="1"/>
      <c r="P141" s="1" t="s">
        <v>71</v>
      </c>
      <c r="Q141" s="32">
        <f>+GETPIVOTDATA(" Undergrad Contact Hour FTE - Old",'FTE Pivot for regular counts'!$A$2,"State","MD","Category","7","Category2","Two-Year")</f>
        <v>0</v>
      </c>
      <c r="R141" s="32">
        <f>+GETPIVOTDATA(" Undergrad Contact Hour FTE - Old",'FTE Pivot for regular counts'!$A$2,"State","MD","Category","8","Category2","Two-Year")</f>
        <v>0</v>
      </c>
      <c r="S141" s="32">
        <f>+GETPIVOTDATA(" Undergrad Contact Hour FTE - Old",'FTE Pivot for regular counts'!$A$2,"State","MD","Category","9","Category2","Two-Year")</f>
        <v>0</v>
      </c>
      <c r="T141" s="32">
        <f>+GETPIVOTDATA(" Undergrad Contact Hour FTE - Old",'FTE Pivot for regular counts'!$A$2,"State","MD","Category","10","Category2","Two-Year")</f>
        <v>0</v>
      </c>
      <c r="U141" s="8">
        <f>+GETPIVOTDATA(" Undergrad Contact Hour FTE - Old",'FTE Pivot for regular counts'!$A$2,"State","MD","Category2","Two-Year")</f>
        <v>0</v>
      </c>
      <c r="V141" s="32">
        <f>+GETPIVOTDATA(" Undergrad Contact Hour FTE - Old",'FTE Pivot for regular counts'!$A$2,"State","MD","Category","12","Category2","Technical")</f>
        <v>0</v>
      </c>
      <c r="W141" s="32">
        <f>+GETPIVOTDATA(" Undergrad Contact Hour FTE - Old",'FTE Pivot for regular counts'!$A$2,"State","MD","Category","13","Category2","Technical")</f>
        <v>0</v>
      </c>
      <c r="X141" s="32">
        <f>+GETPIVOTDATA(" Undergrad Contact Hour FTE - Old",'FTE Pivot for regular counts'!$A$2,"State","MD","Category2","Technical")</f>
        <v>0</v>
      </c>
      <c r="Y141" s="32"/>
    </row>
    <row r="142" spans="1:25" ht="15" customHeight="1">
      <c r="B142" s="32"/>
      <c r="C142" s="32"/>
      <c r="D142" s="32"/>
      <c r="E142" s="32"/>
      <c r="F142" s="8"/>
      <c r="G142" s="32"/>
      <c r="H142" s="118"/>
      <c r="I142" s="118"/>
      <c r="J142" s="118"/>
      <c r="K142" s="118"/>
      <c r="L142" s="73"/>
      <c r="M142" s="1"/>
      <c r="Q142" s="32"/>
      <c r="R142" s="32"/>
      <c r="S142" s="32"/>
      <c r="T142" s="32"/>
      <c r="U142" s="8"/>
      <c r="V142" s="32"/>
      <c r="W142" s="32"/>
      <c r="X142" s="32"/>
      <c r="Y142" s="32"/>
    </row>
    <row r="143" spans="1:25" ht="15" customHeight="1">
      <c r="A143" s="1" t="s">
        <v>72</v>
      </c>
      <c r="B143" s="32">
        <f>+GETPIVOTDATA(" Undergrad Contact Hour FTE - New",'FTE Pivot for regular counts'!$A$2,"State","MS","Category","7","Category2","Two-Year")</f>
        <v>0</v>
      </c>
      <c r="C143" s="32">
        <f>+GETPIVOTDATA(" Undergrad Contact Hour FTE - New",'FTE Pivot for regular counts'!$A$2,"State","MS","Category","8","Category2","Two-Year")</f>
        <v>0</v>
      </c>
      <c r="D143" s="32">
        <f>+GETPIVOTDATA(" Undergrad Contact Hour FTE - New",'FTE Pivot for regular counts'!$A$2,"State","MS","Category","9","Category2","Two-Year")</f>
        <v>0</v>
      </c>
      <c r="E143" s="32">
        <f>+GETPIVOTDATA(" Undergrad Contact Hour FTE - New",'FTE Pivot for regular counts'!$A$2,"State","MS","Category","10","Category2","Two-Year")</f>
        <v>0</v>
      </c>
      <c r="F143" s="8">
        <f>+GETPIVOTDATA(" Undergrad Contact Hour FTE - New",'FTE Pivot for regular counts'!$A$2,"State","MS","Category2","Two-Year")</f>
        <v>0</v>
      </c>
      <c r="G143" s="32">
        <f>+GETPIVOTDATA(" Undergrad Contact Hour FTE - New",'FTE Pivot for regular counts'!$A$2,"State","MS","Category","12","Category2","Technical")</f>
        <v>0</v>
      </c>
      <c r="H143" s="118">
        <f>+GETPIVOTDATA(" Undergrad Contact Hour FTE - New",'FTE Pivot for regular counts'!$A$2,"State","MS","Category","13","Category2","Technical")</f>
        <v>0</v>
      </c>
      <c r="I143" s="118">
        <f>+GETPIVOTDATA(" Undergrad Contact Hour FTE - New",'FTE Pivot for regular counts'!$A$2,"State","MS","Category2","Technical")</f>
        <v>0</v>
      </c>
      <c r="J143" s="118"/>
      <c r="K143" s="118"/>
      <c r="L143" s="73"/>
      <c r="M143" s="1"/>
      <c r="P143" s="1" t="s">
        <v>72</v>
      </c>
      <c r="Q143" s="32">
        <f>+GETPIVOTDATA(" Undergrad Contact Hour FTE - Old",'FTE Pivot for regular counts'!$A$2,"State","MS","Category","7","Category2","Two-Year")</f>
        <v>0</v>
      </c>
      <c r="R143" s="32">
        <f>+GETPIVOTDATA(" Undergrad Contact Hour FTE - Old",'FTE Pivot for regular counts'!$A$2,"State","MS","Category","8","Category2","Two-Year")</f>
        <v>0</v>
      </c>
      <c r="S143" s="32">
        <f>+GETPIVOTDATA(" Undergrad Contact Hour FTE - Old",'FTE Pivot for regular counts'!$A$2,"State","MS","Category","9","Category2","Two-Year")</f>
        <v>0</v>
      </c>
      <c r="T143" s="32">
        <f>+GETPIVOTDATA(" Undergrad Contact Hour FTE - Old",'FTE Pivot for regular counts'!$A$2,"State","MS","Category","10","Category2","Two-Year")</f>
        <v>0</v>
      </c>
      <c r="U143" s="8">
        <f>+GETPIVOTDATA(" Undergrad Contact Hour FTE - Old",'FTE Pivot for regular counts'!$A$2,"State","MS","Category2","Two-Year")</f>
        <v>0</v>
      </c>
      <c r="V143" s="32">
        <f>+GETPIVOTDATA(" Undergrad Contact Hour FTE - Old",'FTE Pivot for regular counts'!$A$2,"State","MS","Category","12","Category2","Technical")</f>
        <v>0</v>
      </c>
      <c r="W143" s="32">
        <f>+GETPIVOTDATA(" Undergrad Contact Hour FTE - Old",'FTE Pivot for regular counts'!$A$2,"State","MS","Category","13","Category2","Technical")</f>
        <v>0</v>
      </c>
      <c r="X143" s="32">
        <f>+GETPIVOTDATA(" Undergrad Contact Hour FTE - Old",'FTE Pivot for regular counts'!$A$2,"State","MS","Category2","Technical")</f>
        <v>0</v>
      </c>
      <c r="Y143" s="32"/>
    </row>
    <row r="144" spans="1:25" ht="15" customHeight="1">
      <c r="A144" s="1" t="s">
        <v>73</v>
      </c>
      <c r="B144" s="32">
        <f>+GETPIVOTDATA(" Undergrad Contact Hour FTE - New",'FTE Pivot for regular counts'!$A$2,"State","NC","Category","7","Category2","Two-Year")</f>
        <v>0</v>
      </c>
      <c r="C144" s="32">
        <f>+GETPIVOTDATA(" Undergrad Contact Hour FTE - New",'FTE Pivot for regular counts'!$A$2,"State","NC","Category","8","Category2","Two-Year")</f>
        <v>11969.885555555555</v>
      </c>
      <c r="D144" s="32">
        <f>+GETPIVOTDATA(" Undergrad Contact Hour FTE - New",'FTE Pivot for regular counts'!$A$2,"State","NC","Category","9","Category2","Two-Year")</f>
        <v>14017.975555555555</v>
      </c>
      <c r="E144" s="32">
        <f>+GETPIVOTDATA(" Undergrad Contact Hour FTE - New",'FTE Pivot for regular counts'!$A$2,"State","NC","Category","10","Category2","Two-Year")</f>
        <v>7903.1044444444433</v>
      </c>
      <c r="F144" s="8">
        <f>+GETPIVOTDATA(" Undergrad Contact Hour FTE - New",'FTE Pivot for regular counts'!$A$2,"State","NC","Category2","Two-Year")</f>
        <v>33890.965555555551</v>
      </c>
      <c r="G144" s="32">
        <f>+GETPIVOTDATA(" Undergrad Contact Hour FTE - New",'FTE Pivot for regular counts'!$A$2,"State","NC","Category","12","Category2","Technical")</f>
        <v>0</v>
      </c>
      <c r="H144" s="118">
        <f>+GETPIVOTDATA(" Undergrad Contact Hour FTE - New",'FTE Pivot for regular counts'!$A$2,"State","NC","Category","13","Category2","Technical")</f>
        <v>0</v>
      </c>
      <c r="I144" s="118">
        <f>+GETPIVOTDATA(" Undergrad Contact Hour FTE - New",'FTE Pivot for regular counts'!$A$2,"State","NC","Category2","Technical")</f>
        <v>0</v>
      </c>
      <c r="J144" s="118"/>
      <c r="K144" s="118"/>
      <c r="L144" s="73"/>
      <c r="M144" s="1"/>
      <c r="P144" s="1" t="s">
        <v>73</v>
      </c>
      <c r="Q144" s="32">
        <f>+GETPIVOTDATA(" Undergrad Contact Hour FTE - Old",'FTE Pivot for regular counts'!$A$2,"State","NC","Category","7","Category2","Two-Year")</f>
        <v>0</v>
      </c>
      <c r="R144" s="32">
        <f>+GETPIVOTDATA(" Undergrad Contact Hour FTE - Old",'FTE Pivot for regular counts'!$A$2,"State","NC","Category","8","Category2","Two-Year")</f>
        <v>12630.86</v>
      </c>
      <c r="S144" s="32">
        <f>+GETPIVOTDATA(" Undergrad Contact Hour FTE - Old",'FTE Pivot for regular counts'!$A$2,"State","NC","Category","9","Category2","Two-Year")</f>
        <v>15127.434444444447</v>
      </c>
      <c r="T144" s="32">
        <f>+GETPIVOTDATA(" Undergrad Contact Hour FTE - Old",'FTE Pivot for regular counts'!$A$2,"State","NC","Category","10","Category2","Two-Year")</f>
        <v>8383.6322222222207</v>
      </c>
      <c r="U144" s="8">
        <f>+GETPIVOTDATA(" Undergrad Contact Hour FTE - Old",'FTE Pivot for regular counts'!$A$2,"State","NC","Category2","Two-Year")</f>
        <v>36141.926666666666</v>
      </c>
      <c r="V144" s="32">
        <f>+GETPIVOTDATA(" Undergrad Contact Hour FTE - Old",'FTE Pivot for regular counts'!$A$2,"State","NC","Category","12","Category2","Technical")</f>
        <v>0</v>
      </c>
      <c r="W144" s="32">
        <f>+GETPIVOTDATA(" Undergrad Contact Hour FTE - Old",'FTE Pivot for regular counts'!$A$2,"State","NC","Category","13","Category2","Technical")</f>
        <v>0</v>
      </c>
      <c r="X144" s="32">
        <f>+GETPIVOTDATA(" Undergrad Contact Hour FTE - Old",'FTE Pivot for regular counts'!$A$2,"State","NC","Category2","Technical")</f>
        <v>0</v>
      </c>
      <c r="Y144" s="32"/>
    </row>
    <row r="145" spans="1:88" ht="15" customHeight="1">
      <c r="A145" s="1" t="s">
        <v>74</v>
      </c>
      <c r="B145" s="32">
        <f>+GETPIVOTDATA(" Undergrad Contact Hour FTE - New",'FTE Pivot for regular counts'!$A$2,"State","OK","Category","7","Category2","Two-Year")</f>
        <v>0</v>
      </c>
      <c r="C145" s="32">
        <f>+GETPIVOTDATA(" Undergrad Contact Hour FTE - New",'FTE Pivot for regular counts'!$A$2,"State","OK","Category","8","Category2","Two-Year")</f>
        <v>0</v>
      </c>
      <c r="D145" s="32">
        <f>+GETPIVOTDATA(" Undergrad Contact Hour FTE - New",'FTE Pivot for regular counts'!$A$2,"State","OK","Category","9","Category2","Two-Year")</f>
        <v>0</v>
      </c>
      <c r="E145" s="32">
        <f>+GETPIVOTDATA(" Undergrad Contact Hour FTE - New",'FTE Pivot for regular counts'!$A$2,"State","OK","Category","10","Category2","Two-Year")</f>
        <v>0</v>
      </c>
      <c r="F145" s="8">
        <f>+GETPIVOTDATA(" Undergrad Contact Hour FTE - New",'FTE Pivot for regular counts'!$A$2,"State","OK","Category2","Two-Year")</f>
        <v>0</v>
      </c>
      <c r="G145" s="32">
        <f>+GETPIVOTDATA(" Undergrad Contact Hour FTE - New",'FTE Pivot for regular counts'!$A$2,"State","OK","Category","12","Category2","Technical")</f>
        <v>4789.910322222222</v>
      </c>
      <c r="H145" s="118">
        <f>+GETPIVOTDATA(" Undergrad Contact Hour FTE - New",'FTE Pivot for regular counts'!$A$2,"State","OK","Category","13","Category2","Technical")</f>
        <v>14653.944644444447</v>
      </c>
      <c r="I145" s="118">
        <f>+GETPIVOTDATA(" Undergrad Contact Hour FTE - New",'FTE Pivot for regular counts'!$A$2,"State","OK","Category2","Technical")</f>
        <v>19443.854966666669</v>
      </c>
      <c r="J145" s="118"/>
      <c r="K145" s="118"/>
      <c r="L145" s="73"/>
      <c r="M145" s="1"/>
      <c r="P145" s="1" t="s">
        <v>74</v>
      </c>
      <c r="Q145" s="32">
        <f>+GETPIVOTDATA(" Undergrad Contact Hour FTE - Old",'FTE Pivot for regular counts'!$A$2,"State","OK","Category","7","Category2","Two-Year")</f>
        <v>0</v>
      </c>
      <c r="R145" s="32">
        <f>+GETPIVOTDATA(" Undergrad Contact Hour FTE - Old",'FTE Pivot for regular counts'!$A$2,"State","OK","Category","8","Category2","Two-Year")</f>
        <v>0</v>
      </c>
      <c r="S145" s="32">
        <f>+GETPIVOTDATA(" Undergrad Contact Hour FTE - Old",'FTE Pivot for regular counts'!$A$2,"State","OK","Category","9","Category2","Two-Year")</f>
        <v>0</v>
      </c>
      <c r="T145" s="32">
        <f>+GETPIVOTDATA(" Undergrad Contact Hour FTE - Old",'FTE Pivot for regular counts'!$A$2,"State","OK","Category","10","Category2","Two-Year")</f>
        <v>0</v>
      </c>
      <c r="U145" s="8">
        <f>+GETPIVOTDATA(" Undergrad Contact Hour FTE - Old",'FTE Pivot for regular counts'!$A$2,"State","OK","Category2","Two-Year")</f>
        <v>0</v>
      </c>
      <c r="V145" s="32">
        <f>+GETPIVOTDATA(" Undergrad Contact Hour FTE - Old",'FTE Pivot for regular counts'!$A$2,"State","OK","Category","12","Category2","Technical")</f>
        <v>4765.8004555555563</v>
      </c>
      <c r="W145" s="32">
        <f>+GETPIVOTDATA(" Undergrad Contact Hour FTE - Old",'FTE Pivot for regular counts'!$A$2,"State","OK","Category","13","Category2","Technical")</f>
        <v>14933.55401111111</v>
      </c>
      <c r="X145" s="32">
        <f>+GETPIVOTDATA(" Undergrad Contact Hour FTE - Old",'FTE Pivot for regular counts'!$A$2,"State","OK","Category2","Technical")</f>
        <v>19699.354466666664</v>
      </c>
      <c r="Y145" s="32"/>
    </row>
    <row r="146" spans="1:88" ht="15" customHeight="1">
      <c r="A146" s="1" t="s">
        <v>75</v>
      </c>
      <c r="B146" s="32">
        <f>+GETPIVOTDATA(" Undergrad Contact Hour FTE - New",'FTE Pivot for regular counts'!$A$2,"State","SC","Category","7","Category2","Two-Year")</f>
        <v>0</v>
      </c>
      <c r="C146" s="32">
        <f>+GETPIVOTDATA(" Undergrad Contact Hour FTE - New",'FTE Pivot for regular counts'!$A$2,"State","SC","Category","8","Category2","Two-Year")</f>
        <v>0</v>
      </c>
      <c r="D146" s="32">
        <f>+GETPIVOTDATA(" Undergrad Contact Hour FTE - New",'FTE Pivot for regular counts'!$A$2,"State","SC","Category","9","Category2","Two-Year")</f>
        <v>0</v>
      </c>
      <c r="E146" s="32">
        <f>+GETPIVOTDATA(" Undergrad Contact Hour FTE - New",'FTE Pivot for regular counts'!$A$2,"State","SC","Category","10","Category2","Two-Year")</f>
        <v>0</v>
      </c>
      <c r="F146" s="8">
        <f>+GETPIVOTDATA(" Undergrad Contact Hour FTE - New",'FTE Pivot for regular counts'!$A$2,"State","SC","Category2","Two-Year")</f>
        <v>0</v>
      </c>
      <c r="G146" s="32">
        <f>+GETPIVOTDATA(" Undergrad Contact Hour FTE - New",'FTE Pivot for regular counts'!$A$2,"State","SC","Category","12","Category2","Technical")</f>
        <v>0</v>
      </c>
      <c r="H146" s="118">
        <f>+GETPIVOTDATA(" Undergrad Contact Hour FTE - New",'FTE Pivot for regular counts'!$A$2,"State","SC","Category","13","Category2","Technical")</f>
        <v>0</v>
      </c>
      <c r="I146" s="118">
        <f>+GETPIVOTDATA(" Undergrad Contact Hour FTE - New",'FTE Pivot for regular counts'!$A$2,"State","SC","Category2","Technical")</f>
        <v>0</v>
      </c>
      <c r="J146" s="118"/>
      <c r="K146" s="118"/>
      <c r="L146" s="73"/>
      <c r="M146" s="1"/>
      <c r="P146" s="1" t="s">
        <v>75</v>
      </c>
      <c r="Q146" s="32">
        <f>+GETPIVOTDATA(" Undergrad Contact Hour FTE - Old",'FTE Pivot for regular counts'!$A$2,"State","SC","Category","7","Category2","Two-Year")</f>
        <v>0</v>
      </c>
      <c r="R146" s="32">
        <f>+GETPIVOTDATA(" Undergrad Contact Hour FTE - Old",'FTE Pivot for regular counts'!$A$2,"State","SC","Category","8","Category2","Two-Year")</f>
        <v>0</v>
      </c>
      <c r="S146" s="32">
        <f>+GETPIVOTDATA(" Undergrad Contact Hour FTE - Old",'FTE Pivot for regular counts'!$A$2,"State","SC","Category","9","Category2","Two-Year")</f>
        <v>0</v>
      </c>
      <c r="T146" s="32">
        <f>+GETPIVOTDATA(" Undergrad Contact Hour FTE - Old",'FTE Pivot for regular counts'!$A$2,"State","SC","Category","10","Category2","Two-Year")</f>
        <v>0</v>
      </c>
      <c r="U146" s="8">
        <f>+GETPIVOTDATA(" Undergrad Contact Hour FTE - Old",'FTE Pivot for regular counts'!$A$2,"State","SC","Category2","Two-Year")</f>
        <v>0</v>
      </c>
      <c r="V146" s="32">
        <f>+GETPIVOTDATA(" Undergrad Contact Hour FTE - Old",'FTE Pivot for regular counts'!$A$2,"State","SC","Category","12","Category2","Technical")</f>
        <v>0</v>
      </c>
      <c r="W146" s="32">
        <f>+GETPIVOTDATA(" Undergrad Contact Hour FTE - Old",'FTE Pivot for regular counts'!$A$2,"State","SC","Category","13","Category2","Technical")</f>
        <v>0</v>
      </c>
      <c r="X146" s="32">
        <f>+GETPIVOTDATA(" Undergrad Contact Hour FTE - Old",'FTE Pivot for regular counts'!$A$2,"State","SC","Category2","Technical")</f>
        <v>0</v>
      </c>
      <c r="Y146" s="32"/>
    </row>
    <row r="147" spans="1:88" ht="15" customHeight="1">
      <c r="B147" s="32"/>
      <c r="C147" s="32"/>
      <c r="D147" s="32"/>
      <c r="E147" s="32"/>
      <c r="F147" s="8"/>
      <c r="G147" s="32"/>
      <c r="H147" s="118"/>
      <c r="I147" s="118"/>
      <c r="J147" s="118"/>
      <c r="K147" s="118"/>
      <c r="L147" s="73"/>
      <c r="M147" s="1"/>
      <c r="Q147" s="32"/>
      <c r="R147" s="32"/>
      <c r="S147" s="32"/>
      <c r="T147" s="32"/>
      <c r="U147" s="8"/>
      <c r="V147" s="32"/>
      <c r="W147" s="32"/>
      <c r="X147" s="32"/>
      <c r="Y147" s="32"/>
    </row>
    <row r="148" spans="1:88" ht="15" customHeight="1">
      <c r="A148" s="1" t="s">
        <v>76</v>
      </c>
      <c r="B148" s="32">
        <f>+GETPIVOTDATA(" Undergrad Contact Hour FTE - New",'FTE Pivot for regular counts'!$A$2,"State","TN","Category","7","Category2","Two-Year")</f>
        <v>0</v>
      </c>
      <c r="C148" s="32">
        <f>+GETPIVOTDATA(" Undergrad Contact Hour FTE - New",'FTE Pivot for regular counts'!$A$2,"State","TN","Category","8","Category2","Two-Year")</f>
        <v>0</v>
      </c>
      <c r="D148" s="32">
        <f>+GETPIVOTDATA(" Undergrad Contact Hour FTE - New",'FTE Pivot for regular counts'!$A$2,"State","TN","Category","9","Category2","Two-Year")</f>
        <v>0</v>
      </c>
      <c r="E148" s="32">
        <f>+GETPIVOTDATA(" Undergrad Contact Hour FTE - New",'FTE Pivot for regular counts'!$A$2,"State","TN","Category","10","Category2","Two-Year")</f>
        <v>0</v>
      </c>
      <c r="F148" s="8">
        <f>+GETPIVOTDATA(" Undergrad Contact Hour FTE - New",'FTE Pivot for regular counts'!$A$2,"State","TN","Category2","Two-Year")</f>
        <v>0</v>
      </c>
      <c r="G148" s="32">
        <f>+GETPIVOTDATA(" Undergrad Contact Hour FTE - New",'FTE Pivot for regular counts'!$A$2,"State","TN","Category","12","Category2","Technical")</f>
        <v>1004.0377777777778</v>
      </c>
      <c r="H148" s="118">
        <f>+GETPIVOTDATA(" Undergrad Contact Hour FTE - New",'FTE Pivot for regular counts'!$A$2,"State","TN","Category","13","Category2","Technical")</f>
        <v>10641.687777777777</v>
      </c>
      <c r="I148" s="118">
        <f>+GETPIVOTDATA(" Undergrad Contact Hour FTE - New",'FTE Pivot for regular counts'!$A$2,"State","TN","Category2","Technical")</f>
        <v>11645.725555555555</v>
      </c>
      <c r="J148" s="118"/>
      <c r="K148" s="118"/>
      <c r="L148" s="73"/>
      <c r="M148" s="1"/>
      <c r="P148" s="1" t="s">
        <v>76</v>
      </c>
      <c r="Q148" s="32">
        <f>+GETPIVOTDATA(" Undergrad Contact Hour FTE - Old",'FTE Pivot for regular counts'!$A$2,"State","TN","Category","7","Category2","Two-Year")</f>
        <v>0</v>
      </c>
      <c r="R148" s="32">
        <f>+GETPIVOTDATA(" Undergrad Contact Hour FTE - Old",'FTE Pivot for regular counts'!$A$2,"State","TN","Category","8","Category2","Two-Year")</f>
        <v>0</v>
      </c>
      <c r="S148" s="32">
        <f>+GETPIVOTDATA(" Undergrad Contact Hour FTE - Old",'FTE Pivot for regular counts'!$A$2,"State","TN","Category","9","Category2","Two-Year")</f>
        <v>0</v>
      </c>
      <c r="T148" s="32">
        <f>+GETPIVOTDATA(" Undergrad Contact Hour FTE - Old",'FTE Pivot for regular counts'!$A$2,"State","TN","Category","10","Category2","Two-Year")</f>
        <v>0</v>
      </c>
      <c r="U148" s="8">
        <f>+GETPIVOTDATA(" Undergrad Contact Hour FTE - Old",'FTE Pivot for regular counts'!$A$2,"State","TN","Category2","Two-Year")</f>
        <v>0</v>
      </c>
      <c r="V148" s="32">
        <f>+GETPIVOTDATA(" Undergrad Contact Hour FTE - Old",'FTE Pivot for regular counts'!$A$2,"State","TN","Category","12","Category2","Technical")</f>
        <v>1020.9577777777778</v>
      </c>
      <c r="W148" s="32">
        <f>+GETPIVOTDATA(" Undergrad Contact Hour FTE - Old",'FTE Pivot for regular counts'!$A$2,"State","TN","Category","13","Category2","Technical")</f>
        <v>10178.506666666666</v>
      </c>
      <c r="X148" s="32">
        <f>+GETPIVOTDATA(" Undergrad Contact Hour FTE - Old",'FTE Pivot for regular counts'!$A$2,"State","TN","Category2","Technical")</f>
        <v>11199.464444444444</v>
      </c>
      <c r="Y148" s="32"/>
    </row>
    <row r="149" spans="1:88" ht="15" customHeight="1">
      <c r="A149" s="1" t="s">
        <v>77</v>
      </c>
      <c r="B149" s="32">
        <f>+GETPIVOTDATA(" Undergrad Contact Hour FTE - New",'FTE Pivot for regular counts'!$A$2,"State","TX","Category","7","Category2","Two-Year")</f>
        <v>1106.45</v>
      </c>
      <c r="C149" s="32">
        <f>+GETPIVOTDATA(" Undergrad Contact Hour FTE - New",'FTE Pivot for regular counts'!$A$2,"State","TX","Category","8","Category2","Two-Year")</f>
        <v>13266.645555555557</v>
      </c>
      <c r="D149" s="32">
        <f>+GETPIVOTDATA(" Undergrad Contact Hour FTE - New",'FTE Pivot for regular counts'!$A$2,"State","TX","Category","9","Category2","Two-Year")</f>
        <v>5343.6777777777779</v>
      </c>
      <c r="E149" s="32">
        <f>+GETPIVOTDATA(" Undergrad Contact Hour FTE - New",'FTE Pivot for regular counts'!$A$2,"State","TX","Category","10","Category2","Two-Year")</f>
        <v>446.46666666666664</v>
      </c>
      <c r="F149" s="8">
        <f>+GETPIVOTDATA(" Undergrad Contact Hour FTE - New",'FTE Pivot for regular counts'!$A$2,"State","TX","Category2","Two-Year")</f>
        <v>20163.240000000002</v>
      </c>
      <c r="G149" s="32">
        <f>+GETPIVOTDATA(" Undergrad Contact Hour FTE - New",'FTE Pivot for regular counts'!$A$2,"State","TX","Category","12","Category2","Technical")</f>
        <v>0</v>
      </c>
      <c r="H149" s="118">
        <f>+GETPIVOTDATA(" Undergrad Contact Hour FTE - New",'FTE Pivot for regular counts'!$A$2,"State","TX","Category","13","Category2","Technical")</f>
        <v>0</v>
      </c>
      <c r="I149" s="118">
        <f>+GETPIVOTDATA(" Undergrad Contact Hour FTE - New",'FTE Pivot for regular counts'!$A$2,"State","TX","Category2","Technical")</f>
        <v>0</v>
      </c>
      <c r="J149" s="118"/>
      <c r="K149" s="118"/>
      <c r="L149" s="73"/>
      <c r="M149" s="1"/>
      <c r="P149" s="1" t="s">
        <v>77</v>
      </c>
      <c r="Q149" s="32">
        <f>+GETPIVOTDATA(" Undergrad Contact Hour FTE - Old",'FTE Pivot for regular counts'!$A$2,"State","TX","Category","7","Category2","Two-Year")</f>
        <v>1115.4133333333334</v>
      </c>
      <c r="R149" s="32">
        <f>+GETPIVOTDATA(" Undergrad Contact Hour FTE - Old",'FTE Pivot for regular counts'!$A$2,"State","TX","Category","8","Category2","Two-Year")</f>
        <v>12287.773333333331</v>
      </c>
      <c r="S149" s="32">
        <f>+GETPIVOTDATA(" Undergrad Contact Hour FTE - Old",'FTE Pivot for regular counts'!$A$2,"State","TX","Category","9","Category2","Two-Year")</f>
        <v>5233.6333333333332</v>
      </c>
      <c r="T149" s="32">
        <f>+GETPIVOTDATA(" Undergrad Contact Hour FTE - Old",'FTE Pivot for regular counts'!$A$2,"State","TX","Category","10","Category2","Two-Year")</f>
        <v>453.24888888888893</v>
      </c>
      <c r="U149" s="8">
        <f>+GETPIVOTDATA(" Undergrad Contact Hour FTE - Old",'FTE Pivot for regular counts'!$A$2,"State","TX","Category2","Two-Year")</f>
        <v>19090.068888888887</v>
      </c>
      <c r="V149" s="32">
        <f>+GETPIVOTDATA(" Undergrad Contact Hour FTE - Old",'FTE Pivot for regular counts'!$A$2,"State","TX","Category","12","Category2","Technical")</f>
        <v>0</v>
      </c>
      <c r="W149" s="32">
        <f>+GETPIVOTDATA(" Undergrad Contact Hour FTE - Old",'FTE Pivot for regular counts'!$A$2,"State","TX","Category","13","Category2","Technical")</f>
        <v>0</v>
      </c>
      <c r="X149" s="32">
        <f>+GETPIVOTDATA(" Undergrad Contact Hour FTE - Old",'FTE Pivot for regular counts'!$A$2,"State","TX","Category2","Technical")</f>
        <v>0</v>
      </c>
      <c r="Y149" s="32"/>
    </row>
    <row r="150" spans="1:88" ht="15" customHeight="1">
      <c r="A150" s="1" t="s">
        <v>78</v>
      </c>
      <c r="B150" s="32">
        <f>+GETPIVOTDATA(" Undergrad Contact Hour FTE - New",'FTE Pivot for regular counts'!$A$2,"State","VA","Category","7","Category2","Two-Year")</f>
        <v>0</v>
      </c>
      <c r="C150" s="32">
        <f>+GETPIVOTDATA(" Undergrad Contact Hour FTE - New",'FTE Pivot for regular counts'!$A$2,"State","VA","Category","8","Category2","Two-Year")</f>
        <v>0</v>
      </c>
      <c r="D150" s="32">
        <f>+GETPIVOTDATA(" Undergrad Contact Hour FTE - New",'FTE Pivot for regular counts'!$A$2,"State","VA","Category","9","Category2","Two-Year")</f>
        <v>0</v>
      </c>
      <c r="E150" s="32">
        <f>+GETPIVOTDATA(" Undergrad Contact Hour FTE - New",'FTE Pivot for regular counts'!$A$2,"State","VA","Category","10","Category2","Two-Year")</f>
        <v>0</v>
      </c>
      <c r="F150" s="8">
        <f>+GETPIVOTDATA(" Undergrad Contact Hour FTE - New",'FTE Pivot for regular counts'!$A$2,"State","VA","Category2","Two-Year")</f>
        <v>0</v>
      </c>
      <c r="G150" s="32">
        <f>+GETPIVOTDATA(" Undergrad Contact Hour FTE - New",'FTE Pivot for regular counts'!$A$2,"State","VA","Category","12","Category2","Technical")</f>
        <v>0</v>
      </c>
      <c r="H150" s="118">
        <f>+GETPIVOTDATA(" Undergrad Contact Hour FTE - New",'FTE Pivot for regular counts'!$A$2,"State","VA","Category","13","Category2","Technical")</f>
        <v>0</v>
      </c>
      <c r="I150" s="118">
        <f>+GETPIVOTDATA(" Undergrad Contact Hour FTE - New",'FTE Pivot for regular counts'!$A$2,"State","VA","Category2","Technical")</f>
        <v>0</v>
      </c>
      <c r="J150" s="118"/>
      <c r="K150" s="118"/>
      <c r="L150" s="73"/>
      <c r="M150" s="1"/>
      <c r="P150" s="1" t="s">
        <v>78</v>
      </c>
      <c r="Q150" s="32">
        <f>+GETPIVOTDATA(" Undergrad Contact Hour FTE - Old",'FTE Pivot for regular counts'!$A$2,"State","VA","Category","7","Category2","Two-Year")</f>
        <v>0</v>
      </c>
      <c r="R150" s="32">
        <f>+GETPIVOTDATA(" Undergrad Contact Hour FTE - Old",'FTE Pivot for regular counts'!$A$2,"State","VA","Category","8","Category2","Two-Year")</f>
        <v>0</v>
      </c>
      <c r="S150" s="32">
        <f>+GETPIVOTDATA(" Undergrad Contact Hour FTE - Old",'FTE Pivot for regular counts'!$A$2,"State","VA","Category","9","Category2","Two-Year")</f>
        <v>0</v>
      </c>
      <c r="T150" s="32">
        <f>+GETPIVOTDATA(" Undergrad Contact Hour FTE - Old",'FTE Pivot for regular counts'!$A$2,"State","VA","Category","10","Category2","Two-Year")</f>
        <v>0</v>
      </c>
      <c r="U150" s="8">
        <f>+GETPIVOTDATA(" Undergrad Contact Hour FTE - Old",'FTE Pivot for regular counts'!$A$2,"State","VA","Category2","Two-Year")</f>
        <v>0</v>
      </c>
      <c r="V150" s="32">
        <f>+GETPIVOTDATA(" Undergrad Contact Hour FTE - Old",'FTE Pivot for regular counts'!$A$2,"State","VA","Category","12","Category2","Technical")</f>
        <v>0</v>
      </c>
      <c r="W150" s="32">
        <f>+GETPIVOTDATA(" Undergrad Contact Hour FTE - Old",'FTE Pivot for regular counts'!$A$2,"State","VA","Category","13","Category2","Technical")</f>
        <v>0</v>
      </c>
      <c r="X150" s="32">
        <f>+GETPIVOTDATA(" Undergrad Contact Hour FTE - Old",'FTE Pivot for regular counts'!$A$2,"State","VA","Category2","Technical")</f>
        <v>0</v>
      </c>
      <c r="Y150" s="32"/>
    </row>
    <row r="151" spans="1:88" ht="15" customHeight="1">
      <c r="A151" s="3" t="s">
        <v>79</v>
      </c>
      <c r="B151" s="9">
        <f>+GETPIVOTDATA(" Undergrad Contact Hour FTE - New",'FTE Pivot for regular counts'!$A$2,"State","WV","Category","7","Category2","Two-Year")</f>
        <v>0</v>
      </c>
      <c r="C151" s="9">
        <f>+GETPIVOTDATA(" Undergrad Contact Hour FTE - New",'FTE Pivot for regular counts'!$A$2,"State","WV","Category","8","Category2","Two-Year")</f>
        <v>0</v>
      </c>
      <c r="D151" s="9">
        <f>+GETPIVOTDATA(" Undergrad Contact Hour FTE - New",'FTE Pivot for regular counts'!$A$2,"State","WV","Category","9","Category2","Two-Year")</f>
        <v>0</v>
      </c>
      <c r="E151" s="9">
        <f>+GETPIVOTDATA(" Undergrad Contact Hour FTE - New",'FTE Pivot for regular counts'!$A$2,"State","WV","Category","10","Category2","Two-Year")</f>
        <v>0</v>
      </c>
      <c r="F151" s="10">
        <f>+GETPIVOTDATA(" Undergrad Contact Hour FTE - New",'FTE Pivot for regular counts'!$A$2,"State","WV","Category2","Two-Year")</f>
        <v>0</v>
      </c>
      <c r="G151" s="9">
        <f>+GETPIVOTDATA(" Undergrad Contact Hour FTE - New",'FTE Pivot for regular counts'!$A$2,"State","WV","Category","12","Category2","Technical")</f>
        <v>0</v>
      </c>
      <c r="H151" s="119">
        <f>+GETPIVOTDATA(" Undergrad Contact Hour FTE - New",'FTE Pivot for regular counts'!$A$2,"State","WV","Category","13","Category2","Technical")</f>
        <v>0</v>
      </c>
      <c r="I151" s="119">
        <f>+GETPIVOTDATA(" Undergrad Contact Hour FTE - New",'FTE Pivot for regular counts'!$A$2,"State","WV","Category2","Technical")</f>
        <v>0</v>
      </c>
      <c r="J151" s="118"/>
      <c r="K151" s="118"/>
      <c r="L151" s="73"/>
      <c r="M151" s="1"/>
      <c r="P151" s="3" t="s">
        <v>79</v>
      </c>
      <c r="Q151" s="9">
        <f>+GETPIVOTDATA(" Undergrad Contact Hour FTE - Old",'FTE Pivot for regular counts'!$A$2,"State","WV","Category","7","Category2","Two-Year")</f>
        <v>0</v>
      </c>
      <c r="R151" s="9">
        <f>+GETPIVOTDATA(" Undergrad Contact Hour FTE - Old",'FTE Pivot for regular counts'!$A$2,"State","WV","Category","8","Category2","Two-Year")</f>
        <v>0</v>
      </c>
      <c r="S151" s="9">
        <f>+GETPIVOTDATA(" Undergrad Contact Hour FTE - Old",'FTE Pivot for regular counts'!$A$2,"State","WV","Category","9","Category2","Two-Year")</f>
        <v>0</v>
      </c>
      <c r="T151" s="9">
        <f>+GETPIVOTDATA(" Undergrad Contact Hour FTE - Old",'FTE Pivot for regular counts'!$A$2,"State","WV","Category","10","Category2","Two-Year")</f>
        <v>0</v>
      </c>
      <c r="U151" s="10">
        <f>+GETPIVOTDATA(" Undergrad Contact Hour FTE - Old",'FTE Pivot for regular counts'!$A$2,"State","WV","Category2","Two-Year")</f>
        <v>0</v>
      </c>
      <c r="V151" s="9">
        <f>+GETPIVOTDATA(" Undergrad Contact Hour FTE - Old",'FTE Pivot for regular counts'!$A$2,"State","WV","Category","12","Category2","Technical")</f>
        <v>0</v>
      </c>
      <c r="W151" s="9">
        <f>+GETPIVOTDATA(" Undergrad Contact Hour FTE - Old",'FTE Pivot for regular counts'!$A$2,"State","WV","Category","13","Category2","Technical")</f>
        <v>0</v>
      </c>
      <c r="X151" s="9">
        <f>+GETPIVOTDATA(" Undergrad Contact Hour FTE - Old",'FTE Pivot for regular counts'!$A$2,"State","WV","Category2","Technical")</f>
        <v>0</v>
      </c>
      <c r="Y151" s="32"/>
    </row>
    <row r="152" spans="1:88" s="25" customFormat="1" ht="36" customHeight="1">
      <c r="A152" s="831" t="s">
        <v>976</v>
      </c>
      <c r="B152" s="831"/>
      <c r="C152" s="831"/>
      <c r="D152" s="831"/>
      <c r="E152" s="831"/>
      <c r="F152" s="831"/>
      <c r="G152" s="831"/>
      <c r="H152" s="831"/>
      <c r="I152" s="831"/>
      <c r="J152" s="380"/>
      <c r="K152" s="102"/>
      <c r="L152" s="102"/>
    </row>
    <row r="153" spans="1:88" ht="10.5" customHeight="1">
      <c r="I153" s="524" t="s">
        <v>975</v>
      </c>
      <c r="J153" s="168"/>
      <c r="K153" s="162"/>
      <c r="L153" s="162"/>
      <c r="M153" s="1"/>
    </row>
    <row r="154" spans="1:88" ht="18">
      <c r="A154" s="114" t="s">
        <v>168</v>
      </c>
      <c r="B154" s="114"/>
      <c r="C154" s="114"/>
      <c r="D154" s="114"/>
      <c r="E154" s="114"/>
      <c r="F154" s="114"/>
      <c r="G154" s="114"/>
      <c r="H154" s="114"/>
      <c r="I154" s="114"/>
      <c r="J154" s="114"/>
      <c r="K154" s="114"/>
      <c r="L154" s="168"/>
      <c r="M154" s="1"/>
      <c r="P154" s="4"/>
      <c r="Q154" s="4"/>
      <c r="R154" s="4"/>
      <c r="S154" s="4"/>
      <c r="T154" s="4"/>
      <c r="U154" s="4"/>
      <c r="V154" s="4"/>
      <c r="W154" s="4"/>
      <c r="X154" s="4"/>
      <c r="Y154" s="4"/>
      <c r="Z154" s="4"/>
      <c r="AA154" s="4"/>
      <c r="AB154" s="4"/>
      <c r="AC154" s="4"/>
      <c r="AD154" s="223"/>
      <c r="AE154" s="145"/>
      <c r="AF154" s="145"/>
      <c r="AG154" s="145"/>
      <c r="AH154" s="145"/>
      <c r="AI154" s="4"/>
      <c r="AT154" s="4"/>
      <c r="AU154" s="4"/>
      <c r="AV154" s="25"/>
      <c r="AW154" s="25"/>
      <c r="AX154" s="25"/>
      <c r="AY154" s="25"/>
      <c r="AZ154" s="25"/>
      <c r="BA154" s="25"/>
      <c r="BB154" s="25"/>
      <c r="BC154" s="25"/>
      <c r="BD154" s="25"/>
      <c r="BE154" s="25"/>
      <c r="BF154" s="25"/>
      <c r="BG154" s="25"/>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row>
    <row r="155" spans="1:88" s="4" customFormat="1" ht="15.75" customHeight="1">
      <c r="A155" s="21"/>
      <c r="B155" s="21"/>
      <c r="C155" s="21"/>
      <c r="D155" s="21"/>
      <c r="E155" s="21"/>
      <c r="F155" s="21"/>
      <c r="G155" s="21"/>
      <c r="H155" s="104"/>
      <c r="I155" s="21"/>
      <c r="J155" s="104"/>
      <c r="K155" s="104"/>
      <c r="L155" s="176"/>
      <c r="P155" s="1"/>
      <c r="Q155" s="1"/>
      <c r="R155" s="1"/>
      <c r="S155" s="1"/>
      <c r="T155" s="1"/>
      <c r="U155" s="1"/>
      <c r="V155" s="1"/>
      <c r="W155" s="1"/>
      <c r="X155" s="1"/>
      <c r="Y155" s="1"/>
      <c r="Z155" s="1"/>
      <c r="AA155" s="1"/>
      <c r="AB155" s="1"/>
      <c r="AC155" s="145"/>
      <c r="AD155" s="1"/>
      <c r="AE155" s="1"/>
      <c r="AF155" s="1"/>
      <c r="AG155" s="1"/>
      <c r="AH155" s="1"/>
      <c r="AI155" s="145"/>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row>
    <row r="156" spans="1:88" ht="18.75" customHeight="1">
      <c r="A156" s="43" t="s">
        <v>36</v>
      </c>
      <c r="B156" s="43"/>
      <c r="C156" s="43"/>
      <c r="D156" s="43"/>
      <c r="E156" s="43"/>
      <c r="F156" s="43"/>
      <c r="G156" s="43"/>
      <c r="H156" s="43"/>
      <c r="I156" s="43"/>
      <c r="J156" s="43"/>
      <c r="K156" s="43"/>
      <c r="L156" s="104"/>
      <c r="M156" s="1"/>
      <c r="AC156" s="99"/>
      <c r="AD156" s="99"/>
      <c r="AE156" s="99"/>
      <c r="AF156" s="99"/>
      <c r="AG156" s="99"/>
      <c r="AH156" s="99"/>
      <c r="AI156" s="99"/>
      <c r="AN156" s="25"/>
      <c r="AO156" s="25"/>
      <c r="AP156" s="25"/>
      <c r="AQ156" s="25"/>
      <c r="AR156" s="223" t="s">
        <v>251</v>
      </c>
      <c r="AY156" s="223" t="s">
        <v>251</v>
      </c>
      <c r="BE156" s="25"/>
      <c r="BF156" s="25"/>
      <c r="BG156" s="25"/>
    </row>
    <row r="157" spans="1:88" ht="15.75">
      <c r="A157" s="109" t="s">
        <v>973</v>
      </c>
      <c r="B157" s="43"/>
      <c r="C157" s="43"/>
      <c r="D157" s="43"/>
      <c r="E157" s="43"/>
      <c r="F157" s="43"/>
      <c r="G157" s="43"/>
      <c r="H157" s="43"/>
      <c r="I157" s="43"/>
      <c r="J157" s="43"/>
      <c r="K157" s="43"/>
      <c r="L157" s="131"/>
      <c r="M157" s="1"/>
      <c r="Q157" s="125" t="s">
        <v>38</v>
      </c>
      <c r="AC157" s="99"/>
      <c r="AD157" s="99"/>
      <c r="AE157" s="99"/>
      <c r="AF157" s="99"/>
      <c r="AG157" s="99"/>
      <c r="AH157" s="99"/>
      <c r="AI157" s="99"/>
      <c r="AR157" s="484" t="s">
        <v>144</v>
      </c>
      <c r="AY157" s="484" t="s">
        <v>38</v>
      </c>
    </row>
    <row r="158" spans="1:88" ht="15.75">
      <c r="B158" s="2"/>
      <c r="C158" s="2"/>
      <c r="D158" s="2"/>
      <c r="E158" s="170"/>
      <c r="F158" s="2"/>
      <c r="G158" s="170"/>
      <c r="H158" s="197"/>
      <c r="I158" s="170"/>
      <c r="J158" s="197"/>
      <c r="K158" s="197"/>
      <c r="L158" s="131"/>
      <c r="M158" s="194"/>
      <c r="P158" s="3"/>
      <c r="Q158" s="231" t="s">
        <v>153</v>
      </c>
      <c r="R158" s="3"/>
      <c r="S158" s="3"/>
      <c r="T158" s="3"/>
      <c r="U158" s="3"/>
      <c r="V158" s="3"/>
      <c r="W158" s="3"/>
      <c r="X158" s="3"/>
      <c r="Y158" s="3"/>
      <c r="Z158" s="3"/>
      <c r="AA158" s="3"/>
      <c r="AC158" s="99"/>
      <c r="AD158" s="230" t="s">
        <v>39</v>
      </c>
      <c r="AE158" s="99"/>
      <c r="AF158" s="99"/>
      <c r="AG158" s="99"/>
      <c r="AH158" s="99"/>
      <c r="AI158" s="99"/>
      <c r="AJ158" s="433"/>
      <c r="AK158" s="422" t="s">
        <v>39</v>
      </c>
      <c r="AL158" s="421"/>
      <c r="AM158" s="421"/>
      <c r="AN158" s="421"/>
      <c r="AO158" s="421"/>
      <c r="AP158" s="421"/>
      <c r="AQ158" s="25"/>
      <c r="AR158" s="3"/>
      <c r="AS158" s="3" t="s">
        <v>252</v>
      </c>
      <c r="AT158" s="3">
        <v>1</v>
      </c>
      <c r="AU158" s="3">
        <v>2</v>
      </c>
      <c r="AV158" s="3">
        <v>3</v>
      </c>
      <c r="AW158" s="3" t="s">
        <v>30</v>
      </c>
      <c r="AY158" s="3"/>
      <c r="AZ158" s="3" t="s">
        <v>252</v>
      </c>
      <c r="BA158" s="3">
        <v>1</v>
      </c>
      <c r="BB158" s="3">
        <v>2</v>
      </c>
      <c r="BC158" s="3">
        <v>3</v>
      </c>
      <c r="BD158" s="3" t="s">
        <v>30</v>
      </c>
      <c r="BE158" s="25"/>
      <c r="BF158" s="25"/>
      <c r="BG158" s="25"/>
    </row>
    <row r="159" spans="1:88" ht="12.75" customHeight="1" thickBot="1">
      <c r="A159" s="381"/>
      <c r="B159" s="382" t="s">
        <v>140</v>
      </c>
      <c r="C159" s="65"/>
      <c r="D159" s="383">
        <v>1</v>
      </c>
      <c r="F159" s="201">
        <v>2</v>
      </c>
      <c r="H159" s="201">
        <v>3</v>
      </c>
      <c r="J159" s="201" t="s">
        <v>30</v>
      </c>
      <c r="K159" s="199"/>
      <c r="L159" s="186"/>
      <c r="M159" s="186"/>
      <c r="N159" s="25"/>
      <c r="O159" s="25"/>
      <c r="P159" s="36"/>
      <c r="Q159" s="36"/>
      <c r="R159" s="36" t="s">
        <v>156</v>
      </c>
      <c r="S159" s="36"/>
      <c r="T159" s="228" t="s">
        <v>154</v>
      </c>
      <c r="U159" s="36"/>
      <c r="V159" s="228">
        <v>2</v>
      </c>
      <c r="W159" s="36"/>
      <c r="X159" s="228">
        <v>3</v>
      </c>
      <c r="Y159" s="36"/>
      <c r="Z159" s="228" t="s">
        <v>0</v>
      </c>
      <c r="AA159" s="36"/>
      <c r="AC159" s="99"/>
      <c r="AD159" s="134" t="s">
        <v>63</v>
      </c>
      <c r="AE159" s="134"/>
      <c r="AF159" s="135"/>
      <c r="AG159" s="135"/>
      <c r="AH159" s="135"/>
      <c r="AI159" s="135"/>
      <c r="AJ159" s="434"/>
      <c r="AK159" s="423" t="s">
        <v>63</v>
      </c>
      <c r="AL159" s="423"/>
      <c r="AM159" s="424"/>
      <c r="AN159" s="424"/>
      <c r="AO159" s="424"/>
      <c r="AP159" s="424"/>
    </row>
    <row r="160" spans="1:88" ht="78" customHeight="1" thickBot="1">
      <c r="A160" s="198"/>
      <c r="B160" s="199" t="s">
        <v>143</v>
      </c>
      <c r="C160" s="165" t="s">
        <v>22</v>
      </c>
      <c r="D160" s="200" t="s">
        <v>143</v>
      </c>
      <c r="E160" s="165" t="s">
        <v>22</v>
      </c>
      <c r="F160" s="200" t="s">
        <v>143</v>
      </c>
      <c r="G160" s="165" t="s">
        <v>22</v>
      </c>
      <c r="H160" s="200" t="s">
        <v>143</v>
      </c>
      <c r="I160" s="165" t="s">
        <v>22</v>
      </c>
      <c r="J160" s="200" t="s">
        <v>143</v>
      </c>
      <c r="K160" s="165" t="s">
        <v>22</v>
      </c>
      <c r="Q160" s="3"/>
      <c r="R160" s="227" t="s">
        <v>2</v>
      </c>
      <c r="S160" s="227" t="s">
        <v>4</v>
      </c>
      <c r="T160" s="229" t="s">
        <v>2</v>
      </c>
      <c r="U160" s="227" t="s">
        <v>4</v>
      </c>
      <c r="V160" s="229" t="s">
        <v>2</v>
      </c>
      <c r="W160" s="227" t="s">
        <v>4</v>
      </c>
      <c r="X160" s="229" t="s">
        <v>2</v>
      </c>
      <c r="Y160" s="227" t="s">
        <v>4</v>
      </c>
      <c r="Z160" s="229" t="s">
        <v>2</v>
      </c>
      <c r="AA160" s="227" t="s">
        <v>4</v>
      </c>
      <c r="AC160" s="295" t="s">
        <v>144</v>
      </c>
      <c r="AD160" s="140" t="s">
        <v>140</v>
      </c>
      <c r="AE160" s="420">
        <v>1</v>
      </c>
      <c r="AF160" s="141">
        <v>2</v>
      </c>
      <c r="AG160" s="141">
        <v>3</v>
      </c>
      <c r="AH160" s="140" t="s">
        <v>27</v>
      </c>
      <c r="AI160" s="141" t="s">
        <v>30</v>
      </c>
      <c r="AJ160" s="435" t="s">
        <v>38</v>
      </c>
      <c r="AK160" s="425" t="s">
        <v>140</v>
      </c>
      <c r="AL160" s="426">
        <v>1</v>
      </c>
      <c r="AM160" s="426">
        <v>2</v>
      </c>
      <c r="AN160" s="426">
        <v>3</v>
      </c>
      <c r="AO160" s="426" t="s">
        <v>27</v>
      </c>
      <c r="AP160" s="426" t="s">
        <v>30</v>
      </c>
      <c r="AQ160" s="25"/>
      <c r="AR160" s="3"/>
      <c r="AS160" s="478" t="s">
        <v>250</v>
      </c>
      <c r="AT160" s="478" t="s">
        <v>250</v>
      </c>
      <c r="AU160" s="478" t="s">
        <v>250</v>
      </c>
      <c r="AV160" s="478" t="s">
        <v>250</v>
      </c>
      <c r="AW160" s="478" t="s">
        <v>250</v>
      </c>
      <c r="AY160" s="3"/>
      <c r="AZ160" s="478" t="s">
        <v>250</v>
      </c>
      <c r="BA160" s="478" t="s">
        <v>250</v>
      </c>
      <c r="BB160" s="478" t="s">
        <v>250</v>
      </c>
      <c r="BC160" s="478" t="s">
        <v>250</v>
      </c>
      <c r="BD160" s="478" t="s">
        <v>250</v>
      </c>
      <c r="BE160" s="25"/>
      <c r="BF160" s="25"/>
      <c r="BG160" s="25"/>
    </row>
    <row r="161" spans="1:88" ht="12.75" customHeight="1">
      <c r="A161" s="1" t="s">
        <v>64</v>
      </c>
      <c r="B161" s="7">
        <f>+'NEW-Tables 80-86'!B101+'NEW-Tables 80-86'!B131</f>
        <v>318297.11333333328</v>
      </c>
      <c r="D161" s="172">
        <f>+'NEW-Tables 80-86'!C101+'NEW-Tables 80-86'!C131</f>
        <v>827169.74177777779</v>
      </c>
      <c r="F161" s="172">
        <f>+'NEW-Tables 80-86'!D101+'NEW-Tables 80-86'!D131</f>
        <v>402481.7473333333</v>
      </c>
      <c r="H161" s="174">
        <f>+'NEW-Tables 80-86'!E101+'NEW-Tables 80-86'!E131</f>
        <v>122381.67911111108</v>
      </c>
      <c r="J161" s="172">
        <f>+'NEW-Tables 80-86'!F101+'NEW-Tables 80-86'!F131</f>
        <v>1670330.2815555555</v>
      </c>
      <c r="K161" s="1"/>
      <c r="Q161" s="1" t="s">
        <v>64</v>
      </c>
      <c r="R161" s="405"/>
      <c r="S161" s="394">
        <f>C161-R161</f>
        <v>0</v>
      </c>
      <c r="T161" s="234"/>
      <c r="U161" s="394">
        <f>E161-T161</f>
        <v>0</v>
      </c>
      <c r="V161" s="234"/>
      <c r="W161" s="394">
        <f>G161-V161</f>
        <v>0</v>
      </c>
      <c r="X161" s="234"/>
      <c r="Y161" s="394">
        <f>I161-X161</f>
        <v>0</v>
      </c>
      <c r="Z161" s="234"/>
      <c r="AA161" s="394">
        <f>K161-Z161</f>
        <v>0</v>
      </c>
      <c r="AC161" s="99" t="s">
        <v>64</v>
      </c>
      <c r="AD161" s="80">
        <f t="shared" ref="AD161:AI161" si="24">SUM(AD163:AD181)</f>
        <v>318297.11333333334</v>
      </c>
      <c r="AE161" s="80">
        <f t="shared" si="24"/>
        <v>754688.89288888895</v>
      </c>
      <c r="AF161" s="80">
        <f t="shared" si="24"/>
        <v>391147.37399999995</v>
      </c>
      <c r="AG161" s="80">
        <f t="shared" si="24"/>
        <v>119082.75911111113</v>
      </c>
      <c r="AH161" s="80">
        <f t="shared" si="24"/>
        <v>199453.22555555557</v>
      </c>
      <c r="AI161" s="80">
        <f t="shared" si="24"/>
        <v>1670330.2815555555</v>
      </c>
      <c r="AJ161" s="434" t="s">
        <v>64</v>
      </c>
      <c r="AK161" s="427">
        <f t="shared" ref="AK161:AP161" si="25">SUM(AK163:AK181)</f>
        <v>323673.82444444444</v>
      </c>
      <c r="AL161" s="427">
        <f t="shared" si="25"/>
        <v>701228.14444444445</v>
      </c>
      <c r="AM161" s="427">
        <f t="shared" si="25"/>
        <v>373582.46111111104</v>
      </c>
      <c r="AN161" s="427">
        <f t="shared" si="25"/>
        <v>124773.47444444444</v>
      </c>
      <c r="AO161" s="427">
        <f t="shared" si="25"/>
        <v>204729.16111111111</v>
      </c>
      <c r="AP161" s="427">
        <f t="shared" si="25"/>
        <v>1720684.9988888889</v>
      </c>
      <c r="AR161" s="1" t="s">
        <v>64</v>
      </c>
      <c r="AY161" s="1" t="s">
        <v>64</v>
      </c>
      <c r="BH161" s="75"/>
      <c r="BI161" s="75"/>
      <c r="BJ161" s="75"/>
    </row>
    <row r="162" spans="1:88" ht="12.75" customHeight="1">
      <c r="A162" s="255"/>
      <c r="B162" s="256"/>
      <c r="C162" s="251" t="s">
        <v>178</v>
      </c>
      <c r="D162" s="252" t="s">
        <v>28</v>
      </c>
      <c r="E162" s="251" t="s">
        <v>179</v>
      </c>
      <c r="F162" s="252" t="s">
        <v>28</v>
      </c>
      <c r="G162" s="253" t="s">
        <v>180</v>
      </c>
      <c r="H162" s="254" t="s">
        <v>28</v>
      </c>
      <c r="I162" s="253" t="s">
        <v>181</v>
      </c>
      <c r="J162" s="254" t="s">
        <v>28</v>
      </c>
      <c r="K162" s="251" t="s">
        <v>182</v>
      </c>
      <c r="L162" s="4" t="s">
        <v>28</v>
      </c>
      <c r="P162" s="75"/>
      <c r="R162" s="401" t="s">
        <v>207</v>
      </c>
      <c r="S162" s="406"/>
      <c r="T162" s="402" t="s">
        <v>215</v>
      </c>
      <c r="U162" s="406"/>
      <c r="V162" s="402" t="s">
        <v>216</v>
      </c>
      <c r="W162" s="406"/>
      <c r="X162" s="402" t="s">
        <v>217</v>
      </c>
      <c r="Y162" s="406"/>
      <c r="Z162" s="402" t="s">
        <v>218</v>
      </c>
      <c r="AA162" s="406"/>
      <c r="AB162" s="75"/>
      <c r="AC162" s="99"/>
      <c r="AD162" s="80"/>
      <c r="AE162" s="80"/>
      <c r="AF162" s="80"/>
      <c r="AG162" s="80"/>
      <c r="AH162" s="80"/>
      <c r="AI162" s="80"/>
      <c r="AJ162" s="434"/>
      <c r="AK162" s="427"/>
      <c r="AL162" s="428"/>
      <c r="AM162" s="428"/>
      <c r="AN162" s="421"/>
      <c r="AO162" s="421"/>
      <c r="AP162" s="421"/>
      <c r="AQ162" s="25"/>
      <c r="BE162" s="25"/>
      <c r="BF162" s="25"/>
      <c r="BG162" s="25"/>
      <c r="BK162" s="75"/>
      <c r="BL162" s="75"/>
      <c r="BM162" s="75"/>
      <c r="BN162" s="75"/>
      <c r="BO162" s="75"/>
      <c r="BP162" s="75"/>
      <c r="BQ162" s="75"/>
      <c r="BR162" s="75"/>
      <c r="BS162" s="75"/>
      <c r="BT162" s="75"/>
      <c r="BU162" s="75"/>
      <c r="BV162" s="75"/>
      <c r="BW162" s="75"/>
      <c r="BX162" s="75"/>
      <c r="BY162" s="75"/>
      <c r="BZ162" s="75"/>
      <c r="CA162" s="75"/>
      <c r="CB162" s="75"/>
      <c r="CC162" s="75"/>
      <c r="CD162" s="75"/>
      <c r="CE162" s="75"/>
      <c r="CF162" s="75"/>
      <c r="CG162" s="75"/>
      <c r="CH162" s="75"/>
      <c r="CI162" s="75"/>
      <c r="CJ162" s="75"/>
    </row>
    <row r="163" spans="1:88" s="75" customFormat="1" ht="15" customHeight="1">
      <c r="A163" s="1" t="s">
        <v>65</v>
      </c>
      <c r="B163" s="7">
        <f>+'NEW-Tables 80-86'!B103+'NEW-Tables 80-86'!B133</f>
        <v>0</v>
      </c>
      <c r="C163" s="95">
        <f>+GETPIVOTDATA("Sum of New-HS % of Total",'Pivot-HS Student % of Undergrad'!$A$3,"State","AL","Category",7,"Category2","Two-Year")</f>
        <v>0</v>
      </c>
      <c r="D163" s="172">
        <f>+'NEW-Tables 80-86'!C103+'NEW-Tables 80-86'!C133</f>
        <v>12914.266666666666</v>
      </c>
      <c r="E163" s="95">
        <f>+GETPIVOTDATA("Sum of New-HS % of Total",'Pivot-HS Student % of Undergrad'!$A$3,"State","AL","Category",8,"Category2","Two-Year")</f>
        <v>4.336031469072963E-2</v>
      </c>
      <c r="F163" s="172">
        <f>+'NEW-Tables 80-86'!D103+'NEW-Tables 80-86'!D133</f>
        <v>37038.033333333333</v>
      </c>
      <c r="G163" s="95">
        <f>+GETPIVOTDATA("Sum of New-HS % of Total",'Pivot-HS Student % of Undergrad'!$A$3,"State","AL","Category",9,"Category2","Two-Year")</f>
        <v>4.1553682205948662E-2</v>
      </c>
      <c r="H163" s="172">
        <f>+'NEW-Tables 80-86'!E103+'NEW-Tables 80-86'!E133</f>
        <v>9762.0666666666675</v>
      </c>
      <c r="I163" s="95">
        <f>+GETPIVOTDATA("Sum of New-HS % of Total",'Pivot-HS Student % of Undergrad'!$A$3,"State","AL","Category",10,"Category2","Two-Year")</f>
        <v>4.2378321530277062E-2</v>
      </c>
      <c r="J163" s="172">
        <f>+'NEW-Tables 80-86'!F103+'NEW-Tables 80-86'!F133</f>
        <v>59714.366666666669</v>
      </c>
      <c r="K163" s="95">
        <f>+GETPIVOTDATA("Sum of New-HS % of Total",'Pivot-HS Student % of Undergrad'!$A$3,"State","AL","Category2","Group2")</f>
        <v>4.2079209302507324E-2</v>
      </c>
      <c r="L163" s="75" t="s">
        <v>28</v>
      </c>
      <c r="P163" s="1"/>
      <c r="Q163" s="1" t="s">
        <v>65</v>
      </c>
      <c r="R163" s="233">
        <f>+GETPIVOTDATA("Sum of Old-HS % of Total",'Pivot-HS Student % of Undergrad'!$A$3,"State","AL","Category",7,"Category2","Two-Year")</f>
        <v>0</v>
      </c>
      <c r="S163" s="441">
        <f>(C163-R163)*100</f>
        <v>0</v>
      </c>
      <c r="T163" s="234">
        <f>+GETPIVOTDATA("Sum of Old-HS % of Total",'Pivot-HS Student % of Undergrad'!$A$3,"State","AL","Category",8,"Category2","Two-Year")</f>
        <v>3.4333067319594505E-2</v>
      </c>
      <c r="U163" s="441">
        <f>(E163-T163)*100</f>
        <v>0.90272473711351253</v>
      </c>
      <c r="V163" s="234">
        <f>+GETPIVOTDATA("Sum of Old-HS % of Total",'Pivot-HS Student % of Undergrad'!$A$3,"State","AL","Category",9,"Category2","Two-Year")</f>
        <v>3.1248321356846177E-2</v>
      </c>
      <c r="W163" s="441">
        <f>(G163-V163)*100</f>
        <v>1.0305360849102485</v>
      </c>
      <c r="X163" s="234">
        <f>+GETPIVOTDATA("Sum of Old-HS % of Total",'Pivot-HS Student % of Undergrad'!$A$3,"State","AL","Category",10,"Category2","Two-Year")</f>
        <v>3.056445225057685E-2</v>
      </c>
      <c r="Y163" s="441">
        <f>(I163-X163)*100</f>
        <v>1.1813869279700211</v>
      </c>
      <c r="Z163" s="234">
        <f>+GETPIVOTDATA("Sum of Old-HS % of Total",'Pivot-HS Student % of Undergrad'!$A$3,"State","AL","Category2","Two-Year")</f>
        <v>3.1816070473585652E-2</v>
      </c>
      <c r="AA163" s="441">
        <f>(K163-Z163)*100</f>
        <v>1.0263138828921672</v>
      </c>
      <c r="AB163" s="1"/>
      <c r="AC163" s="99" t="s">
        <v>65</v>
      </c>
      <c r="AD163" s="80">
        <f>+B163</f>
        <v>0</v>
      </c>
      <c r="AE163" s="80">
        <f>+D163</f>
        <v>12914.266666666666</v>
      </c>
      <c r="AF163" s="80">
        <f>+F163</f>
        <v>37038.033333333333</v>
      </c>
      <c r="AG163" s="80">
        <f>+H163</f>
        <v>9762.0666666666675</v>
      </c>
      <c r="AH163" s="80"/>
      <c r="AI163" s="80">
        <f>+J163</f>
        <v>59714.366666666669</v>
      </c>
      <c r="AJ163" s="434" t="s">
        <v>65</v>
      </c>
      <c r="AK163" s="427">
        <f>+'NEW-Tables 80-86'!R103+'NEW-Tables 80-86'!Q133</f>
        <v>0</v>
      </c>
      <c r="AL163" s="427">
        <f>+'NEW-Tables 80-86'!S103+'NEW-Tables 80-86'!R133</f>
        <v>13491.366666666667</v>
      </c>
      <c r="AM163" s="427">
        <f>+'NEW-Tables 80-86'!T103+'NEW-Tables 80-86'!S133</f>
        <v>38473.533333333333</v>
      </c>
      <c r="AN163" s="427">
        <f>+'NEW-Tables 80-86'!U103+'NEW-Tables 80-86'!T133</f>
        <v>9679</v>
      </c>
      <c r="AO163" s="427"/>
      <c r="AP163" s="429">
        <f>+'NEW-Tables 80-86'!V103+'NEW-Tables 80-86'!U133</f>
        <v>61643.9</v>
      </c>
      <c r="AQ163" s="1"/>
      <c r="AR163" s="1" t="s">
        <v>65</v>
      </c>
      <c r="AS163" s="485">
        <f>C163*100</f>
        <v>0</v>
      </c>
      <c r="AT163" s="485">
        <f>E163*100</f>
        <v>4.3360314690729629</v>
      </c>
      <c r="AU163" s="485">
        <f>G163*100</f>
        <v>4.1553682205948661</v>
      </c>
      <c r="AV163" s="485">
        <f>I163*100</f>
        <v>4.2378321530277061</v>
      </c>
      <c r="AW163" s="485">
        <f>K163*100</f>
        <v>4.2079209302507321</v>
      </c>
      <c r="AY163" s="1" t="s">
        <v>65</v>
      </c>
      <c r="AZ163" s="485">
        <f>R163*100</f>
        <v>0</v>
      </c>
      <c r="BA163" s="485">
        <f>T163*100</f>
        <v>3.4333067319594504</v>
      </c>
      <c r="BB163" s="485">
        <f>V163*100</f>
        <v>3.1248321356846178</v>
      </c>
      <c r="BC163" s="485">
        <f>X163*100</f>
        <v>3.056445225057685</v>
      </c>
      <c r="BD163" s="485">
        <f>Z163*100</f>
        <v>3.1816070473585651</v>
      </c>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row>
    <row r="164" spans="1:88" ht="15" customHeight="1">
      <c r="A164" s="1" t="s">
        <v>66</v>
      </c>
      <c r="B164" s="32">
        <f>+'NEW-Tables 80-86'!B104+'NEW-Tables 80-86'!B134</f>
        <v>0</v>
      </c>
      <c r="C164" s="95">
        <f>+GETPIVOTDATA("Sum of New-HS % of Total",'Pivot-HS Student % of Undergrad'!$A$3,"State","AR","Category",7,"Category2","Two-Year")</f>
        <v>0</v>
      </c>
      <c r="D164" s="172">
        <f>+'NEW-Tables 80-86'!C104+'NEW-Tables 80-86'!C134</f>
        <v>10656.633333333333</v>
      </c>
      <c r="E164" s="95">
        <f>+GETPIVOTDATA("Sum of New-HS % of Total",'Pivot-HS Student % of Undergrad'!$A$3,"State","AR","Category",8,"Category2","Two-Year")</f>
        <v>6.3400260870381198E-2</v>
      </c>
      <c r="F164" s="172">
        <f>+'NEW-Tables 80-86'!D104+'NEW-Tables 80-86'!D134</f>
        <v>4918.666666666667</v>
      </c>
      <c r="G164" s="95">
        <f>+GETPIVOTDATA("Sum of New-HS % of Total",'Pivot-HS Student % of Undergrad'!$A$3,"State","AR","Category",9,"Category2","Two-Year")</f>
        <v>0.10315803740851179</v>
      </c>
      <c r="H164" s="172">
        <f>+'NEW-Tables 80-86'!E104+'NEW-Tables 80-86'!E134</f>
        <v>19247.333333333336</v>
      </c>
      <c r="I164" s="95">
        <f>+GETPIVOTDATA("Sum of New-HS % of Total",'Pivot-HS Student % of Undergrad'!$A$3,"State","AR","Category",10,"Category2","Two-Year")</f>
        <v>0.13559973676007067</v>
      </c>
      <c r="J164" s="172">
        <f>+'NEW-Tables 80-86'!F104+'NEW-Tables 80-86'!F134</f>
        <v>34822.633333333331</v>
      </c>
      <c r="K164" s="95">
        <f>+GETPIVOTDATA("Sum of New-HS % of Total",'Pivot-HS Student % of Undergrad'!$A$3,"State","AR","Category2","Group2")</f>
        <v>0.10892245369151672</v>
      </c>
      <c r="Q164" s="4" t="s">
        <v>66</v>
      </c>
      <c r="R164" s="233">
        <f>+GETPIVOTDATA("Sum of Old-HS % of Total",'Pivot-HS Student % of Undergrad'!$A$3,"State","AR","Category",7,"Category2","Two-Year")</f>
        <v>0</v>
      </c>
      <c r="S164" s="441">
        <f t="shared" ref="S164:S181" si="26">(C164-R164)*100</f>
        <v>0</v>
      </c>
      <c r="T164" s="234">
        <f>+GETPIVOTDATA("Sum of Old-HS % of Total",'Pivot-HS Student % of Undergrad'!$A$3,"State","AR","Category",8,"Category2","Two-Year")</f>
        <v>4.9357469401011204E-2</v>
      </c>
      <c r="U164" s="441">
        <f t="shared" ref="U164:U181" si="27">(E164-T164)*100</f>
        <v>1.4042791469369993</v>
      </c>
      <c r="V164" s="234">
        <f>+GETPIVOTDATA("Sum of Old-HS % of Total",'Pivot-HS Student % of Undergrad'!$A$3,"State","AR","Category",9,"Category2","Two-Year")</f>
        <v>8.8849571388466331E-2</v>
      </c>
      <c r="W164" s="441">
        <f t="shared" ref="W164:W181" si="28">(G164-V164)*100</f>
        <v>1.4308466020045456</v>
      </c>
      <c r="X164" s="234">
        <f>+GETPIVOTDATA("Sum of Old-HS % of Total",'Pivot-HS Student % of Undergrad'!$A$3,"State","AR","Category",10,"Category2","Two-Year")</f>
        <v>0.11651427804458063</v>
      </c>
      <c r="Y164" s="441">
        <f t="shared" ref="Y164:Y181" si="29">(I164-X164)*100</f>
        <v>1.9085458715490042</v>
      </c>
      <c r="Z164" s="234">
        <f>+GETPIVOTDATA("Sum of Old-HS % of Total",'Pivot-HS Student % of Undergrad'!$A$3,"State","AR","Category2","Two-Year")</f>
        <v>9.1113819321008024E-2</v>
      </c>
      <c r="AA164" s="441">
        <f t="shared" ref="AA164:AA181" si="30">(K164-Z164)*100</f>
        <v>1.7808634370508698</v>
      </c>
      <c r="AB164" s="263"/>
      <c r="AC164" s="99" t="s">
        <v>66</v>
      </c>
      <c r="AD164" s="80">
        <f>+B164</f>
        <v>0</v>
      </c>
      <c r="AE164" s="80">
        <f>+D164</f>
        <v>10656.633333333333</v>
      </c>
      <c r="AF164" s="80">
        <f>+F164</f>
        <v>4918.666666666667</v>
      </c>
      <c r="AG164" s="80">
        <f>+H164</f>
        <v>19247.333333333336</v>
      </c>
      <c r="AH164" s="80"/>
      <c r="AI164" s="80">
        <f>+J164</f>
        <v>34822.633333333331</v>
      </c>
      <c r="AJ164" s="434" t="s">
        <v>66</v>
      </c>
      <c r="AK164" s="428">
        <f>+'NEW-Tables 80-86'!R104+'NEW-Tables 80-86'!Q134</f>
        <v>0</v>
      </c>
      <c r="AL164" s="428">
        <f>+'NEW-Tables 80-86'!S104+'NEW-Tables 80-86'!R134</f>
        <v>12110.966666666667</v>
      </c>
      <c r="AM164" s="428">
        <f>+'NEW-Tables 80-86'!T104+'NEW-Tables 80-86'!S134</f>
        <v>5105.6333333333332</v>
      </c>
      <c r="AN164" s="428">
        <f>+'NEW-Tables 80-86'!U104+'NEW-Tables 80-86'!T134</f>
        <v>20364.599999999999</v>
      </c>
      <c r="AO164" s="428"/>
      <c r="AP164" s="429">
        <f>+'NEW-Tables 80-86'!V104+'NEW-Tables 80-86'!U134</f>
        <v>37581.199999999997</v>
      </c>
      <c r="AQ164" s="25"/>
      <c r="AR164" s="4" t="s">
        <v>66</v>
      </c>
      <c r="AS164" s="485">
        <f t="shared" ref="AS164:AS181" si="31">C164*100</f>
        <v>0</v>
      </c>
      <c r="AT164" s="485">
        <f t="shared" ref="AT164:AT181" si="32">E164*100</f>
        <v>6.3400260870381198</v>
      </c>
      <c r="AU164" s="485">
        <f t="shared" ref="AU164:AU181" si="33">G164*100</f>
        <v>10.315803740851178</v>
      </c>
      <c r="AV164" s="485">
        <f t="shared" ref="AV164:AV181" si="34">I164*100</f>
        <v>13.559973676007067</v>
      </c>
      <c r="AW164" s="485">
        <f t="shared" ref="AW164:AW181" si="35">K164*100</f>
        <v>10.892245369151672</v>
      </c>
      <c r="AY164" s="4" t="s">
        <v>66</v>
      </c>
      <c r="AZ164" s="485">
        <f t="shared" ref="AZ164:AZ181" si="36">R164*100</f>
        <v>0</v>
      </c>
      <c r="BA164" s="485">
        <f t="shared" ref="BA164:BA181" si="37">T164*100</f>
        <v>4.9357469401011205</v>
      </c>
      <c r="BB164" s="485">
        <f t="shared" ref="BB164:BB181" si="38">V164*100</f>
        <v>8.8849571388466337</v>
      </c>
      <c r="BC164" s="485">
        <f t="shared" ref="BC164:BC181" si="39">X164*100</f>
        <v>11.651427804458063</v>
      </c>
      <c r="BD164" s="485">
        <f t="shared" ref="BD164:BD181" si="40">Z164*100</f>
        <v>9.1113819321008016</v>
      </c>
      <c r="BE164" s="25"/>
      <c r="BF164" s="25"/>
      <c r="BG164" s="25"/>
    </row>
    <row r="165" spans="1:88" ht="15" customHeight="1">
      <c r="A165" s="1" t="s">
        <v>102</v>
      </c>
      <c r="B165" s="32">
        <f>+'NEW-Tables 80-86'!B105+'NEW-Tables 80-86'!B135</f>
        <v>0</v>
      </c>
      <c r="C165" s="95">
        <f>+GETPIVOTDATA("Sum of New-HS % of Total",'Pivot-HS Student % of Undergrad'!$A$3,"State","DE","Category",7,"Category2","Two-Year")</f>
        <v>0</v>
      </c>
      <c r="D165" s="172">
        <f>+'NEW-Tables 80-86'!C105+'NEW-Tables 80-86'!C135</f>
        <v>0</v>
      </c>
      <c r="E165" s="95">
        <f>+GETPIVOTDATA("Sum of New-HS % of Total",'Pivot-HS Student % of Undergrad'!$A$3,"State","DE","Category",8,"Category2","Two-Year")</f>
        <v>0</v>
      </c>
      <c r="F165" s="172">
        <f>+'NEW-Tables 80-86'!D105+'NEW-Tables 80-86'!D135</f>
        <v>9102</v>
      </c>
      <c r="G165" s="95">
        <f>+GETPIVOTDATA("Sum of New-HS % of Total",'Pivot-HS Student % of Undergrad'!$A$3,"State","DE","Category",9,"Category2","Two-Year")</f>
        <v>0</v>
      </c>
      <c r="H165" s="172">
        <f>+'NEW-Tables 80-86'!E105+'NEW-Tables 80-86'!E135</f>
        <v>0</v>
      </c>
      <c r="I165" s="95">
        <f>+GETPIVOTDATA("Sum of New-HS % of Total",'Pivot-HS Student % of Undergrad'!$A$3,"State","DE","Category",10,"Category2","Two-Year")</f>
        <v>0</v>
      </c>
      <c r="J165" s="172">
        <f>+'NEW-Tables 80-86'!F105+'NEW-Tables 80-86'!F135</f>
        <v>9102</v>
      </c>
      <c r="K165" s="95">
        <f>+GETPIVOTDATA("Sum of New-HS % of Total",'Pivot-HS Student % of Undergrad'!$A$3,"State","DE","Category2","Group2")</f>
        <v>0</v>
      </c>
      <c r="Q165" s="1" t="s">
        <v>102</v>
      </c>
      <c r="R165" s="233">
        <f>+GETPIVOTDATA("Sum of Old-HS % of Total",'Pivot-HS Student % of Undergrad'!$A$3,"State","DE","Category",7,"Category2","Two-Year")</f>
        <v>0</v>
      </c>
      <c r="S165" s="441">
        <f t="shared" si="26"/>
        <v>0</v>
      </c>
      <c r="T165" s="234">
        <f>+GETPIVOTDATA("Sum of Old-HS % of Total",'Pivot-HS Student % of Undergrad'!$A$3,"State","DE","Category",8,"Category2","Two-Year")</f>
        <v>0</v>
      </c>
      <c r="U165" s="441">
        <f t="shared" si="27"/>
        <v>0</v>
      </c>
      <c r="V165" s="234">
        <f>+GETPIVOTDATA("Sum of Old-HS % of Total",'Pivot-HS Student % of Undergrad'!$A$3,"State","DE","Category",9,"Category2","Two-Year")</f>
        <v>0</v>
      </c>
      <c r="W165" s="441">
        <f t="shared" si="28"/>
        <v>0</v>
      </c>
      <c r="X165" s="234">
        <f>+GETPIVOTDATA("Sum of Old-HS % of Total",'Pivot-HS Student % of Undergrad'!$A$3,"State","DE","Category",10,"Category2","Two-Year")</f>
        <v>0</v>
      </c>
      <c r="Y165" s="441">
        <f t="shared" si="29"/>
        <v>0</v>
      </c>
      <c r="Z165" s="234">
        <f>+GETPIVOTDATA("Sum of Old-HS % of Total",'Pivot-HS Student % of Undergrad'!$A$3,"State","DE","Category2","Two-Year")</f>
        <v>0</v>
      </c>
      <c r="AA165" s="441">
        <f t="shared" si="30"/>
        <v>0</v>
      </c>
      <c r="AC165" s="99" t="s">
        <v>102</v>
      </c>
      <c r="AD165" s="80">
        <f>+B165</f>
        <v>0</v>
      </c>
      <c r="AE165" s="80">
        <f>+D165</f>
        <v>0</v>
      </c>
      <c r="AF165" s="80">
        <f>+F165</f>
        <v>9102</v>
      </c>
      <c r="AG165" s="80">
        <f>+H165</f>
        <v>0</v>
      </c>
      <c r="AH165" s="80"/>
      <c r="AI165" s="80">
        <f>+J165</f>
        <v>9102</v>
      </c>
      <c r="AJ165" s="434" t="s">
        <v>102</v>
      </c>
      <c r="AK165" s="428">
        <f>+'NEW-Tables 80-86'!R105+'NEW-Tables 80-86'!Q135</f>
        <v>0</v>
      </c>
      <c r="AL165" s="428">
        <f>+'NEW-Tables 80-86'!S105+'NEW-Tables 80-86'!R135</f>
        <v>0</v>
      </c>
      <c r="AM165" s="428">
        <f>+'NEW-Tables 80-86'!T105+'NEW-Tables 80-86'!S135</f>
        <v>9913.6</v>
      </c>
      <c r="AN165" s="428">
        <f>+'NEW-Tables 80-86'!U105+'NEW-Tables 80-86'!T135</f>
        <v>0</v>
      </c>
      <c r="AO165" s="428"/>
      <c r="AP165" s="429">
        <f>+'NEW-Tables 80-86'!V105+'NEW-Tables 80-86'!U135</f>
        <v>9913.6</v>
      </c>
      <c r="AR165" s="1" t="s">
        <v>102</v>
      </c>
      <c r="AS165" s="485">
        <f t="shared" si="31"/>
        <v>0</v>
      </c>
      <c r="AT165" s="485">
        <f t="shared" si="32"/>
        <v>0</v>
      </c>
      <c r="AU165" s="485">
        <f t="shared" si="33"/>
        <v>0</v>
      </c>
      <c r="AV165" s="485">
        <f t="shared" si="34"/>
        <v>0</v>
      </c>
      <c r="AW165" s="485">
        <f t="shared" si="35"/>
        <v>0</v>
      </c>
      <c r="AY165" s="1" t="s">
        <v>102</v>
      </c>
      <c r="AZ165" s="485">
        <f t="shared" si="36"/>
        <v>0</v>
      </c>
      <c r="BA165" s="485">
        <f t="shared" si="37"/>
        <v>0</v>
      </c>
      <c r="BB165" s="485">
        <f t="shared" si="38"/>
        <v>0</v>
      </c>
      <c r="BC165" s="485">
        <f t="shared" si="39"/>
        <v>0</v>
      </c>
      <c r="BD165" s="485">
        <f t="shared" si="40"/>
        <v>0</v>
      </c>
    </row>
    <row r="166" spans="1:88" ht="15" customHeight="1">
      <c r="A166" s="1" t="s">
        <v>67</v>
      </c>
      <c r="B166" s="32">
        <f>+'NEW-Tables 80-86'!B106+'NEW-Tables 80-86'!B136</f>
        <v>274703.43</v>
      </c>
      <c r="C166" s="95">
        <f>+GETPIVOTDATA("Sum of New-HS % of Total",'Pivot-HS Student % of Undergrad'!$A$3,"State","FL","Category",7,"Category2","Two-Year")</f>
        <v>2.47800540020887E-2</v>
      </c>
      <c r="D166" s="172">
        <f>+'NEW-Tables 80-86'!C106+'NEW-Tables 80-86'!C136</f>
        <v>48138.933333333342</v>
      </c>
      <c r="E166" s="95">
        <f>+GETPIVOTDATA("Sum of New-HS % of Total",'Pivot-HS Student % of Undergrad'!$A$3,"State","FL","Category",8,"Category2","Two-Year")</f>
        <v>3.5001715921734969E-2</v>
      </c>
      <c r="F166" s="172">
        <f>+'NEW-Tables 80-86'!D106+'NEW-Tables 80-86'!D136</f>
        <v>6996.3166666666666</v>
      </c>
      <c r="G166" s="95">
        <f>+GETPIVOTDATA("Sum of New-HS % of Total",'Pivot-HS Student % of Undergrad'!$A$3,"State","FL","Category",9,"Category2","Two-Year")</f>
        <v>9.8616010163690662E-2</v>
      </c>
      <c r="H166" s="172">
        <f>+'NEW-Tables 80-86'!E106+'NEW-Tables 80-86'!E136</f>
        <v>1531.4533333333334</v>
      </c>
      <c r="I166" s="95">
        <f>+GETPIVOTDATA("Sum of New-HS % of Total",'Pivot-HS Student % of Undergrad'!$A$3,"State","FL","Category",10,"Category2","Two-Year")</f>
        <v>3.4494501752188864E-2</v>
      </c>
      <c r="J166" s="172">
        <f>+'NEW-Tables 80-86'!F106+'NEW-Tables 80-86'!F136</f>
        <v>331370.13333333336</v>
      </c>
      <c r="K166" s="95">
        <f>+GETPIVOTDATA("Sum of New-HS % of Total",'Pivot-HS Student % of Undergrad'!$A$3,"State","FL","Category2","Group2")</f>
        <v>2.9058534965009698E-2</v>
      </c>
      <c r="Q166" s="1" t="s">
        <v>67</v>
      </c>
      <c r="R166" s="233">
        <f>+GETPIVOTDATA("Sum of Old-HS % of Total",'Pivot-HS Student % of Undergrad'!$A$3,"State","FL","Category",7,"Category2","Two-Year")</f>
        <v>2.3326279659050174E-2</v>
      </c>
      <c r="S166" s="441">
        <f t="shared" si="26"/>
        <v>0.14537743430385261</v>
      </c>
      <c r="T166" s="407">
        <f>+GETPIVOTDATA("Sum of Old-HS % of Total",'Pivot-HS Student % of Undergrad'!$A$3,"State","FL","Category",8,"Category2","Two-Year")</f>
        <v>3.8241561715660351E-2</v>
      </c>
      <c r="U166" s="441">
        <f t="shared" si="27"/>
        <v>-0.32398457939253822</v>
      </c>
      <c r="V166" s="234">
        <f>+GETPIVOTDATA("Sum of Old-HS % of Total",'Pivot-HS Student % of Undergrad'!$A$3,"State","FL","Category",9,"Category2","Two-Year")</f>
        <v>9.1704683997325676E-2</v>
      </c>
      <c r="W166" s="441">
        <f t="shared" si="28"/>
        <v>0.69113261663649861</v>
      </c>
      <c r="X166" s="234">
        <f>+GETPIVOTDATA("Sum of Old-HS % of Total",'Pivot-HS Student % of Undergrad'!$A$3,"State","FL","Category",10,"Category2","Two-Year")</f>
        <v>3.7966990569709716E-2</v>
      </c>
      <c r="Y166" s="441">
        <f t="shared" si="29"/>
        <v>-0.34724888175208524</v>
      </c>
      <c r="Z166" s="234">
        <f>+GETPIVOTDATA("Sum of Old-HS % of Total",'Pivot-HS Student % of Undergrad'!$A$3,"State","FL","Category2","Two-Year")</f>
        <v>2.8133270035753409E-2</v>
      </c>
      <c r="AA166" s="441">
        <f t="shared" si="30"/>
        <v>9.2526492925628853E-2</v>
      </c>
      <c r="AC166" s="99" t="s">
        <v>67</v>
      </c>
      <c r="AD166" s="80">
        <f>+B166</f>
        <v>274703.43</v>
      </c>
      <c r="AE166" s="80">
        <f>+D166</f>
        <v>48138.933333333342</v>
      </c>
      <c r="AF166" s="80">
        <f>+F166</f>
        <v>6996.3166666666666</v>
      </c>
      <c r="AG166" s="80">
        <f>+H166</f>
        <v>1531.4533333333334</v>
      </c>
      <c r="AH166" s="80"/>
      <c r="AI166" s="80">
        <f>+J166</f>
        <v>331370.13333333336</v>
      </c>
      <c r="AJ166" s="434" t="s">
        <v>67</v>
      </c>
      <c r="AK166" s="428">
        <f>+'NEW-Tables 80-86'!R106+'NEW-Tables 80-86'!Q136</f>
        <v>280249.47777777776</v>
      </c>
      <c r="AL166" s="428">
        <f>+'NEW-Tables 80-86'!S106+'NEW-Tables 80-86'!R136</f>
        <v>49085.847777777781</v>
      </c>
      <c r="AM166" s="428">
        <f>+'NEW-Tables 80-86'!T106+'NEW-Tables 80-86'!S136</f>
        <v>7046.0888888888894</v>
      </c>
      <c r="AN166" s="428">
        <f>+'NEW-Tables 80-86'!U106+'NEW-Tables 80-86'!T136</f>
        <v>1525.392222222222</v>
      </c>
      <c r="AO166" s="428"/>
      <c r="AP166" s="429">
        <f>+'NEW-Tables 80-86'!V106+'NEW-Tables 80-86'!U136</f>
        <v>337906.80666666664</v>
      </c>
      <c r="AQ166" s="25"/>
      <c r="AR166" s="1" t="s">
        <v>67</v>
      </c>
      <c r="AS166" s="485">
        <f t="shared" si="31"/>
        <v>2.4780054002088701</v>
      </c>
      <c r="AT166" s="485">
        <f t="shared" si="32"/>
        <v>3.5001715921734968</v>
      </c>
      <c r="AU166" s="485">
        <f t="shared" si="33"/>
        <v>9.8616010163690664</v>
      </c>
      <c r="AV166" s="485">
        <f t="shared" si="34"/>
        <v>3.4494501752188862</v>
      </c>
      <c r="AW166" s="485">
        <f t="shared" si="35"/>
        <v>2.9058534965009697</v>
      </c>
      <c r="AY166" s="1" t="s">
        <v>67</v>
      </c>
      <c r="AZ166" s="485">
        <f t="shared" si="36"/>
        <v>2.3326279659050173</v>
      </c>
      <c r="BA166" s="485">
        <f t="shared" si="37"/>
        <v>3.824156171566035</v>
      </c>
      <c r="BB166" s="485">
        <f t="shared" si="38"/>
        <v>9.1704683997325667</v>
      </c>
      <c r="BC166" s="485">
        <f t="shared" si="39"/>
        <v>3.7966990569709718</v>
      </c>
      <c r="BD166" s="485">
        <f t="shared" si="40"/>
        <v>2.813327003575341</v>
      </c>
      <c r="BE166" s="25"/>
      <c r="BF166" s="25"/>
      <c r="BG166" s="25"/>
    </row>
    <row r="167" spans="1:88" ht="15" customHeight="1">
      <c r="B167" s="32"/>
      <c r="C167" s="95"/>
      <c r="D167" s="172"/>
      <c r="E167" s="95"/>
      <c r="F167" s="172"/>
      <c r="G167" s="95"/>
      <c r="H167" s="172"/>
      <c r="I167" s="95"/>
      <c r="J167" s="172"/>
      <c r="K167" s="95"/>
      <c r="R167" s="233"/>
      <c r="S167" s="441"/>
      <c r="T167" s="407"/>
      <c r="U167" s="441"/>
      <c r="V167" s="234"/>
      <c r="W167" s="441"/>
      <c r="X167" s="234"/>
      <c r="Y167" s="441"/>
      <c r="Z167" s="234"/>
      <c r="AA167" s="441"/>
      <c r="AC167" s="99"/>
      <c r="AD167" s="80"/>
      <c r="AE167" s="80"/>
      <c r="AF167" s="80"/>
      <c r="AG167" s="80"/>
      <c r="AH167" s="80"/>
      <c r="AI167" s="80"/>
      <c r="AJ167" s="434"/>
      <c r="AK167" s="428"/>
      <c r="AL167" s="428"/>
      <c r="AM167" s="428"/>
      <c r="AN167" s="428"/>
      <c r="AO167" s="428"/>
      <c r="AP167" s="429"/>
      <c r="AQ167" s="25"/>
      <c r="AS167" s="485">
        <f t="shared" si="31"/>
        <v>0</v>
      </c>
      <c r="AT167" s="485">
        <f t="shared" si="32"/>
        <v>0</v>
      </c>
      <c r="AU167" s="485">
        <f t="shared" si="33"/>
        <v>0</v>
      </c>
      <c r="AV167" s="485">
        <f t="shared" si="34"/>
        <v>0</v>
      </c>
      <c r="AW167" s="485">
        <f t="shared" si="35"/>
        <v>0</v>
      </c>
      <c r="AZ167" s="485">
        <f t="shared" si="36"/>
        <v>0</v>
      </c>
      <c r="BA167" s="485">
        <f t="shared" si="37"/>
        <v>0</v>
      </c>
      <c r="BB167" s="485">
        <f t="shared" si="38"/>
        <v>0</v>
      </c>
      <c r="BC167" s="485">
        <f t="shared" si="39"/>
        <v>0</v>
      </c>
      <c r="BD167" s="485">
        <f t="shared" si="40"/>
        <v>0</v>
      </c>
      <c r="BE167" s="25"/>
      <c r="BF167" s="25"/>
      <c r="BG167" s="25"/>
    </row>
    <row r="168" spans="1:88" ht="15" customHeight="1">
      <c r="A168" s="1" t="s">
        <v>68</v>
      </c>
      <c r="B168" s="32">
        <f>+'NEW-Tables 80-86'!B108+'NEW-Tables 80-86'!B138</f>
        <v>8397.2333333333336</v>
      </c>
      <c r="C168" s="95">
        <f>+GETPIVOTDATA("Sum of New-HS % of Total",'Pivot-HS Student % of Undergrad'!$A$3,"State","GA","Category",7,"Category2","Two-Year")</f>
        <v>3.027981438330879E-2</v>
      </c>
      <c r="D168" s="172">
        <f>+'NEW-Tables 80-86'!C108+'NEW-Tables 80-86'!C138</f>
        <v>15173.966666666667</v>
      </c>
      <c r="E168" s="95">
        <f>+GETPIVOTDATA("Sum of New-HS % of Total",'Pivot-HS Student % of Undergrad'!$A$3,"State","GA","Category",8,"Category2","Two-Year")</f>
        <v>3.5440084882221522E-2</v>
      </c>
      <c r="F168" s="172">
        <f>+'NEW-Tables 80-86'!D108+'NEW-Tables 80-86'!D138</f>
        <v>16808.45</v>
      </c>
      <c r="G168" s="95">
        <f>+GETPIVOTDATA("Sum of New-HS % of Total",'Pivot-HS Student % of Undergrad'!$A$3,"State","GA","Category",9,"Category2","Two-Year")</f>
        <v>3.7725072805642398E-2</v>
      </c>
      <c r="H168" s="172">
        <f>+'NEW-Tables 80-86'!E108+'NEW-Tables 80-86'!E138</f>
        <v>0</v>
      </c>
      <c r="I168" s="95">
        <f>+GETPIVOTDATA("Sum of New-HS % of Total",'Pivot-HS Student % of Undergrad'!$A$3,"State","GA","Category",10,"Category2","Two-Year")</f>
        <v>0</v>
      </c>
      <c r="J168" s="172">
        <f>+'NEW-Tables 80-86'!F108+'NEW-Tables 80-86'!F138</f>
        <v>40379.65</v>
      </c>
      <c r="K168" s="95">
        <f>+GETPIVOTDATA("Sum of New-HS % of Total",'Pivot-HS Student % of Undergrad'!$A$3,"State","GA","Category2","Group2")</f>
        <v>3.5318120224750171E-2</v>
      </c>
      <c r="Q168" s="1" t="s">
        <v>68</v>
      </c>
      <c r="R168" s="233">
        <f>+GETPIVOTDATA("Sum of Old-HS % of Total",'Pivot-HS Student % of Undergrad'!$A$3,"State","GA","Category",7,"Category2","Two-Year")</f>
        <v>2.7229586774883754E-2</v>
      </c>
      <c r="S168" s="441">
        <f t="shared" si="26"/>
        <v>0.30502276084250352</v>
      </c>
      <c r="T168" s="234">
        <f>+GETPIVOTDATA("Sum of Old-HS % of Total",'Pivot-HS Student % of Undergrad'!$A$3,"State","GA","Category",8,"Category2","Two-Year")</f>
        <v>3.2945261747817776E-2</v>
      </c>
      <c r="U168" s="441">
        <f t="shared" si="27"/>
        <v>0.24948231344037453</v>
      </c>
      <c r="V168" s="234">
        <f>+GETPIVOTDATA("Sum of Old-HS % of Total",'Pivot-HS Student % of Undergrad'!$A$3,"State","GA","Category",9,"Category2","Two-Year")</f>
        <v>2.3578353934219275E-2</v>
      </c>
      <c r="W168" s="441">
        <f t="shared" si="28"/>
        <v>1.4146718871423123</v>
      </c>
      <c r="X168" s="234">
        <f>+GETPIVOTDATA("Sum of Old-HS % of Total",'Pivot-HS Student % of Undergrad'!$A$3,"State","GA","Category",10,"Category2","Two-Year")</f>
        <v>0</v>
      </c>
      <c r="Y168" s="441">
        <f t="shared" si="29"/>
        <v>0</v>
      </c>
      <c r="Z168" s="234">
        <f>+GETPIVOTDATA("Sum of Old-HS % of Total",'Pivot-HS Student % of Undergrad'!$A$3,"State","GA","Category2","Two-Year")</f>
        <v>2.7850518287174775E-2</v>
      </c>
      <c r="AA168" s="441">
        <f t="shared" si="30"/>
        <v>0.74676019375753966</v>
      </c>
      <c r="AC168" s="99" t="s">
        <v>68</v>
      </c>
      <c r="AD168" s="80">
        <f>+B168</f>
        <v>8397.2333333333336</v>
      </c>
      <c r="AE168" s="80">
        <f>+D168</f>
        <v>15173.966666666667</v>
      </c>
      <c r="AF168" s="80">
        <f>+F168</f>
        <v>16808.45</v>
      </c>
      <c r="AG168" s="80">
        <f>+H168</f>
        <v>0</v>
      </c>
      <c r="AH168" s="80"/>
      <c r="AI168" s="80">
        <f>+J168</f>
        <v>40379.65</v>
      </c>
      <c r="AJ168" s="434" t="s">
        <v>68</v>
      </c>
      <c r="AK168" s="428">
        <f>+'NEW-Tables 80-86'!R108+'NEW-Tables 80-86'!Q138</f>
        <v>8365.9000000000015</v>
      </c>
      <c r="AL168" s="428">
        <f>+'NEW-Tables 80-86'!S108+'NEW-Tables 80-86'!R138</f>
        <v>15378.033333333333</v>
      </c>
      <c r="AM168" s="428">
        <f>+'NEW-Tables 80-86'!T108+'NEW-Tables 80-86'!S138</f>
        <v>17123.050000000003</v>
      </c>
      <c r="AN168" s="428">
        <f>+'NEW-Tables 80-86'!U108+'NEW-Tables 80-86'!T138</f>
        <v>0</v>
      </c>
      <c r="AO168" s="428"/>
      <c r="AP168" s="429">
        <f>+'NEW-Tables 80-86'!V108+'NEW-Tables 80-86'!U138</f>
        <v>40866.983333333337</v>
      </c>
      <c r="AQ168" s="25"/>
      <c r="AR168" s="1" t="s">
        <v>68</v>
      </c>
      <c r="AS168" s="485">
        <f t="shared" si="31"/>
        <v>3.0279814383308787</v>
      </c>
      <c r="AT168" s="485">
        <f t="shared" si="32"/>
        <v>3.5440084882221523</v>
      </c>
      <c r="AU168" s="485">
        <f t="shared" si="33"/>
        <v>3.7725072805642399</v>
      </c>
      <c r="AV168" s="485">
        <f t="shared" si="34"/>
        <v>0</v>
      </c>
      <c r="AW168" s="485">
        <f t="shared" si="35"/>
        <v>3.5318120224750169</v>
      </c>
      <c r="AY168" s="1" t="s">
        <v>68</v>
      </c>
      <c r="AZ168" s="485">
        <f t="shared" si="36"/>
        <v>2.7229586774883754</v>
      </c>
      <c r="BA168" s="485">
        <f t="shared" si="37"/>
        <v>3.2945261747817778</v>
      </c>
      <c r="BB168" s="485">
        <f t="shared" si="38"/>
        <v>2.3578353934219276</v>
      </c>
      <c r="BC168" s="485">
        <f t="shared" si="39"/>
        <v>0</v>
      </c>
      <c r="BD168" s="485">
        <f t="shared" si="40"/>
        <v>2.7850518287174775</v>
      </c>
      <c r="BE168" s="25"/>
      <c r="BF168" s="25"/>
      <c r="BG168" s="25"/>
    </row>
    <row r="169" spans="1:88" ht="15" customHeight="1">
      <c r="A169" s="1" t="s">
        <v>69</v>
      </c>
      <c r="B169" s="32">
        <f>+'NEW-Tables 80-86'!B109+'NEW-Tables 80-86'!B139</f>
        <v>0</v>
      </c>
      <c r="C169" s="95">
        <f>+GETPIVOTDATA("Sum of New-HS % of Total",'Pivot-HS Student % of Undergrad'!$A$3,"State","KY","Category",7,"Category2","Two-Year")</f>
        <v>0</v>
      </c>
      <c r="D169" s="172">
        <f>+'NEW-Tables 80-86'!C109+'NEW-Tables 80-86'!C139</f>
        <v>13931.1</v>
      </c>
      <c r="E169" s="95">
        <f>+GETPIVOTDATA("Sum of New-HS % of Total",'Pivot-HS Student % of Undergrad'!$A$3,"State","KY","Category",8,"Category2","Two-Year")</f>
        <v>4.6225112637671588E-2</v>
      </c>
      <c r="F169" s="172">
        <f>+'NEW-Tables 80-86'!D109+'NEW-Tables 80-86'!D139</f>
        <v>27879.033333333333</v>
      </c>
      <c r="G169" s="95">
        <f>+GETPIVOTDATA("Sum of New-HS % of Total",'Pivot-HS Student % of Undergrad'!$A$3,"State","KY","Category",9,"Category2","Two-Year")</f>
        <v>6.6668978240517665E-2</v>
      </c>
      <c r="H169" s="172">
        <f>+'NEW-Tables 80-86'!E109+'NEW-Tables 80-86'!E139</f>
        <v>978.36666666666667</v>
      </c>
      <c r="I169" s="95">
        <f>+GETPIVOTDATA("Sum of New-HS % of Total",'Pivot-HS Student % of Undergrad'!$A$3,"State","KY","Category",10,"Category2","Two-Year")</f>
        <v>6.129263057476747E-2</v>
      </c>
      <c r="J169" s="172">
        <f>+'NEW-Tables 80-86'!F109+'NEW-Tables 80-86'!F139</f>
        <v>42788.5</v>
      </c>
      <c r="K169" s="95">
        <f>+GETPIVOTDATA("Sum of New-HS % of Total",'Pivot-HS Student % of Undergrad'!$A$3,"State","KY","Category2","Group2")</f>
        <v>5.9889923694450613E-2</v>
      </c>
      <c r="Q169" s="1" t="s">
        <v>69</v>
      </c>
      <c r="R169" s="233">
        <f>+GETPIVOTDATA("Sum of Old-HS % of Total",'Pivot-HS Student % of Undergrad'!$A$3,"State","KY","Category",7,"Category2","Two-Year")</f>
        <v>0</v>
      </c>
      <c r="S169" s="441">
        <f t="shared" si="26"/>
        <v>0</v>
      </c>
      <c r="T169" s="234">
        <f>+GETPIVOTDATA("Sum of Old-HS % of Total",'Pivot-HS Student % of Undergrad'!$A$3,"State","KY","Category",8,"Category2","Two-Year")</f>
        <v>4.1158436563154023E-2</v>
      </c>
      <c r="U169" s="441">
        <f t="shared" si="27"/>
        <v>0.50666760745175643</v>
      </c>
      <c r="V169" s="234">
        <f>+GETPIVOTDATA("Sum of Old-HS % of Total",'Pivot-HS Student % of Undergrad'!$A$3,"State","KY","Category",9,"Category2","Two-Year")</f>
        <v>5.8975718839359426E-2</v>
      </c>
      <c r="W169" s="441">
        <f t="shared" si="28"/>
        <v>0.76932594011582389</v>
      </c>
      <c r="X169" s="234">
        <f>+GETPIVOTDATA("Sum of Old-HS % of Total",'Pivot-HS Student % of Undergrad'!$A$3,"State","KY","Category",10,"Category2","Two-Year")</f>
        <v>6.210318046245164E-2</v>
      </c>
      <c r="Y169" s="441">
        <f t="shared" si="29"/>
        <v>-8.1054988768416991E-2</v>
      </c>
      <c r="Z169" s="234">
        <f>+GETPIVOTDATA("Sum of Old-HS % of Total",'Pivot-HS Student % of Undergrad'!$A$3,"State","KY","Category2","Two-Year")</f>
        <v>5.3387929366561823E-2</v>
      </c>
      <c r="AA169" s="441">
        <f t="shared" si="30"/>
        <v>0.65019943278887893</v>
      </c>
      <c r="AC169" s="99" t="s">
        <v>69</v>
      </c>
      <c r="AD169" s="80">
        <f>+B169</f>
        <v>0</v>
      </c>
      <c r="AE169" s="80">
        <f>+D169</f>
        <v>13931.1</v>
      </c>
      <c r="AF169" s="80">
        <f>+F169</f>
        <v>27879.033333333333</v>
      </c>
      <c r="AG169" s="80">
        <f>+H169</f>
        <v>978.36666666666667</v>
      </c>
      <c r="AH169" s="80"/>
      <c r="AI169" s="80">
        <f>+J169</f>
        <v>42788.5</v>
      </c>
      <c r="AJ169" s="434" t="s">
        <v>69</v>
      </c>
      <c r="AK169" s="428">
        <f>+'NEW-Tables 80-86'!R109+'NEW-Tables 80-86'!Q139</f>
        <v>0</v>
      </c>
      <c r="AL169" s="428">
        <f>+'NEW-Tables 80-86'!S109+'NEW-Tables 80-86'!R139</f>
        <v>14732.5</v>
      </c>
      <c r="AM169" s="428">
        <f>+'NEW-Tables 80-86'!T109+'NEW-Tables 80-86'!S139</f>
        <v>30483.166666666668</v>
      </c>
      <c r="AN169" s="428">
        <f>+'NEW-Tables 80-86'!U109+'NEW-Tables 80-86'!T139</f>
        <v>1128.7666666666667</v>
      </c>
      <c r="AO169" s="428"/>
      <c r="AP169" s="429">
        <f>+'NEW-Tables 80-86'!V109+'NEW-Tables 80-86'!U139</f>
        <v>46344.433333333342</v>
      </c>
      <c r="AR169" s="1" t="s">
        <v>69</v>
      </c>
      <c r="AS169" s="485">
        <f t="shared" si="31"/>
        <v>0</v>
      </c>
      <c r="AT169" s="485">
        <f t="shared" si="32"/>
        <v>4.6225112637671586</v>
      </c>
      <c r="AU169" s="485">
        <f t="shared" si="33"/>
        <v>6.6668978240517669</v>
      </c>
      <c r="AV169" s="485">
        <f t="shared" si="34"/>
        <v>6.1292630574767468</v>
      </c>
      <c r="AW169" s="485">
        <f t="shared" si="35"/>
        <v>5.9889923694450609</v>
      </c>
      <c r="AY169" s="1" t="s">
        <v>69</v>
      </c>
      <c r="AZ169" s="485">
        <f t="shared" si="36"/>
        <v>0</v>
      </c>
      <c r="BA169" s="485">
        <f t="shared" si="37"/>
        <v>4.1158436563154019</v>
      </c>
      <c r="BB169" s="485">
        <f t="shared" si="38"/>
        <v>5.8975718839359423</v>
      </c>
      <c r="BC169" s="485">
        <f t="shared" si="39"/>
        <v>6.2103180462451641</v>
      </c>
      <c r="BD169" s="485">
        <f t="shared" si="40"/>
        <v>5.3387929366561826</v>
      </c>
    </row>
    <row r="170" spans="1:88" ht="15" customHeight="1">
      <c r="A170" s="1" t="s">
        <v>70</v>
      </c>
      <c r="B170" s="32">
        <f>+'NEW-Tables 80-86'!B110+'NEW-Tables 80-86'!B140</f>
        <v>0</v>
      </c>
      <c r="C170" s="95">
        <f>+GETPIVOTDATA("Sum of New-HS % of Total",'Pivot-HS Student % of Undergrad'!$A$3,"State","LA","Category",7,"Category2","Two-Year")</f>
        <v>0</v>
      </c>
      <c r="D170" s="172">
        <f>+'NEW-Tables 80-86'!C110+'NEW-Tables 80-86'!C140</f>
        <v>22957.266666666666</v>
      </c>
      <c r="E170" s="95">
        <f>+GETPIVOTDATA("Sum of New-HS % of Total",'Pivot-HS Student % of Undergrad'!$A$3,"State","LA","Category",8,"Category2","Two-Year")</f>
        <v>1.9379484781870085E-2</v>
      </c>
      <c r="F170" s="172">
        <f>+'NEW-Tables 80-86'!D110+'NEW-Tables 80-86'!D140</f>
        <v>9229.7333333333336</v>
      </c>
      <c r="G170" s="95">
        <f>+GETPIVOTDATA("Sum of New-HS % of Total",'Pivot-HS Student % of Undergrad'!$A$3,"State","LA","Category",9,"Category2","Two-Year")</f>
        <v>7.9782008869884291E-2</v>
      </c>
      <c r="H170" s="172">
        <f>+'NEW-Tables 80-86'!E110+'NEW-Tables 80-86'!E140</f>
        <v>4471.8666666666668</v>
      </c>
      <c r="I170" s="95">
        <f>+GETPIVOTDATA("Sum of New-HS % of Total",'Pivot-HS Student % of Undergrad'!$A$3,"State","LA","Category",10,"Category2","Two-Year")</f>
        <v>0.11375562777661827</v>
      </c>
      <c r="J170" s="172">
        <f>+'NEW-Tables 80-86'!F110+'NEW-Tables 80-86'!F140</f>
        <v>36658.866666666669</v>
      </c>
      <c r="K170" s="95">
        <f>+GETPIVOTDATA("Sum of New-HS % of Total",'Pivot-HS Student % of Undergrad'!$A$3,"State","LA","Category2","Group2")</f>
        <v>4.6099806686149603E-2</v>
      </c>
      <c r="Q170" s="1" t="s">
        <v>70</v>
      </c>
      <c r="R170" s="233">
        <f>+GETPIVOTDATA("Sum of Old-HS % of Total",'Pivot-HS Student % of Undergrad'!$A$3,"State","LA","Category",7,"Category2","Two-Year")</f>
        <v>0</v>
      </c>
      <c r="S170" s="441">
        <f t="shared" si="26"/>
        <v>0</v>
      </c>
      <c r="T170" s="234">
        <f>+GETPIVOTDATA("Sum of Old-HS % of Total",'Pivot-HS Student % of Undergrad'!$A$3,"State","LA","Category",8,"Category2","Two-Year")</f>
        <v>2.0041185679331611E-2</v>
      </c>
      <c r="U170" s="441">
        <f t="shared" si="27"/>
        <v>-6.6170089746152641E-2</v>
      </c>
      <c r="V170" s="234">
        <f>+GETPIVOTDATA("Sum of Old-HS % of Total",'Pivot-HS Student % of Undergrad'!$A$3,"State","LA","Category",9,"Category2","Two-Year")</f>
        <v>7.4478699713682511E-2</v>
      </c>
      <c r="W170" s="441">
        <f t="shared" si="28"/>
        <v>0.53033091562017798</v>
      </c>
      <c r="X170" s="234">
        <f>+GETPIVOTDATA("Sum of Old-HS % of Total",'Pivot-HS Student % of Undergrad'!$A$3,"State","LA","Category",10,"Category2","Two-Year")</f>
        <v>0.11089048640500898</v>
      </c>
      <c r="Y170" s="441">
        <f t="shared" si="29"/>
        <v>0.28651413716092866</v>
      </c>
      <c r="Z170" s="234">
        <f>+GETPIVOTDATA("Sum of Old-HS % of Total",'Pivot-HS Student % of Undergrad'!$A$3,"State","LA","Category2","Two-Year")</f>
        <v>4.3874411343658708E-2</v>
      </c>
      <c r="AA170" s="441">
        <f t="shared" si="30"/>
        <v>0.22253953424908948</v>
      </c>
      <c r="AC170" s="99" t="s">
        <v>70</v>
      </c>
      <c r="AD170" s="80">
        <f>+B170</f>
        <v>0</v>
      </c>
      <c r="AE170" s="80">
        <f>+D170</f>
        <v>22957.266666666666</v>
      </c>
      <c r="AF170" s="80">
        <f>+F170</f>
        <v>9229.7333333333336</v>
      </c>
      <c r="AG170" s="80">
        <f>+H170</f>
        <v>4471.8666666666668</v>
      </c>
      <c r="AH170" s="80"/>
      <c r="AI170" s="80">
        <f>+J170</f>
        <v>36658.866666666669</v>
      </c>
      <c r="AJ170" s="434" t="s">
        <v>70</v>
      </c>
      <c r="AK170" s="428">
        <f>+'NEW-Tables 80-86'!R110+'NEW-Tables 80-86'!Q140</f>
        <v>0</v>
      </c>
      <c r="AL170" s="428">
        <f>+'NEW-Tables 80-86'!S110+'NEW-Tables 80-86'!R140</f>
        <v>24773.98333333333</v>
      </c>
      <c r="AM170" s="428">
        <f>+'NEW-Tables 80-86'!T110+'NEW-Tables 80-86'!S140</f>
        <v>9220.5333333333328</v>
      </c>
      <c r="AN170" s="428">
        <f>+'NEW-Tables 80-86'!U110+'NEW-Tables 80-86'!T140</f>
        <v>4599.7333333333336</v>
      </c>
      <c r="AO170" s="428"/>
      <c r="AP170" s="429">
        <f>+'NEW-Tables 80-86'!V110+'NEW-Tables 80-86'!U140</f>
        <v>38594.25</v>
      </c>
      <c r="AQ170" s="25"/>
      <c r="AR170" s="1" t="s">
        <v>70</v>
      </c>
      <c r="AS170" s="485">
        <f t="shared" si="31"/>
        <v>0</v>
      </c>
      <c r="AT170" s="485">
        <f t="shared" si="32"/>
        <v>1.9379484781870084</v>
      </c>
      <c r="AU170" s="485">
        <f t="shared" si="33"/>
        <v>7.9782008869884287</v>
      </c>
      <c r="AV170" s="485">
        <f t="shared" si="34"/>
        <v>11.375562777661827</v>
      </c>
      <c r="AW170" s="485">
        <f t="shared" si="35"/>
        <v>4.60998066861496</v>
      </c>
      <c r="AY170" s="1" t="s">
        <v>70</v>
      </c>
      <c r="AZ170" s="485">
        <f t="shared" si="36"/>
        <v>0</v>
      </c>
      <c r="BA170" s="485">
        <f t="shared" si="37"/>
        <v>2.004118567933161</v>
      </c>
      <c r="BB170" s="485">
        <f t="shared" si="38"/>
        <v>7.4478699713682515</v>
      </c>
      <c r="BC170" s="485">
        <f t="shared" si="39"/>
        <v>11.089048640500899</v>
      </c>
      <c r="BD170" s="485">
        <f t="shared" si="40"/>
        <v>4.3874411343658704</v>
      </c>
      <c r="BE170" s="25"/>
      <c r="BF170" s="25"/>
      <c r="BG170" s="25"/>
    </row>
    <row r="171" spans="1:88" ht="15" customHeight="1">
      <c r="A171" s="1" t="s">
        <v>71</v>
      </c>
      <c r="B171" s="32">
        <f>+'NEW-Tables 80-86'!B111+'NEW-Tables 80-86'!B141</f>
        <v>0</v>
      </c>
      <c r="C171" s="95">
        <f>+GETPIVOTDATA("Sum of New-HS % of Total",'Pivot-HS Student % of Undergrad'!$A$3,"State","MD","Category",7,"Category2","Two-Year")</f>
        <v>0</v>
      </c>
      <c r="D171" s="172">
        <f>+'NEW-Tables 80-86'!C111+'NEW-Tables 80-86'!C141</f>
        <v>67112.533333333326</v>
      </c>
      <c r="E171" s="95">
        <f>+GETPIVOTDATA("Sum of New-HS % of Total",'Pivot-HS Student % of Undergrad'!$A$3,"State","MD","Category",8,"Category2","Two-Year")</f>
        <v>0</v>
      </c>
      <c r="F171" s="172">
        <f>+'NEW-Tables 80-86'!D111+'NEW-Tables 80-86'!D141</f>
        <v>18634.099999999999</v>
      </c>
      <c r="G171" s="95">
        <f>+GETPIVOTDATA("Sum of New-HS % of Total",'Pivot-HS Student % of Undergrad'!$A$3,"State","MD","Category",9,"Category2","Two-Year")</f>
        <v>0</v>
      </c>
      <c r="H171" s="172">
        <f>+'NEW-Tables 80-86'!E111+'NEW-Tables 80-86'!E141</f>
        <v>3499.0250000000001</v>
      </c>
      <c r="I171" s="95">
        <f>+GETPIVOTDATA("Sum of New-HS % of Total",'Pivot-HS Student % of Undergrad'!$A$3,"State","MD","Category",10,"Category2","Two-Year")</f>
        <v>0</v>
      </c>
      <c r="J171" s="172">
        <f>+'NEW-Tables 80-86'!F111+'NEW-Tables 80-86'!F141</f>
        <v>89245.658333333326</v>
      </c>
      <c r="K171" s="95">
        <f>+GETPIVOTDATA("Sum of New-HS % of Total",'Pivot-HS Student % of Undergrad'!$A$3,"State","MD","Category2","Group2")</f>
        <v>0</v>
      </c>
      <c r="Q171" s="1" t="s">
        <v>71</v>
      </c>
      <c r="R171" s="233">
        <f>+GETPIVOTDATA("Sum of Old-HS % of Total",'Pivot-HS Student % of Undergrad'!$A$3,"State","MD","Category",7,"Category2","Two-Year")</f>
        <v>0</v>
      </c>
      <c r="S171" s="441">
        <f t="shared" si="26"/>
        <v>0</v>
      </c>
      <c r="T171" s="234">
        <f>+GETPIVOTDATA("Sum of Old-HS % of Total",'Pivot-HS Student % of Undergrad'!$A$3,"State","MD","Category",8,"Category2","Two-Year")</f>
        <v>0</v>
      </c>
      <c r="U171" s="441">
        <f t="shared" si="27"/>
        <v>0</v>
      </c>
      <c r="V171" s="234">
        <f>+GETPIVOTDATA("Sum of Old-HS % of Total",'Pivot-HS Student % of Undergrad'!$A$3,"State","MD","Category",9,"Category2","Two-Year")</f>
        <v>0</v>
      </c>
      <c r="W171" s="441">
        <f t="shared" si="28"/>
        <v>0</v>
      </c>
      <c r="X171" s="234">
        <f>+GETPIVOTDATA("Sum of Old-HS % of Total",'Pivot-HS Student % of Undergrad'!$A$3,"State","MD","Category",10,"Category2","Two-Year")</f>
        <v>0</v>
      </c>
      <c r="Y171" s="441">
        <f t="shared" si="29"/>
        <v>0</v>
      </c>
      <c r="Z171" s="234">
        <f>+GETPIVOTDATA("Sum of Old-HS % of Total",'Pivot-HS Student % of Undergrad'!$A$3,"State","MD","Category2","Two-Year")</f>
        <v>0</v>
      </c>
      <c r="AA171" s="441">
        <f t="shared" si="30"/>
        <v>0</v>
      </c>
      <c r="AC171" s="99" t="s">
        <v>71</v>
      </c>
      <c r="AD171" s="80">
        <f>+B171</f>
        <v>0</v>
      </c>
      <c r="AE171" s="80">
        <f>+D171</f>
        <v>67112.533333333326</v>
      </c>
      <c r="AF171" s="80">
        <f>+F171</f>
        <v>18634.099999999999</v>
      </c>
      <c r="AG171" s="80">
        <f>+H171</f>
        <v>3499.0250000000001</v>
      </c>
      <c r="AH171" s="80"/>
      <c r="AI171" s="80">
        <f>+J171</f>
        <v>89245.658333333326</v>
      </c>
      <c r="AJ171" s="434" t="s">
        <v>71</v>
      </c>
      <c r="AK171" s="428">
        <f>+'NEW-Tables 80-86'!R111+'NEW-Tables 80-86'!Q141</f>
        <v>0</v>
      </c>
      <c r="AL171" s="428">
        <f>+'NEW-Tables 80-86'!S111+'NEW-Tables 80-86'!R141</f>
        <v>71035.849999999991</v>
      </c>
      <c r="AM171" s="428">
        <f>+'NEW-Tables 80-86'!T111+'NEW-Tables 80-86'!S141</f>
        <v>20908.283333333333</v>
      </c>
      <c r="AN171" s="428">
        <f>+'NEW-Tables 80-86'!U111+'NEW-Tables 80-86'!T141</f>
        <v>3669.2</v>
      </c>
      <c r="AO171" s="428"/>
      <c r="AP171" s="429">
        <f>+'NEW-Tables 80-86'!V111+'NEW-Tables 80-86'!U141</f>
        <v>95613.333333333328</v>
      </c>
      <c r="AR171" s="1" t="s">
        <v>71</v>
      </c>
      <c r="AS171" s="485">
        <f t="shared" si="31"/>
        <v>0</v>
      </c>
      <c r="AT171" s="485">
        <f t="shared" si="32"/>
        <v>0</v>
      </c>
      <c r="AU171" s="485">
        <f t="shared" si="33"/>
        <v>0</v>
      </c>
      <c r="AV171" s="485">
        <f t="shared" si="34"/>
        <v>0</v>
      </c>
      <c r="AW171" s="485">
        <f t="shared" si="35"/>
        <v>0</v>
      </c>
      <c r="AY171" s="1" t="s">
        <v>71</v>
      </c>
      <c r="AZ171" s="485">
        <f t="shared" si="36"/>
        <v>0</v>
      </c>
      <c r="BA171" s="485">
        <f t="shared" si="37"/>
        <v>0</v>
      </c>
      <c r="BB171" s="485">
        <f t="shared" si="38"/>
        <v>0</v>
      </c>
      <c r="BC171" s="485">
        <f t="shared" si="39"/>
        <v>0</v>
      </c>
      <c r="BD171" s="485">
        <f t="shared" si="40"/>
        <v>0</v>
      </c>
    </row>
    <row r="172" spans="1:88" ht="15" customHeight="1">
      <c r="B172" s="32"/>
      <c r="C172" s="95"/>
      <c r="D172" s="172"/>
      <c r="E172" s="95"/>
      <c r="F172" s="172"/>
      <c r="G172" s="95"/>
      <c r="H172" s="172"/>
      <c r="I172" s="95"/>
      <c r="J172" s="172"/>
      <c r="K172" s="95"/>
      <c r="R172" s="233"/>
      <c r="S172" s="441"/>
      <c r="T172" s="234"/>
      <c r="U172" s="441"/>
      <c r="V172" s="234"/>
      <c r="W172" s="441"/>
      <c r="X172" s="234"/>
      <c r="Y172" s="441"/>
      <c r="Z172" s="234"/>
      <c r="AA172" s="441"/>
      <c r="AC172" s="99"/>
      <c r="AD172" s="80"/>
      <c r="AE172" s="80"/>
      <c r="AF172" s="80"/>
      <c r="AG172" s="80"/>
      <c r="AH172" s="80"/>
      <c r="AI172" s="80"/>
      <c r="AJ172" s="434"/>
      <c r="AK172" s="428"/>
      <c r="AL172" s="428"/>
      <c r="AM172" s="428"/>
      <c r="AN172" s="428"/>
      <c r="AO172" s="428"/>
      <c r="AP172" s="429"/>
      <c r="AS172" s="485">
        <f t="shared" si="31"/>
        <v>0</v>
      </c>
      <c r="AT172" s="485">
        <f t="shared" si="32"/>
        <v>0</v>
      </c>
      <c r="AU172" s="485">
        <f t="shared" si="33"/>
        <v>0</v>
      </c>
      <c r="AV172" s="485">
        <f t="shared" si="34"/>
        <v>0</v>
      </c>
      <c r="AW172" s="485">
        <f t="shared" si="35"/>
        <v>0</v>
      </c>
      <c r="AZ172" s="485">
        <f t="shared" si="36"/>
        <v>0</v>
      </c>
      <c r="BA172" s="485">
        <f t="shared" si="37"/>
        <v>0</v>
      </c>
      <c r="BB172" s="485">
        <f t="shared" si="38"/>
        <v>0</v>
      </c>
      <c r="BC172" s="485">
        <f t="shared" si="39"/>
        <v>0</v>
      </c>
      <c r="BD172" s="485">
        <f t="shared" si="40"/>
        <v>0</v>
      </c>
    </row>
    <row r="173" spans="1:88" ht="15" customHeight="1">
      <c r="A173" s="1" t="s">
        <v>72</v>
      </c>
      <c r="B173" s="32">
        <f>+'NEW-Tables 80-86'!B113+'NEW-Tables 80-86'!B143</f>
        <v>0</v>
      </c>
      <c r="C173" s="95">
        <f>+GETPIVOTDATA("Sum of New-HS % of Total",'Pivot-HS Student % of Undergrad'!$A$3,"State","MS","Category",7,"Category2","Two-Year")</f>
        <v>0</v>
      </c>
      <c r="D173" s="172">
        <f>+'NEW-Tables 80-86'!C113+'NEW-Tables 80-86'!C143</f>
        <v>29990.933333333331</v>
      </c>
      <c r="E173" s="95">
        <f>+GETPIVOTDATA("Sum of New-HS % of Total",'Pivot-HS Student % of Undergrad'!$A$3,"State","MS","Category",8,"Category2","Two-Year")</f>
        <v>3.1039380790638949E-2</v>
      </c>
      <c r="F173" s="172">
        <f>+'NEW-Tables 80-86'!D113+'NEW-Tables 80-86'!D143</f>
        <v>31231.966666666667</v>
      </c>
      <c r="G173" s="95">
        <f>+GETPIVOTDATA("Sum of New-HS % of Total",'Pivot-HS Student % of Undergrad'!$A$3,"State","MS","Category",9,"Category2","Two-Year")</f>
        <v>3.0755881527366725E-2</v>
      </c>
      <c r="H173" s="172">
        <f>+'NEW-Tables 80-86'!E113+'NEW-Tables 80-86'!E143</f>
        <v>3591.666666666667</v>
      </c>
      <c r="I173" s="95">
        <f>+GETPIVOTDATA("Sum of New-HS % of Total",'Pivot-HS Student % of Undergrad'!$A$3,"State","MS","Category",10,"Category2","Two-Year")</f>
        <v>3.129466357308585E-2</v>
      </c>
      <c r="J173" s="172">
        <f>+'NEW-Tables 80-86'!F113+'NEW-Tables 80-86'!F143</f>
        <v>64814.566666666658</v>
      </c>
      <c r="K173" s="95">
        <f>+GETPIVOTDATA("Sum of New-HS % of Total",'Pivot-HS Student % of Undergrad'!$A$3,"State","MS","Category2","Group2")</f>
        <v>3.091691836763032E-2</v>
      </c>
      <c r="Q173" s="1" t="s">
        <v>72</v>
      </c>
      <c r="R173" s="233">
        <f>+GETPIVOTDATA("Sum of Old-HS % of Total",'Pivot-HS Student % of Undergrad'!$A$3,"State","MS","Category",7,"Category2","Two-Year")</f>
        <v>0</v>
      </c>
      <c r="S173" s="441">
        <f t="shared" si="26"/>
        <v>0</v>
      </c>
      <c r="T173" s="234">
        <f>+GETPIVOTDATA("Sum of Old-HS % of Total",'Pivot-HS Student % of Undergrad'!$A$3,"State","MS","Category",8,"Category2","Two-Year")</f>
        <v>2.5476010099625815E-2</v>
      </c>
      <c r="U173" s="441">
        <f t="shared" si="27"/>
        <v>0.55633706910131342</v>
      </c>
      <c r="V173" s="234">
        <f>+GETPIVOTDATA("Sum of Old-HS % of Total",'Pivot-HS Student % of Undergrad'!$A$3,"State","MS","Category",9,"Category2","Two-Year")</f>
        <v>2.1996095355090624E-2</v>
      </c>
      <c r="W173" s="441">
        <f t="shared" si="28"/>
        <v>0.87597861722761017</v>
      </c>
      <c r="X173" s="234">
        <f>+GETPIVOTDATA("Sum of Old-HS % of Total",'Pivot-HS Student % of Undergrad'!$A$3,"State","MS","Category",10,"Category2","Two-Year")</f>
        <v>2.13215290266058E-2</v>
      </c>
      <c r="Y173" s="441">
        <f t="shared" si="29"/>
        <v>0.99731345464800503</v>
      </c>
      <c r="Z173" s="234">
        <f>+GETPIVOTDATA("Sum of Old-HS % of Total",'Pivot-HS Student % of Undergrad'!$A$3,"State","MS","Category2","Two-Year")</f>
        <v>2.357824874409549E-2</v>
      </c>
      <c r="AA173" s="441">
        <f t="shared" si="30"/>
        <v>0.73386696235348303</v>
      </c>
      <c r="AC173" s="99" t="s">
        <v>72</v>
      </c>
      <c r="AD173" s="80">
        <f>+B173</f>
        <v>0</v>
      </c>
      <c r="AE173" s="80">
        <f>+D173</f>
        <v>29990.933333333331</v>
      </c>
      <c r="AF173" s="80">
        <f>+F173</f>
        <v>31231.966666666667</v>
      </c>
      <c r="AG173" s="80">
        <f>+H173</f>
        <v>3591.666666666667</v>
      </c>
      <c r="AH173" s="80"/>
      <c r="AI173" s="80">
        <f>+J173</f>
        <v>64814.566666666658</v>
      </c>
      <c r="AJ173" s="434" t="s">
        <v>72</v>
      </c>
      <c r="AK173" s="428">
        <f>+'NEW-Tables 80-86'!R113+'NEW-Tables 80-86'!Q143</f>
        <v>0</v>
      </c>
      <c r="AL173" s="428">
        <f>+'NEW-Tables 80-86'!S113+'NEW-Tables 80-86'!R143</f>
        <v>30403.76666666667</v>
      </c>
      <c r="AM173" s="428">
        <f>+'NEW-Tables 80-86'!T113+'NEW-Tables 80-86'!S143</f>
        <v>31313.133333333331</v>
      </c>
      <c r="AN173" s="428">
        <f>+'NEW-Tables 80-86'!U113+'NEW-Tables 80-86'!T143</f>
        <v>3614.5</v>
      </c>
      <c r="AO173" s="428"/>
      <c r="AP173" s="429">
        <f>+'NEW-Tables 80-86'!V113+'NEW-Tables 80-86'!U143</f>
        <v>65331.4</v>
      </c>
      <c r="AR173" s="1" t="s">
        <v>72</v>
      </c>
      <c r="AS173" s="485">
        <f t="shared" si="31"/>
        <v>0</v>
      </c>
      <c r="AT173" s="485">
        <f t="shared" si="32"/>
        <v>3.1039380790638949</v>
      </c>
      <c r="AU173" s="485">
        <f t="shared" si="33"/>
        <v>3.0755881527366724</v>
      </c>
      <c r="AV173" s="485">
        <f t="shared" si="34"/>
        <v>3.1294663573085848</v>
      </c>
      <c r="AW173" s="485">
        <f t="shared" si="35"/>
        <v>3.0916918367630322</v>
      </c>
      <c r="AY173" s="1" t="s">
        <v>72</v>
      </c>
      <c r="AZ173" s="485">
        <f t="shared" si="36"/>
        <v>0</v>
      </c>
      <c r="BA173" s="485">
        <f t="shared" si="37"/>
        <v>2.5476010099625817</v>
      </c>
      <c r="BB173" s="485">
        <f t="shared" si="38"/>
        <v>2.1996095355090626</v>
      </c>
      <c r="BC173" s="485">
        <f t="shared" si="39"/>
        <v>2.1321529026605801</v>
      </c>
      <c r="BD173" s="485">
        <f t="shared" si="40"/>
        <v>2.3578248744095491</v>
      </c>
    </row>
    <row r="174" spans="1:88" ht="15" customHeight="1">
      <c r="A174" s="1" t="s">
        <v>73</v>
      </c>
      <c r="B174" s="32">
        <f>+'NEW-Tables 80-86'!B114+'NEW-Tables 80-86'!B144</f>
        <v>0</v>
      </c>
      <c r="C174" s="95">
        <f>+GETPIVOTDATA("Sum of New-HS % of Total",'Pivot-HS Student % of Undergrad'!$A$3,"State","NC","Category",7,"Category2","Two-Year")</f>
        <v>0</v>
      </c>
      <c r="D174" s="172">
        <f>+'NEW-Tables 80-86'!C114+'NEW-Tables 80-86'!C144</f>
        <v>84348.218888888892</v>
      </c>
      <c r="E174" s="95">
        <f>+GETPIVOTDATA("Sum of New-HS % of Total",'Pivot-HS Student % of Undergrad'!$A$3,"State","NC","Category",8,"Category2","Two-Year")</f>
        <v>2.8661431828125361E-2</v>
      </c>
      <c r="F174" s="172">
        <f>+'NEW-Tables 80-86'!D114+'NEW-Tables 80-86'!D144</f>
        <v>69542.40888888888</v>
      </c>
      <c r="G174" s="95">
        <f>+GETPIVOTDATA("Sum of New-HS % of Total",'Pivot-HS Student % of Undergrad'!$A$3,"State","NC","Category",9,"Category2","Two-Year")</f>
        <v>0.10494959276186519</v>
      </c>
      <c r="H174" s="172">
        <f>+'NEW-Tables 80-86'!E114+'NEW-Tables 80-86'!E144</f>
        <v>29302.271111111106</v>
      </c>
      <c r="I174" s="95">
        <f>+GETPIVOTDATA("Sum of New-HS % of Total",'Pivot-HS Student % of Undergrad'!$A$3,"State","NC","Category",10,"Category2","Two-Year")</f>
        <v>0.16675259940028817</v>
      </c>
      <c r="J174" s="172">
        <f>+'NEW-Tables 80-86'!F114+'NEW-Tables 80-86'!F144</f>
        <v>183192.89888888889</v>
      </c>
      <c r="K174" s="95">
        <f>+GETPIVOTDATA("Sum of New-HS % of Total",'Pivot-HS Student % of Undergrad'!$A$3,"State","NC","Category2","Group2")</f>
        <v>7.6824859155652819E-2</v>
      </c>
      <c r="Q174" s="1" t="s">
        <v>73</v>
      </c>
      <c r="R174" s="233">
        <f>+GETPIVOTDATA("Sum of Old-HS % of Total",'Pivot-HS Student % of Undergrad'!$A$3,"State","NC","Category",7,"Category2","Two-Year")</f>
        <v>0</v>
      </c>
      <c r="S174" s="441">
        <f t="shared" si="26"/>
        <v>0</v>
      </c>
      <c r="T174" s="234">
        <f>+GETPIVOTDATA("Sum of Old-HS % of Total",'Pivot-HS Student % of Undergrad'!$A$3,"State","NC","Category",8,"Category2","Two-Year")</f>
        <v>2.4679932806722836E-2</v>
      </c>
      <c r="U174" s="441">
        <f t="shared" si="27"/>
        <v>0.39814990214025248</v>
      </c>
      <c r="V174" s="234">
        <f>+GETPIVOTDATA("Sum of Old-HS % of Total",'Pivot-HS Student % of Undergrad'!$A$3,"State","NC","Category",9,"Category2","Two-Year")</f>
        <v>8.6575222522109446E-2</v>
      </c>
      <c r="W174" s="441">
        <f t="shared" si="28"/>
        <v>1.8374370239755744</v>
      </c>
      <c r="X174" s="234">
        <f>+GETPIVOTDATA("Sum of Old-HS % of Total",'Pivot-HS Student % of Undergrad'!$A$3,"State","NC","Category",10,"Category2","Two-Year")</f>
        <v>0.13660727158014341</v>
      </c>
      <c r="Y174" s="441">
        <f t="shared" si="29"/>
        <v>3.0145327820144758</v>
      </c>
      <c r="Z174" s="234">
        <f>+GETPIVOTDATA("Sum of Old-HS % of Total",'Pivot-HS Student % of Undergrad'!$A$3,"State","NC","Category2","Two-Year")</f>
        <v>6.4323295809749978E-2</v>
      </c>
      <c r="AA174" s="441">
        <f t="shared" si="30"/>
        <v>1.2501563345902842</v>
      </c>
      <c r="AC174" s="99" t="s">
        <v>73</v>
      </c>
      <c r="AD174" s="80">
        <f>+B174</f>
        <v>0</v>
      </c>
      <c r="AE174" s="80">
        <f>+D174</f>
        <v>84348.218888888892</v>
      </c>
      <c r="AF174" s="80">
        <f>+F174</f>
        <v>69542.40888888888</v>
      </c>
      <c r="AG174" s="80">
        <f>+H174</f>
        <v>29302.271111111106</v>
      </c>
      <c r="AH174" s="80"/>
      <c r="AI174" s="80">
        <f>+J174</f>
        <v>183192.89888888889</v>
      </c>
      <c r="AJ174" s="434" t="s">
        <v>73</v>
      </c>
      <c r="AK174" s="428">
        <f>+'NEW-Tables 80-86'!R114+'NEW-Tables 80-86'!Q144</f>
        <v>0</v>
      </c>
      <c r="AL174" s="428">
        <f>+'NEW-Tables 80-86'!S114+'NEW-Tables 80-86'!R144</f>
        <v>88630.526666666658</v>
      </c>
      <c r="AM174" s="428">
        <f>+'NEW-Tables 80-86'!T114+'NEW-Tables 80-86'!S144</f>
        <v>74668.334444444466</v>
      </c>
      <c r="AN174" s="428">
        <f>+'NEW-Tables 80-86'!U114+'NEW-Tables 80-86'!T144</f>
        <v>31735.732222222221</v>
      </c>
      <c r="AO174" s="428"/>
      <c r="AP174" s="429">
        <f>+'NEW-Tables 80-86'!V114+'NEW-Tables 80-86'!U144</f>
        <v>195034.59333333335</v>
      </c>
      <c r="AQ174" s="25"/>
      <c r="AR174" s="1" t="s">
        <v>73</v>
      </c>
      <c r="AS174" s="485">
        <f t="shared" si="31"/>
        <v>0</v>
      </c>
      <c r="AT174" s="485">
        <f t="shared" si="32"/>
        <v>2.8661431828125359</v>
      </c>
      <c r="AU174" s="485">
        <f t="shared" si="33"/>
        <v>10.494959276186519</v>
      </c>
      <c r="AV174" s="485">
        <f t="shared" si="34"/>
        <v>16.675259940028816</v>
      </c>
      <c r="AW174" s="485">
        <f t="shared" si="35"/>
        <v>7.682485915565282</v>
      </c>
      <c r="AY174" s="1" t="s">
        <v>73</v>
      </c>
      <c r="AZ174" s="485">
        <f t="shared" si="36"/>
        <v>0</v>
      </c>
      <c r="BA174" s="485">
        <f t="shared" si="37"/>
        <v>2.4679932806722835</v>
      </c>
      <c r="BB174" s="485">
        <f t="shared" si="38"/>
        <v>8.6575222522109438</v>
      </c>
      <c r="BC174" s="485">
        <f t="shared" si="39"/>
        <v>13.660727158014341</v>
      </c>
      <c r="BD174" s="485">
        <f t="shared" si="40"/>
        <v>6.4323295809749981</v>
      </c>
      <c r="BE174" s="25"/>
      <c r="BF174" s="25"/>
      <c r="BG174" s="25"/>
    </row>
    <row r="175" spans="1:88" ht="15" customHeight="1">
      <c r="A175" s="1" t="s">
        <v>74</v>
      </c>
      <c r="B175" s="32">
        <f>+'NEW-Tables 80-86'!B115+'NEW-Tables 80-86'!B145</f>
        <v>6647.7</v>
      </c>
      <c r="C175" s="95">
        <f>+GETPIVOTDATA("Sum of New-HS % of Total",'Pivot-HS Student % of Undergrad'!$A$3,"State","OK","Category",7,"Category2","Two-Year")</f>
        <v>0</v>
      </c>
      <c r="D175" s="172">
        <f>+'NEW-Tables 80-86'!C115+'NEW-Tables 80-86'!C145</f>
        <v>19343.533333333333</v>
      </c>
      <c r="E175" s="95">
        <f>+GETPIVOTDATA("Sum of New-HS % of Total",'Pivot-HS Student % of Undergrad'!$A$3,"State","OK","Category",8,"Category2","Two-Year")</f>
        <v>0</v>
      </c>
      <c r="F175" s="172">
        <f>+'NEW-Tables 80-86'!D115+'NEW-Tables 80-86'!D145</f>
        <v>7302.6666666666661</v>
      </c>
      <c r="G175" s="95">
        <f>+GETPIVOTDATA("Sum of New-HS % of Total",'Pivot-HS Student % of Undergrad'!$A$3,"State","OK","Category",9,"Category2","Two-Year")</f>
        <v>0</v>
      </c>
      <c r="H175" s="172">
        <f>+'NEW-Tables 80-86'!E115+'NEW-Tables 80-86'!E145</f>
        <v>11579.599999999999</v>
      </c>
      <c r="I175" s="95">
        <f>+GETPIVOTDATA("Sum of New-HS % of Total",'Pivot-HS Student % of Undergrad'!$A$3,"State","OK","Category",10,"Category2","Two-Year")</f>
        <v>0</v>
      </c>
      <c r="J175" s="172">
        <f>+'NEW-Tables 80-86'!F115+'NEW-Tables 80-86'!F145</f>
        <v>44873.5</v>
      </c>
      <c r="K175" s="95">
        <f>+GETPIVOTDATA("Sum of New-HS % of Total",'Pivot-HS Student % of Undergrad'!$A$3,"State","OK","Category2","Group2")</f>
        <v>0</v>
      </c>
      <c r="Q175" s="1" t="s">
        <v>74</v>
      </c>
      <c r="R175" s="233">
        <f>+GETPIVOTDATA("Sum of Old-HS % of Total",'Pivot-HS Student % of Undergrad'!$A$3,"State","OK","Category",7,"Category2","Two-Year")</f>
        <v>0</v>
      </c>
      <c r="S175" s="441">
        <f t="shared" si="26"/>
        <v>0</v>
      </c>
      <c r="T175" s="234">
        <f>+GETPIVOTDATA("Sum of Old-HS % of Total",'Pivot-HS Student % of Undergrad'!$A$3,"State","OK","Category",8,"Category2","Two-Year")</f>
        <v>0</v>
      </c>
      <c r="U175" s="441">
        <f t="shared" si="27"/>
        <v>0</v>
      </c>
      <c r="V175" s="234">
        <f>+GETPIVOTDATA("Sum of Old-HS % of Total",'Pivot-HS Student % of Undergrad'!$A$3,"State","OK","Category",9,"Category2","Two-Year")</f>
        <v>0</v>
      </c>
      <c r="W175" s="441">
        <f t="shared" si="28"/>
        <v>0</v>
      </c>
      <c r="X175" s="234">
        <f>+GETPIVOTDATA("Sum of Old-HS % of Total",'Pivot-HS Student % of Undergrad'!$A$3,"State","OK","Category",10,"Category2","Two-Year")</f>
        <v>0</v>
      </c>
      <c r="Y175" s="441">
        <f t="shared" si="29"/>
        <v>0</v>
      </c>
      <c r="Z175" s="234">
        <f>+GETPIVOTDATA("Sum of Old-HS % of Total",'Pivot-HS Student % of Undergrad'!$A$3,"State","OK","Category2","Two-Year")</f>
        <v>0</v>
      </c>
      <c r="AA175" s="441">
        <f t="shared" si="30"/>
        <v>0</v>
      </c>
      <c r="AC175" s="99" t="s">
        <v>74</v>
      </c>
      <c r="AD175" s="80">
        <f>+B175</f>
        <v>6647.7</v>
      </c>
      <c r="AE175" s="80">
        <f>+D175</f>
        <v>19343.533333333333</v>
      </c>
      <c r="AF175" s="80">
        <f>+F175</f>
        <v>7302.6666666666661</v>
      </c>
      <c r="AG175" s="80">
        <f>+H175</f>
        <v>11579.599999999999</v>
      </c>
      <c r="AH175" s="80"/>
      <c r="AI175" s="80">
        <f>+J175</f>
        <v>44873.5</v>
      </c>
      <c r="AJ175" s="434" t="s">
        <v>74</v>
      </c>
      <c r="AK175" s="428">
        <f>+'NEW-Tables 80-86'!R115+'NEW-Tables 80-86'!Q145</f>
        <v>7513</v>
      </c>
      <c r="AL175" s="428">
        <f>+'NEW-Tables 80-86'!S115+'NEW-Tables 80-86'!R145</f>
        <v>19723.266666666666</v>
      </c>
      <c r="AM175" s="428">
        <f>+'NEW-Tables 80-86'!T115+'NEW-Tables 80-86'!S145</f>
        <v>7471.5</v>
      </c>
      <c r="AN175" s="428">
        <f>+'NEW-Tables 80-86'!U115+'NEW-Tables 80-86'!T145</f>
        <v>12007.933333333334</v>
      </c>
      <c r="AO175" s="428"/>
      <c r="AP175" s="429">
        <f>+'NEW-Tables 80-86'!V115+'NEW-Tables 80-86'!U145</f>
        <v>46715.7</v>
      </c>
      <c r="AR175" s="1" t="s">
        <v>74</v>
      </c>
      <c r="AS175" s="485">
        <f t="shared" si="31"/>
        <v>0</v>
      </c>
      <c r="AT175" s="485">
        <f t="shared" si="32"/>
        <v>0</v>
      </c>
      <c r="AU175" s="485">
        <f t="shared" si="33"/>
        <v>0</v>
      </c>
      <c r="AV175" s="485">
        <f t="shared" si="34"/>
        <v>0</v>
      </c>
      <c r="AW175" s="485">
        <f t="shared" si="35"/>
        <v>0</v>
      </c>
      <c r="AY175" s="1" t="s">
        <v>74</v>
      </c>
      <c r="AZ175" s="485">
        <f t="shared" si="36"/>
        <v>0</v>
      </c>
      <c r="BA175" s="485">
        <f t="shared" si="37"/>
        <v>0</v>
      </c>
      <c r="BB175" s="485">
        <f t="shared" si="38"/>
        <v>0</v>
      </c>
      <c r="BC175" s="485">
        <f t="shared" si="39"/>
        <v>0</v>
      </c>
      <c r="BD175" s="485">
        <f t="shared" si="40"/>
        <v>0</v>
      </c>
    </row>
    <row r="176" spans="1:88" ht="15" customHeight="1">
      <c r="A176" s="1" t="s">
        <v>75</v>
      </c>
      <c r="B176" s="32">
        <f>+'NEW-Tables 80-86'!B116+'NEW-Tables 80-86'!B146</f>
        <v>0</v>
      </c>
      <c r="C176" s="95">
        <f>+GETPIVOTDATA("Sum of New-HS % of Total",'Pivot-HS Student % of Undergrad'!$A$3,"State","SC","Category",7,"Category2","Two-Year")</f>
        <v>0</v>
      </c>
      <c r="D176" s="172">
        <f>+'NEW-Tables 80-86'!C116+'NEW-Tables 80-86'!C146</f>
        <v>50281.12733333333</v>
      </c>
      <c r="E176" s="95">
        <f>+GETPIVOTDATA("Sum of New-HS % of Total",'Pivot-HS Student % of Undergrad'!$A$3,"State","SC","Category",8,"Category2","Two-Year")</f>
        <v>4.1679654199214392E-2</v>
      </c>
      <c r="F176" s="172">
        <f>+'NEW-Tables 80-86'!D116+'NEW-Tables 80-86'!D146</f>
        <v>14114.827333333333</v>
      </c>
      <c r="G176" s="95">
        <f>+GETPIVOTDATA("Sum of New-HS % of Total",'Pivot-HS Student % of Undergrad'!$A$3,"State","SC","Category",9,"Category2","Two-Year")</f>
        <v>5.731797592895338E-2</v>
      </c>
      <c r="H176" s="172">
        <f>+'NEW-Tables 80-86'!E116+'NEW-Tables 80-86'!E146</f>
        <v>7284.2396666666664</v>
      </c>
      <c r="I176" s="95">
        <f>+GETPIVOTDATA("Sum of New-HS % of Total",'Pivot-HS Student % of Undergrad'!$A$3,"State","SC","Category",10,"Category2","Two-Year")</f>
        <v>5.4033196996582822E-2</v>
      </c>
      <c r="J176" s="172">
        <f>+'NEW-Tables 80-86'!F116+'NEW-Tables 80-86'!F146</f>
        <v>71680.194333333333</v>
      </c>
      <c r="K176" s="95">
        <f>+GETPIVOTDATA("Sum of New-HS % of Total",'Pivot-HS Student % of Undergrad'!$A$3,"State","SC","Category2","Group2")</f>
        <v>4.5626288640380243E-2</v>
      </c>
      <c r="Q176" s="1" t="s">
        <v>75</v>
      </c>
      <c r="R176" s="233">
        <f>+GETPIVOTDATA("Sum of Old-HS % of Total",'Pivot-HS Student % of Undergrad'!$A$3,"State","SC","Category",7,"Category2","Two-Year")</f>
        <v>0</v>
      </c>
      <c r="S176" s="441">
        <f t="shared" si="26"/>
        <v>0</v>
      </c>
      <c r="T176" s="234">
        <f>+GETPIVOTDATA("Sum of Old-HS % of Total",'Pivot-HS Student % of Undergrad'!$A$3,"State","SC","Category",8,"Category2","Two-Year")</f>
        <v>3.7152698943767423E-2</v>
      </c>
      <c r="U176" s="441">
        <f t="shared" si="27"/>
        <v>0.45269552554469683</v>
      </c>
      <c r="V176" s="234">
        <f>+GETPIVOTDATA("Sum of Old-HS % of Total",'Pivot-HS Student % of Undergrad'!$A$3,"State","SC","Category",9,"Category2","Two-Year")</f>
        <v>4.7293148864159008E-2</v>
      </c>
      <c r="W176" s="441">
        <f t="shared" si="28"/>
        <v>1.002482706479437</v>
      </c>
      <c r="X176" s="234">
        <f>+GETPIVOTDATA("Sum of Old-HS % of Total",'Pivot-HS Student % of Undergrad'!$A$3,"State","SC","Category",10,"Category2","Two-Year")</f>
        <v>7.4234601737948033E-2</v>
      </c>
      <c r="Y176" s="441">
        <f t="shared" si="29"/>
        <v>-2.0201404741365212</v>
      </c>
      <c r="Z176" s="234">
        <f>+GETPIVOTDATA("Sum of Old-HS % of Total",'Pivot-HS Student % of Undergrad'!$A$3,"State","SC","Category2","Two-Year")</f>
        <v>4.2728405948963384E-2</v>
      </c>
      <c r="AA176" s="441">
        <f t="shared" si="30"/>
        <v>0.28978826914168587</v>
      </c>
      <c r="AC176" s="99" t="s">
        <v>75</v>
      </c>
      <c r="AD176" s="80">
        <f>+B176</f>
        <v>0</v>
      </c>
      <c r="AE176" s="80">
        <f>+D176</f>
        <v>50281.12733333333</v>
      </c>
      <c r="AF176" s="80">
        <f>+F176</f>
        <v>14114.827333333333</v>
      </c>
      <c r="AG176" s="80">
        <f>+H176</f>
        <v>7284.2396666666664</v>
      </c>
      <c r="AH176" s="80"/>
      <c r="AI176" s="80">
        <f>+J176</f>
        <v>71680.194333333333</v>
      </c>
      <c r="AJ176" s="434" t="s">
        <v>75</v>
      </c>
      <c r="AK176" s="428">
        <f>+'NEW-Tables 80-86'!R116+'NEW-Tables 80-86'!Q146</f>
        <v>0</v>
      </c>
      <c r="AL176" s="428">
        <f>+'NEW-Tables 80-86'!S116+'NEW-Tables 80-86'!R146</f>
        <v>52973.4</v>
      </c>
      <c r="AM176" s="428">
        <f>+'NEW-Tables 80-86'!T116+'NEW-Tables 80-86'!S146</f>
        <v>15147.366666666667</v>
      </c>
      <c r="AN176" s="428">
        <f>+'NEW-Tables 80-86'!U116+'NEW-Tables 80-86'!T146</f>
        <v>8085.833333333333</v>
      </c>
      <c r="AO176" s="428"/>
      <c r="AP176" s="429">
        <f>+'NEW-Tables 80-86'!V116+'NEW-Tables 80-86'!U146</f>
        <v>76206.599999999991</v>
      </c>
      <c r="AQ176" s="25"/>
      <c r="AR176" s="1" t="s">
        <v>75</v>
      </c>
      <c r="AS176" s="485">
        <f t="shared" si="31"/>
        <v>0</v>
      </c>
      <c r="AT176" s="485">
        <f t="shared" si="32"/>
        <v>4.1679654199214395</v>
      </c>
      <c r="AU176" s="485">
        <f t="shared" si="33"/>
        <v>5.7317975928953384</v>
      </c>
      <c r="AV176" s="485">
        <f t="shared" si="34"/>
        <v>5.4033196996582822</v>
      </c>
      <c r="AW176" s="485">
        <f t="shared" si="35"/>
        <v>4.5626288640380244</v>
      </c>
      <c r="AY176" s="1" t="s">
        <v>75</v>
      </c>
      <c r="AZ176" s="485">
        <f t="shared" si="36"/>
        <v>0</v>
      </c>
      <c r="BA176" s="485">
        <f t="shared" si="37"/>
        <v>3.7152698943767422</v>
      </c>
      <c r="BB176" s="485">
        <f t="shared" si="38"/>
        <v>4.7293148864159011</v>
      </c>
      <c r="BC176" s="485">
        <f t="shared" si="39"/>
        <v>7.4234601737948029</v>
      </c>
      <c r="BD176" s="485">
        <f t="shared" si="40"/>
        <v>4.2728405948963388</v>
      </c>
      <c r="BE176" s="25"/>
      <c r="BF176" s="25"/>
      <c r="BG176" s="25"/>
    </row>
    <row r="177" spans="1:88" ht="15" customHeight="1">
      <c r="B177" s="32"/>
      <c r="C177" s="95"/>
      <c r="D177" s="172"/>
      <c r="E177" s="95"/>
      <c r="F177" s="172"/>
      <c r="G177" s="95"/>
      <c r="H177" s="172"/>
      <c r="I177" s="95"/>
      <c r="J177" s="172"/>
      <c r="K177" s="95"/>
      <c r="R177" s="233"/>
      <c r="S177" s="441"/>
      <c r="T177" s="234"/>
      <c r="U177" s="441"/>
      <c r="V177" s="234"/>
      <c r="W177" s="441"/>
      <c r="X177" s="234"/>
      <c r="Y177" s="441"/>
      <c r="Z177" s="234"/>
      <c r="AA177" s="441"/>
      <c r="AC177" s="99"/>
      <c r="AD177" s="80"/>
      <c r="AE177" s="80"/>
      <c r="AF177" s="80"/>
      <c r="AG177" s="80"/>
      <c r="AH177" s="80"/>
      <c r="AI177" s="80"/>
      <c r="AJ177" s="434"/>
      <c r="AK177" s="428"/>
      <c r="AL177" s="428"/>
      <c r="AM177" s="428"/>
      <c r="AN177" s="428"/>
      <c r="AO177" s="428"/>
      <c r="AP177" s="429"/>
      <c r="AQ177" s="25"/>
      <c r="AS177" s="485">
        <f t="shared" si="31"/>
        <v>0</v>
      </c>
      <c r="AT177" s="485">
        <f t="shared" si="32"/>
        <v>0</v>
      </c>
      <c r="AU177" s="485">
        <f t="shared" si="33"/>
        <v>0</v>
      </c>
      <c r="AV177" s="485">
        <f t="shared" si="34"/>
        <v>0</v>
      </c>
      <c r="AW177" s="485">
        <f t="shared" si="35"/>
        <v>0</v>
      </c>
      <c r="AZ177" s="485">
        <f t="shared" si="36"/>
        <v>0</v>
      </c>
      <c r="BA177" s="485">
        <f t="shared" si="37"/>
        <v>0</v>
      </c>
      <c r="BB177" s="485">
        <f t="shared" si="38"/>
        <v>0</v>
      </c>
      <c r="BC177" s="485">
        <f t="shared" si="39"/>
        <v>0</v>
      </c>
      <c r="BD177" s="485">
        <f t="shared" si="40"/>
        <v>0</v>
      </c>
      <c r="BE177" s="25"/>
      <c r="BF177" s="25"/>
      <c r="BG177" s="25"/>
    </row>
    <row r="178" spans="1:88" ht="11.25" customHeight="1">
      <c r="A178" s="1" t="s">
        <v>76</v>
      </c>
      <c r="B178" s="32">
        <f>+'NEW-Tables 80-86'!B118+'NEW-Tables 80-86'!B148</f>
        <v>0</v>
      </c>
      <c r="C178" s="95">
        <f>+GETPIVOTDATA("Sum of New-HS % of Total",'Pivot-HS Student % of Undergrad'!$A$3,"State","TN","Category",7,"Category2","Two-Year")</f>
        <v>0</v>
      </c>
      <c r="D178" s="172">
        <f>+'NEW-Tables 80-86'!C118+'NEW-Tables 80-86'!C148</f>
        <v>31691.966666666667</v>
      </c>
      <c r="E178" s="95">
        <f>+GETPIVOTDATA("Sum of New-HS % of Total",'Pivot-HS Student % of Undergrad'!$A$3,"State","TN","Category",8,"Category2","Two-Year")</f>
        <v>5.2875649875520507E-2</v>
      </c>
      <c r="F178" s="172">
        <f>+'NEW-Tables 80-86'!D118+'NEW-Tables 80-86'!D148</f>
        <v>25723.266666666666</v>
      </c>
      <c r="G178" s="95">
        <f>+GETPIVOTDATA("Sum of New-HS % of Total",'Pivot-HS Student % of Undergrad'!$A$3,"State","TN","Category",9,"Category2","Two-Year")</f>
        <v>9.275649282491337E-2</v>
      </c>
      <c r="H178" s="172">
        <f>+'NEW-Tables 80-86'!E118+'NEW-Tables 80-86'!E148</f>
        <v>0</v>
      </c>
      <c r="I178" s="95">
        <f>+GETPIVOTDATA("Sum of New-HS % of Total",'Pivot-HS Student % of Undergrad'!$A$3,"State","TN","Category",10,"Category2","Two-Year")</f>
        <v>0</v>
      </c>
      <c r="J178" s="172">
        <f>+'NEW-Tables 80-86'!F118+'NEW-Tables 80-86'!F148</f>
        <v>57415.233333333337</v>
      </c>
      <c r="K178" s="95">
        <f>+GETPIVOTDATA("Sum of New-HS % of Total",'Pivot-HS Student % of Undergrad'!$A$3,"State","TN","Category2","Group2")</f>
        <v>7.074313030746196E-2</v>
      </c>
      <c r="Q178" s="1" t="s">
        <v>76</v>
      </c>
      <c r="R178" s="233">
        <f>+GETPIVOTDATA("Sum of Old-HS % of Total",'Pivot-HS Student % of Undergrad'!$A$3,"State","TN","Category",7,"Category2","Two-Year")</f>
        <v>0</v>
      </c>
      <c r="S178" s="441">
        <f t="shared" si="26"/>
        <v>0</v>
      </c>
      <c r="T178" s="234">
        <f>+GETPIVOTDATA("Sum of Old-HS % of Total",'Pivot-HS Student % of Undergrad'!$A$3,"State","TN","Category",8,"Category2","Two-Year")</f>
        <v>4.9851823503923434E-2</v>
      </c>
      <c r="U178" s="441">
        <f t="shared" si="27"/>
        <v>0.30238263715970726</v>
      </c>
      <c r="V178" s="234">
        <f>+GETPIVOTDATA("Sum of Old-HS % of Total",'Pivot-HS Student % of Undergrad'!$A$3,"State","TN","Category",9,"Category2","Two-Year")</f>
        <v>8.9037407747616482E-2</v>
      </c>
      <c r="W178" s="441">
        <f t="shared" si="28"/>
        <v>0.37190850772968881</v>
      </c>
      <c r="X178" s="234">
        <f>+GETPIVOTDATA("Sum of Old-HS % of Total",'Pivot-HS Student % of Undergrad'!$A$3,"State","TN","Category",10,"Category2","Two-Year")</f>
        <v>0</v>
      </c>
      <c r="Y178" s="441">
        <f t="shared" si="29"/>
        <v>0</v>
      </c>
      <c r="Z178" s="234">
        <f>+GETPIVOTDATA("Sum of Old-HS % of Total",'Pivot-HS Student % of Undergrad'!$A$3,"State","TN","Category2","Two-Year")</f>
        <v>6.7253338490887826E-2</v>
      </c>
      <c r="AA178" s="441">
        <f t="shared" si="30"/>
        <v>0.34897918165741337</v>
      </c>
      <c r="AC178" s="99" t="s">
        <v>76</v>
      </c>
      <c r="AD178" s="80">
        <f>+B178</f>
        <v>0</v>
      </c>
      <c r="AE178" s="80">
        <f>+D178</f>
        <v>31691.966666666667</v>
      </c>
      <c r="AF178" s="80">
        <f>+F178</f>
        <v>25723.266666666666</v>
      </c>
      <c r="AG178" s="80">
        <f>+H178</f>
        <v>0</v>
      </c>
      <c r="AH178" s="80"/>
      <c r="AI178" s="80">
        <f>+J178</f>
        <v>57415.233333333337</v>
      </c>
      <c r="AJ178" s="434" t="s">
        <v>76</v>
      </c>
      <c r="AK178" s="428">
        <f>+'NEW-Tables 80-86'!R118+'NEW-Tables 80-86'!Q148</f>
        <v>0</v>
      </c>
      <c r="AL178" s="428">
        <f>+'NEW-Tables 80-86'!S118+'NEW-Tables 80-86'!R148</f>
        <v>31617.699999999997</v>
      </c>
      <c r="AM178" s="428">
        <f>+'NEW-Tables 80-86'!T118+'NEW-Tables 80-86'!S148</f>
        <v>25256.799999999996</v>
      </c>
      <c r="AN178" s="428">
        <f>+'NEW-Tables 80-86'!U118+'NEW-Tables 80-86'!T148</f>
        <v>0</v>
      </c>
      <c r="AO178" s="428"/>
      <c r="AP178" s="429">
        <f>+'NEW-Tables 80-86'!V118+'NEW-Tables 80-86'!U148</f>
        <v>56874.499999999993</v>
      </c>
      <c r="AQ178" s="25"/>
      <c r="AR178" s="1" t="s">
        <v>76</v>
      </c>
      <c r="AS178" s="485">
        <f t="shared" si="31"/>
        <v>0</v>
      </c>
      <c r="AT178" s="485">
        <f t="shared" si="32"/>
        <v>5.2875649875520505</v>
      </c>
      <c r="AU178" s="485">
        <f t="shared" si="33"/>
        <v>9.2756492824913366</v>
      </c>
      <c r="AV178" s="485">
        <f t="shared" si="34"/>
        <v>0</v>
      </c>
      <c r="AW178" s="485">
        <f t="shared" si="35"/>
        <v>7.0743130307461959</v>
      </c>
      <c r="AY178" s="1" t="s">
        <v>76</v>
      </c>
      <c r="AZ178" s="485">
        <f t="shared" si="36"/>
        <v>0</v>
      </c>
      <c r="BA178" s="485">
        <f t="shared" si="37"/>
        <v>4.9851823503923436</v>
      </c>
      <c r="BB178" s="485">
        <f t="shared" si="38"/>
        <v>8.9037407747616477</v>
      </c>
      <c r="BC178" s="485">
        <f t="shared" si="39"/>
        <v>0</v>
      </c>
      <c r="BD178" s="485">
        <f t="shared" si="40"/>
        <v>6.7253338490887824</v>
      </c>
      <c r="BE178" s="25"/>
      <c r="BF178" s="25"/>
      <c r="BG178" s="25"/>
    </row>
    <row r="179" spans="1:88" ht="15" customHeight="1">
      <c r="A179" s="1" t="s">
        <v>77</v>
      </c>
      <c r="B179" s="32">
        <f>+'NEW-Tables 80-86'!B119+'NEW-Tables 80-86'!B149</f>
        <v>27297.016666666666</v>
      </c>
      <c r="C179" s="205">
        <f>+GETPIVOTDATA("Sum of New-HS % of Total",'Pivot-HS Student % of Undergrad'!$A$3,"State","TX","Category",7,"Category2","Two-Year")</f>
        <v>0.26116909777948039</v>
      </c>
      <c r="D179" s="172">
        <f>+'NEW-Tables 80-86'!C119+'NEW-Tables 80-86'!C149</f>
        <v>349042.71222222218</v>
      </c>
      <c r="E179" s="205">
        <f>+GETPIVOTDATA("Sum of New-HS % of Total",'Pivot-HS Student % of Undergrad'!$A$3,"State","TX","Category",8,"Category2","Two-Year")</f>
        <v>8.5016382942520619E-2</v>
      </c>
      <c r="F179" s="172">
        <f>+'NEW-Tables 80-86'!D119+'NEW-Tables 80-86'!D149</f>
        <v>87519.444444444438</v>
      </c>
      <c r="G179" s="205">
        <f>+GETPIVOTDATA("Sum of New-HS % of Total",'Pivot-HS Student % of Undergrad'!$A$3,"State","TX","Category",9,"Category2","Two-Year")</f>
        <v>0.1224355274243461</v>
      </c>
      <c r="H179" s="172">
        <f>+'NEW-Tables 80-86'!E119+'NEW-Tables 80-86'!E149</f>
        <v>13018.300000000001</v>
      </c>
      <c r="I179" s="205">
        <f>+GETPIVOTDATA("Sum of New-HS % of Total",'Pivot-HS Student % of Undergrad'!$A$3,"State","TX","Category",10,"Category2","Two-Year")</f>
        <v>0.12584746324455462</v>
      </c>
      <c r="J179" s="172">
        <f>+'NEW-Tables 80-86'!F119+'NEW-Tables 80-86'!F149</f>
        <v>476877.47333333327</v>
      </c>
      <c r="K179" s="205">
        <f>+GETPIVOTDATA("Sum of New-HS % of Total",'Pivot-HS Student % of Undergrad'!$A$3,"State","TX","Category2","Group2")</f>
        <v>0.10297467555751674</v>
      </c>
      <c r="Q179" s="1" t="s">
        <v>77</v>
      </c>
      <c r="R179" s="233">
        <f>+GETPIVOTDATA("Sum of Old-HS % of Total",'Pivot-HS Student % of Undergrad'!$A$3,"State","TX","Category",7,"Category2","Two-Year")</f>
        <v>0.23220025091104607</v>
      </c>
      <c r="S179" s="441">
        <f t="shared" si="26"/>
        <v>2.8968846868434319</v>
      </c>
      <c r="T179" s="234">
        <f>+GETPIVOTDATA("Sum of Old-HS % of Total",'Pivot-HS Student % of Undergrad'!$A$3,"State","TX","Category",8,"Category2","Two-Year")</f>
        <v>7.6174629124799095E-2</v>
      </c>
      <c r="U179" s="441">
        <f t="shared" si="27"/>
        <v>0.88417538177215227</v>
      </c>
      <c r="V179" s="234">
        <f>+GETPIVOTDATA("Sum of Old-HS % of Total",'Pivot-HS Student % of Undergrad'!$A$3,"State","TX","Category",9,"Category2","Two-Year")</f>
        <v>0.10737303490096829</v>
      </c>
      <c r="W179" s="441">
        <f t="shared" si="28"/>
        <v>1.5062492523377811</v>
      </c>
      <c r="X179" s="234">
        <f>+GETPIVOTDATA("Sum of Old-HS % of Total",'Pivot-HS Student % of Undergrad'!$A$3,"State","TX","Category",10,"Category2","Two-Year")</f>
        <v>0.11133878088345052</v>
      </c>
      <c r="Y179" s="441">
        <f t="shared" si="29"/>
        <v>1.4508682361104099</v>
      </c>
      <c r="Z179" s="234">
        <f>+GETPIVOTDATA("Sum of Old-HS % of Total",'Pivot-HS Student % of Undergrad'!$A$3,"State","TX","Category2","Two-Year")</f>
        <v>9.1334464500903809E-2</v>
      </c>
      <c r="AA179" s="441">
        <f t="shared" si="30"/>
        <v>1.1640211056612935</v>
      </c>
      <c r="AC179" s="99" t="s">
        <v>77</v>
      </c>
      <c r="AD179" s="225">
        <f>+'FTE Pivot for regular counts'!AF171</f>
        <v>27297.016666666666</v>
      </c>
      <c r="AE179" s="225">
        <f>+'FTE Pivot for regular counts'!AG171</f>
        <v>276561.86333333328</v>
      </c>
      <c r="AF179" s="225">
        <f>+'FTE Pivot for regular counts'!AH171</f>
        <v>76185.071111111101</v>
      </c>
      <c r="AG179" s="225">
        <f>+'FTE Pivot for regular counts'!AI171</f>
        <v>11490.08</v>
      </c>
      <c r="AH179" s="225">
        <f>+'FTE Pivot for regular counts'!AJ171</f>
        <v>85343.442222222235</v>
      </c>
      <c r="AI179" s="80">
        <f>+J179</f>
        <v>476877.47333333327</v>
      </c>
      <c r="AJ179" s="434" t="s">
        <v>77</v>
      </c>
      <c r="AK179" s="428">
        <f>+'FTE Pivot for regular counts'!AF170</f>
        <v>26223.91333333333</v>
      </c>
      <c r="AL179" s="430">
        <f>+'FTE Pivot for regular counts'!AG170</f>
        <v>277270.9366666667</v>
      </c>
      <c r="AM179" s="430">
        <f>+'FTE Pivot for regular counts'!AH170</f>
        <v>77949.637777777767</v>
      </c>
      <c r="AN179" s="430">
        <f>+'FTE Pivot for regular counts'!AI170</f>
        <v>11481.919999999998</v>
      </c>
      <c r="AO179" s="430">
        <f>+'FTE Pivot for regular counts'!AJ170</f>
        <v>85531.694444444438</v>
      </c>
      <c r="AP179" s="429">
        <f>+'NEW-Tables 80-86'!V119+'NEW-Tables 80-86'!U149</f>
        <v>478458.10222222214</v>
      </c>
      <c r="AR179" s="1" t="s">
        <v>77</v>
      </c>
      <c r="AS179" s="485">
        <f t="shared" si="31"/>
        <v>26.116909777948038</v>
      </c>
      <c r="AT179" s="485">
        <f t="shared" si="32"/>
        <v>8.5016382942520625</v>
      </c>
      <c r="AU179" s="485">
        <f t="shared" si="33"/>
        <v>12.243552742434611</v>
      </c>
      <c r="AV179" s="485">
        <f t="shared" si="34"/>
        <v>12.584746324455462</v>
      </c>
      <c r="AW179" s="485">
        <f t="shared" si="35"/>
        <v>10.297467555751675</v>
      </c>
      <c r="AY179" s="1" t="s">
        <v>77</v>
      </c>
      <c r="AZ179" s="485">
        <f t="shared" si="36"/>
        <v>23.220025091104606</v>
      </c>
      <c r="BA179" s="485">
        <f t="shared" si="37"/>
        <v>7.6174629124799091</v>
      </c>
      <c r="BB179" s="485">
        <f t="shared" si="38"/>
        <v>10.73730349009683</v>
      </c>
      <c r="BC179" s="485">
        <f t="shared" si="39"/>
        <v>11.133878088345051</v>
      </c>
      <c r="BD179" s="485">
        <f t="shared" si="40"/>
        <v>9.1334464500903803</v>
      </c>
    </row>
    <row r="180" spans="1:88" ht="15" customHeight="1">
      <c r="A180" s="1" t="s">
        <v>78</v>
      </c>
      <c r="B180" s="32">
        <f>+'NEW-Tables 80-86'!B120+'NEW-Tables 80-86'!B150</f>
        <v>0</v>
      </c>
      <c r="C180" s="205">
        <f>+GETPIVOTDATA("Sum of New-HS % of Total",'Pivot-HS Student % of Undergrad'!$A$3,"State","VA","Category",7,"Category2","Two-Year")</f>
        <v>0</v>
      </c>
      <c r="D180" s="172">
        <f>+'NEW-Tables 80-86'!C120+'NEW-Tables 80-86'!C150</f>
        <v>71586.55</v>
      </c>
      <c r="E180" s="205">
        <f>+GETPIVOTDATA("Sum of New-HS % of Total",'Pivot-HS Student % of Undergrad'!$A$3,"State","VA","Category",8,"Category2","Two-Year")</f>
        <v>7.7827003350024085E-2</v>
      </c>
      <c r="F180" s="172">
        <f>+'NEW-Tables 80-86'!D120+'NEW-Tables 80-86'!D150</f>
        <v>33529</v>
      </c>
      <c r="G180" s="205">
        <f>+GETPIVOTDATA("Sum of New-HS % of Total",'Pivot-HS Student % of Undergrad'!$A$3,"State","VA","Category",9,"Category2","Two-Year")</f>
        <v>0.39542187360195652</v>
      </c>
      <c r="H180" s="172">
        <f>+'NEW-Tables 80-86'!E120+'NEW-Tables 80-86'!E150</f>
        <v>10137.866666666667</v>
      </c>
      <c r="I180" s="205">
        <f>+GETPIVOTDATA("Sum of New-HS % of Total",'Pivot-HS Student % of Undergrad'!$A$3,"State","VA","Category",10,"Category2","Two-Year")</f>
        <v>0.46675171633742801</v>
      </c>
      <c r="J180" s="172">
        <f>+'NEW-Tables 80-86'!F120+'NEW-Tables 80-86'!F150</f>
        <v>115253.41666666667</v>
      </c>
      <c r="K180" s="205">
        <f>+GETPIVOTDATA("Sum of New-HS % of Total",'Pivot-HS Student % of Undergrad'!$A$3,"State","VA","Category2","Group2")</f>
        <v>0.20443067125269604</v>
      </c>
      <c r="Q180" s="1" t="s">
        <v>78</v>
      </c>
      <c r="R180" s="233">
        <f>+GETPIVOTDATA("Sum of Old-HS % of Total",'Pivot-HS Student % of Undergrad'!$A$3,"State","VA","Category",7,"Category2","Two-Year")</f>
        <v>0</v>
      </c>
      <c r="S180" s="441">
        <f t="shared" si="26"/>
        <v>0</v>
      </c>
      <c r="T180" s="234">
        <f>+GETPIVOTDATA("Sum of Old-HS % of Total",'Pivot-HS Student % of Undergrad'!$A$3,"State","VA","Category",8,"Category2","Two-Year")</f>
        <v>6.374034329714609E-2</v>
      </c>
      <c r="U180" s="441">
        <f t="shared" si="27"/>
        <v>1.4086660052877995</v>
      </c>
      <c r="V180" s="234">
        <f>+GETPIVOTDATA("Sum of Old-HS % of Total",'Pivot-HS Student % of Undergrad'!$A$3,"State","VA","Category",9,"Category2","Two-Year")</f>
        <v>0.36304379884972721</v>
      </c>
      <c r="W180" s="441">
        <f t="shared" si="28"/>
        <v>3.2378074752229313</v>
      </c>
      <c r="X180" s="234">
        <f>+GETPIVOTDATA("Sum of Old-HS % of Total",'Pivot-HS Student % of Undergrad'!$A$3,"State","VA","Category",10,"Category2","Two-Year")</f>
        <v>0.42252475410159201</v>
      </c>
      <c r="Y180" s="441">
        <f t="shared" si="29"/>
        <v>4.4226962235835998</v>
      </c>
      <c r="Z180" s="234">
        <f>+GETPIVOTDATA("Sum of Old-HS % of Total",'Pivot-HS Student % of Undergrad'!$A$3,"State","VA","Category2","Two-Year")</f>
        <v>0.18120374733224312</v>
      </c>
      <c r="AA180" s="441">
        <f t="shared" si="30"/>
        <v>2.3226923920452918</v>
      </c>
      <c r="AC180" s="97" t="s">
        <v>78</v>
      </c>
      <c r="AD180" s="80"/>
      <c r="AE180" s="80">
        <f>+D180</f>
        <v>71586.55</v>
      </c>
      <c r="AF180" s="80">
        <f>+F180</f>
        <v>33529</v>
      </c>
      <c r="AG180" s="225">
        <f>'FTE Pivot for regular counts'!AI183</f>
        <v>8367.1666666666679</v>
      </c>
      <c r="AH180" s="225">
        <f>+'FTE Pivot for regular counts'!AJ183</f>
        <v>114109.78333333334</v>
      </c>
      <c r="AI180" s="80">
        <f>+J180</f>
        <v>115253.41666666667</v>
      </c>
      <c r="AJ180" s="434" t="s">
        <v>78</v>
      </c>
      <c r="AK180" s="428"/>
      <c r="AL180" s="428"/>
      <c r="AM180" s="428"/>
      <c r="AN180" s="430">
        <f>'FTE Pivot for regular counts'!AI182</f>
        <v>8367.9333333333325</v>
      </c>
      <c r="AO180" s="430">
        <f>+'FTE Pivot for regular counts'!AJ182</f>
        <v>119197.46666666666</v>
      </c>
      <c r="AP180" s="429">
        <f>+'NEW-Tables 80-86'!V120+'NEW-Tables 80-86'!U150</f>
        <v>120263.33333333333</v>
      </c>
      <c r="AQ180" s="25"/>
      <c r="AR180" s="1" t="s">
        <v>78</v>
      </c>
      <c r="AS180" s="485">
        <f t="shared" si="31"/>
        <v>0</v>
      </c>
      <c r="AT180" s="485">
        <f t="shared" si="32"/>
        <v>7.7827003350024082</v>
      </c>
      <c r="AU180" s="485">
        <f t="shared" si="33"/>
        <v>39.542187360195655</v>
      </c>
      <c r="AV180" s="485">
        <f t="shared" si="34"/>
        <v>46.675171633742799</v>
      </c>
      <c r="AW180" s="485">
        <f t="shared" si="35"/>
        <v>20.443067125269604</v>
      </c>
      <c r="AY180" s="1" t="s">
        <v>78</v>
      </c>
      <c r="AZ180" s="485">
        <f t="shared" si="36"/>
        <v>0</v>
      </c>
      <c r="BA180" s="485">
        <f t="shared" si="37"/>
        <v>6.3740343297146094</v>
      </c>
      <c r="BB180" s="485">
        <f t="shared" si="38"/>
        <v>36.304379884972718</v>
      </c>
      <c r="BC180" s="485">
        <f t="shared" si="39"/>
        <v>42.252475410159199</v>
      </c>
      <c r="BD180" s="485">
        <f t="shared" si="40"/>
        <v>18.120374733224313</v>
      </c>
      <c r="BE180" s="25"/>
      <c r="BF180" s="25"/>
      <c r="BG180" s="25"/>
    </row>
    <row r="181" spans="1:88" ht="15" customHeight="1">
      <c r="A181" s="3" t="s">
        <v>79</v>
      </c>
      <c r="B181" s="9">
        <f>+'NEW-Tables 80-86'!B121+'NEW-Tables 80-86'!B151</f>
        <v>1251.7333333333333</v>
      </c>
      <c r="C181" s="207">
        <f>+GETPIVOTDATA("Sum of New-HS % of Total",'Pivot-HS Student % of Undergrad'!$A$3,"State","WV","Category",7,"Category2","Two-Year")</f>
        <v>6.8092245419684699E-2</v>
      </c>
      <c r="D181" s="173">
        <f>+'NEW-Tables 80-86'!C121+'NEW-Tables 80-86'!C151</f>
        <v>0</v>
      </c>
      <c r="E181" s="207">
        <f>+GETPIVOTDATA("Sum of New-HS % of Total",'Pivot-HS Student % of Undergrad'!$A$3,"State","WV","Category",8,"Category2","Two-Year")</f>
        <v>0</v>
      </c>
      <c r="F181" s="173">
        <f>+'NEW-Tables 80-86'!D121+'NEW-Tables 80-86'!D151</f>
        <v>2911.833333333333</v>
      </c>
      <c r="G181" s="207">
        <f>+GETPIVOTDATA("Sum of New-HS % of Total",'Pivot-HS Student % of Undergrad'!$A$3,"State","WV","Category",9,"Category2","Two-Year")</f>
        <v>6.2389101940358307E-2</v>
      </c>
      <c r="H181" s="173">
        <f>+'NEW-Tables 80-86'!E121+'NEW-Tables 80-86'!E151</f>
        <v>7977.623333333333</v>
      </c>
      <c r="I181" s="207">
        <f>+GETPIVOTDATA("Sum of New-HS % of Total",'Pivot-HS Student % of Undergrad'!$A$3,"State","WV","Category",10,"Category2","Two-Year")</f>
        <v>4.5842391656328717E-2</v>
      </c>
      <c r="J181" s="173">
        <f>+'NEW-Tables 80-86'!F121+'NEW-Tables 80-86'!F151</f>
        <v>12141.189999999999</v>
      </c>
      <c r="K181" s="207">
        <f>+GETPIVOTDATA("Sum of New-HS % of Total",'Pivot-HS Student % of Undergrad'!$A$3,"State","WV","Category2","Group2")</f>
        <v>5.2104722299324321E-2</v>
      </c>
      <c r="Q181" s="3" t="s">
        <v>79</v>
      </c>
      <c r="R181" s="403">
        <f>+GETPIVOTDATA("Sum of Old-HS % of Total",'Pivot-HS Student % of Undergrad'!$A$3,"State","WV","Category",7,"Category2","Two-Year")</f>
        <v>5.4204711698532006E-2</v>
      </c>
      <c r="S181" s="441">
        <f t="shared" si="26"/>
        <v>1.3887533721152694</v>
      </c>
      <c r="T181" s="404">
        <f>+GETPIVOTDATA("Sum of Old-HS % of Total",'Pivot-HS Student % of Undergrad'!$A$3,"State","WV","Category",8,"Category2","Two-Year")</f>
        <v>0</v>
      </c>
      <c r="U181" s="441">
        <f t="shared" si="27"/>
        <v>0</v>
      </c>
      <c r="V181" s="404">
        <f>+GETPIVOTDATA("Sum of Old-HS % of Total",'Pivot-HS Student % of Undergrad'!$A$3,"State","WV","Category",9,"Category2","Two-Year")</f>
        <v>5.5542863670112512E-2</v>
      </c>
      <c r="W181" s="441">
        <f t="shared" si="28"/>
        <v>0.68462382702457958</v>
      </c>
      <c r="X181" s="404">
        <f>+GETPIVOTDATA("Sum of Old-HS % of Total",'Pivot-HS Student % of Undergrad'!$A$3,"State","WV","Category",10,"Category2","Two-Year")</f>
        <v>2.8150511437699283E-2</v>
      </c>
      <c r="Y181" s="441">
        <f t="shared" si="29"/>
        <v>1.7691880218629434</v>
      </c>
      <c r="Z181" s="404">
        <f>+GETPIVOTDATA("Sum of Old-HS % of Total",'Pivot-HS Student % of Undergrad'!$A$3,"State","WV","Category2","Two-Year")</f>
        <v>3.7924915999709062E-2</v>
      </c>
      <c r="AA181" s="441">
        <f t="shared" si="30"/>
        <v>1.4179806299615259</v>
      </c>
      <c r="AC181" s="97" t="s">
        <v>79</v>
      </c>
      <c r="AD181" s="80">
        <f>+B181</f>
        <v>1251.7333333333333</v>
      </c>
      <c r="AE181" s="80">
        <f>+D181</f>
        <v>0</v>
      </c>
      <c r="AF181" s="80">
        <f>+F181</f>
        <v>2911.833333333333</v>
      </c>
      <c r="AG181" s="80">
        <f>+H181</f>
        <v>7977.623333333333</v>
      </c>
      <c r="AH181" s="144"/>
      <c r="AI181" s="80">
        <f>+J181</f>
        <v>12141.189999999999</v>
      </c>
      <c r="AJ181" s="436" t="s">
        <v>79</v>
      </c>
      <c r="AK181" s="431">
        <f>+'NEW-Tables 80-86'!R121+'NEW-Tables 80-86'!Q151</f>
        <v>1321.5333333333333</v>
      </c>
      <c r="AL181" s="431">
        <f>+'NEW-Tables 80-86'!S121+'NEW-Tables 80-86'!R151</f>
        <v>0</v>
      </c>
      <c r="AM181" s="431">
        <f>+'NEW-Tables 80-86'!T121+'NEW-Tables 80-86'!S151</f>
        <v>3501.8</v>
      </c>
      <c r="AN181" s="431">
        <f>+'NEW-Tables 80-86'!U121+'NEW-Tables 80-86'!T151</f>
        <v>8512.9299999999985</v>
      </c>
      <c r="AO181" s="431"/>
      <c r="AP181" s="432">
        <f>+'NEW-Tables 80-86'!V121+'NEW-Tables 80-86'!U151</f>
        <v>13336.263333333332</v>
      </c>
      <c r="AR181" s="3" t="s">
        <v>79</v>
      </c>
      <c r="AS181" s="486">
        <f t="shared" si="31"/>
        <v>6.8092245419684696</v>
      </c>
      <c r="AT181" s="486">
        <f t="shared" si="32"/>
        <v>0</v>
      </c>
      <c r="AU181" s="486">
        <f t="shared" si="33"/>
        <v>6.2389101940358307</v>
      </c>
      <c r="AV181" s="486">
        <f t="shared" si="34"/>
        <v>4.584239165632872</v>
      </c>
      <c r="AW181" s="486">
        <f t="shared" si="35"/>
        <v>5.2104722299324324</v>
      </c>
      <c r="AY181" s="3" t="s">
        <v>79</v>
      </c>
      <c r="AZ181" s="486">
        <f t="shared" si="36"/>
        <v>5.4204711698532009</v>
      </c>
      <c r="BA181" s="486">
        <f t="shared" si="37"/>
        <v>0</v>
      </c>
      <c r="BB181" s="486">
        <f t="shared" si="38"/>
        <v>5.554286367011251</v>
      </c>
      <c r="BC181" s="486">
        <f t="shared" si="39"/>
        <v>2.8150511437699284</v>
      </c>
      <c r="BD181" s="486">
        <f t="shared" si="40"/>
        <v>3.7924915999709063</v>
      </c>
      <c r="BH181" s="25"/>
      <c r="BI181" s="25"/>
      <c r="BJ181" s="25"/>
    </row>
    <row r="182" spans="1:88" ht="34.5" customHeight="1">
      <c r="A182" s="831" t="s">
        <v>979</v>
      </c>
      <c r="B182" s="831"/>
      <c r="C182" s="831"/>
      <c r="D182" s="831"/>
      <c r="E182" s="831"/>
      <c r="F182" s="831"/>
      <c r="G182" s="831"/>
      <c r="H182" s="831"/>
      <c r="I182" s="831"/>
      <c r="J182" s="831"/>
      <c r="K182" s="831"/>
      <c r="P182" s="25"/>
      <c r="AN182" s="25"/>
      <c r="AO182" s="25"/>
      <c r="AP182" s="25"/>
      <c r="AQ182" s="25"/>
      <c r="AZ182" s="25"/>
      <c r="BA182" s="25"/>
      <c r="BB182" s="25"/>
      <c r="BC182" s="25"/>
      <c r="BD182" s="25"/>
      <c r="BE182" s="25"/>
      <c r="BF182" s="25"/>
      <c r="BG182" s="25"/>
      <c r="CF182" s="25"/>
      <c r="CG182" s="25"/>
      <c r="CH182" s="25"/>
      <c r="CI182" s="25"/>
      <c r="CJ182" s="25"/>
    </row>
    <row r="183" spans="1:88" s="25" customFormat="1" ht="10.5" customHeight="1">
      <c r="A183" s="1"/>
      <c r="B183" s="1"/>
      <c r="C183" s="1"/>
      <c r="D183" s="1"/>
      <c r="E183" s="1"/>
      <c r="F183" s="1"/>
      <c r="G183" s="1"/>
      <c r="H183" s="4"/>
      <c r="I183" s="1"/>
      <c r="J183" s="1"/>
      <c r="K183" s="524" t="s">
        <v>975</v>
      </c>
      <c r="L183" s="102"/>
      <c r="M183" s="102"/>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row>
    <row r="184" spans="1:88" ht="18" customHeight="1">
      <c r="A184" s="114" t="s">
        <v>169</v>
      </c>
      <c r="B184" s="22"/>
      <c r="C184" s="22"/>
      <c r="D184" s="22"/>
      <c r="E184" s="22"/>
      <c r="F184" s="22"/>
      <c r="G184" s="22"/>
      <c r="H184" s="105"/>
      <c r="I184" s="22"/>
      <c r="J184" s="1"/>
      <c r="K184" s="1"/>
      <c r="L184" s="1"/>
      <c r="M184" s="196"/>
      <c r="S184" s="168"/>
      <c r="AN184" s="25"/>
      <c r="AO184" s="25"/>
      <c r="AP184" s="25"/>
      <c r="AQ184" s="25"/>
      <c r="AZ184" s="25"/>
      <c r="BA184" s="25"/>
      <c r="BB184" s="25"/>
      <c r="BC184" s="25"/>
      <c r="BD184" s="25"/>
      <c r="BE184" s="25"/>
      <c r="BF184" s="25"/>
      <c r="BG184" s="25"/>
    </row>
    <row r="185" spans="1:88" ht="15.75">
      <c r="A185" s="21"/>
      <c r="B185" s="22"/>
      <c r="C185" s="22"/>
      <c r="D185" s="22"/>
      <c r="E185" s="22"/>
      <c r="F185" s="22"/>
      <c r="G185" s="22"/>
      <c r="H185" s="105"/>
      <c r="I185" s="22"/>
      <c r="J185" s="1"/>
      <c r="K185" s="1"/>
      <c r="L185" s="1"/>
      <c r="M185" s="196"/>
      <c r="S185" s="168"/>
      <c r="AA185" s="125"/>
      <c r="AB185" s="223"/>
      <c r="AC185" s="99"/>
      <c r="AD185" s="230" t="s">
        <v>39</v>
      </c>
      <c r="AE185" s="99"/>
      <c r="AF185" s="99"/>
      <c r="AG185" s="99"/>
      <c r="AH185" s="99"/>
      <c r="AI185" s="99"/>
      <c r="AJ185" s="230" t="s">
        <v>39</v>
      </c>
      <c r="AK185" s="99"/>
      <c r="AL185" s="99"/>
      <c r="AN185" s="25"/>
      <c r="AO185" s="223" t="s">
        <v>251</v>
      </c>
      <c r="AT185" s="223" t="s">
        <v>251</v>
      </c>
      <c r="BA185" s="25"/>
      <c r="BB185" s="25"/>
      <c r="BC185" s="25"/>
    </row>
    <row r="186" spans="1:88" ht="15.75" customHeight="1">
      <c r="A186" s="43" t="s">
        <v>36</v>
      </c>
      <c r="B186" s="22"/>
      <c r="C186" s="22"/>
      <c r="D186" s="22"/>
      <c r="E186" s="22"/>
      <c r="F186" s="22"/>
      <c r="G186" s="22"/>
      <c r="H186" s="105"/>
      <c r="I186" s="22"/>
      <c r="J186" s="1"/>
      <c r="K186" s="1"/>
      <c r="L186" s="1"/>
      <c r="M186" s="196"/>
      <c r="S186" s="168"/>
      <c r="AA186" s="145"/>
      <c r="AB186" s="125"/>
      <c r="AC186" s="99"/>
      <c r="AD186" s="133" t="s">
        <v>144</v>
      </c>
      <c r="AE186" s="99"/>
      <c r="AF186" s="99"/>
      <c r="AG186" s="99"/>
      <c r="AH186" s="99"/>
      <c r="AI186" s="99"/>
      <c r="AJ186" s="133" t="s">
        <v>38</v>
      </c>
      <c r="AK186" s="99"/>
      <c r="AL186" s="99"/>
      <c r="AN186" s="25"/>
      <c r="AO186" s="484" t="s">
        <v>144</v>
      </c>
      <c r="AT186" s="484" t="s">
        <v>38</v>
      </c>
      <c r="BA186" s="25"/>
      <c r="BB186" s="25"/>
      <c r="BC186" s="25"/>
    </row>
    <row r="187" spans="1:88" ht="15.75">
      <c r="A187" s="109" t="s">
        <v>974</v>
      </c>
      <c r="B187" s="22"/>
      <c r="C187" s="22"/>
      <c r="D187" s="22"/>
      <c r="E187" s="22"/>
      <c r="F187" s="22"/>
      <c r="G187" s="22"/>
      <c r="H187" s="105"/>
      <c r="I187" s="22"/>
      <c r="J187" s="1"/>
      <c r="K187" s="1"/>
      <c r="L187" s="1"/>
      <c r="M187" s="196"/>
      <c r="Q187" s="125" t="s">
        <v>38</v>
      </c>
      <c r="S187" s="168"/>
      <c r="AA187" s="145"/>
      <c r="AB187" s="145"/>
      <c r="AC187" s="99"/>
      <c r="AD187" s="99"/>
      <c r="AE187" s="99"/>
      <c r="AF187" s="99"/>
      <c r="AG187" s="99"/>
      <c r="AH187" s="99"/>
      <c r="AI187" s="99"/>
      <c r="AJ187" s="99"/>
      <c r="AK187" s="99"/>
      <c r="AL187" s="99"/>
      <c r="AN187" s="25"/>
      <c r="BA187" s="25"/>
      <c r="BB187" s="25"/>
      <c r="BC187" s="25"/>
    </row>
    <row r="188" spans="1:88">
      <c r="C188" s="3"/>
      <c r="D188" s="3"/>
      <c r="E188" s="3"/>
      <c r="F188" s="3"/>
      <c r="G188" s="3"/>
      <c r="H188" s="73"/>
      <c r="I188" s="25"/>
      <c r="J188" s="1"/>
      <c r="K188" s="1"/>
      <c r="L188" s="1"/>
      <c r="M188" s="196"/>
      <c r="Q188" s="231" t="s">
        <v>153</v>
      </c>
      <c r="R188" s="3"/>
      <c r="S188" s="3"/>
      <c r="T188" s="3"/>
      <c r="U188" s="3"/>
      <c r="V188" s="3"/>
      <c r="W188" s="3"/>
      <c r="X188" s="25"/>
      <c r="Y188" s="25"/>
      <c r="AA188" s="145"/>
      <c r="AB188" s="145"/>
      <c r="AC188" s="99"/>
      <c r="AD188" s="132" t="s">
        <v>39</v>
      </c>
      <c r="AE188" s="99"/>
      <c r="AF188" s="99"/>
      <c r="AG188" s="99"/>
      <c r="AH188" s="99"/>
      <c r="AI188" s="99"/>
      <c r="AJ188" s="132" t="s">
        <v>39</v>
      </c>
      <c r="AK188" s="99"/>
      <c r="AL188" s="99"/>
      <c r="AN188" s="25"/>
      <c r="BA188" s="25"/>
      <c r="BB188" s="25"/>
      <c r="BC188" s="25"/>
    </row>
    <row r="189" spans="1:88" ht="28.5" customHeight="1">
      <c r="A189" s="45"/>
      <c r="B189" s="258">
        <v>1</v>
      </c>
      <c r="D189" s="218">
        <v>2</v>
      </c>
      <c r="F189" s="219" t="s">
        <v>30</v>
      </c>
      <c r="H189" s="73"/>
      <c r="I189" s="25"/>
      <c r="J189" s="1"/>
      <c r="K189" s="1"/>
      <c r="L189" s="1"/>
      <c r="M189" s="196"/>
      <c r="Q189" s="76"/>
      <c r="R189" s="76" t="s">
        <v>157</v>
      </c>
      <c r="S189" s="25"/>
      <c r="T189" s="232">
        <v>2</v>
      </c>
      <c r="U189" s="25"/>
      <c r="V189" s="232" t="s">
        <v>1</v>
      </c>
      <c r="W189" s="25"/>
      <c r="X189" s="73"/>
      <c r="Y189" s="73"/>
      <c r="AA189" s="145"/>
      <c r="AB189" s="145"/>
      <c r="AC189" s="99"/>
      <c r="AD189" s="136" t="s">
        <v>45</v>
      </c>
      <c r="AE189" s="137"/>
      <c r="AF189" s="138"/>
      <c r="AG189" s="139"/>
      <c r="AH189" s="99"/>
      <c r="AI189" s="99"/>
      <c r="AJ189" s="136" t="s">
        <v>45</v>
      </c>
      <c r="AK189" s="137"/>
      <c r="AL189" s="138"/>
      <c r="AN189" s="25"/>
      <c r="AP189" s="136">
        <v>1</v>
      </c>
      <c r="AQ189" s="137">
        <v>2</v>
      </c>
      <c r="AR189" s="138" t="s">
        <v>30</v>
      </c>
      <c r="AU189" s="136">
        <v>1</v>
      </c>
      <c r="AV189" s="137">
        <v>2</v>
      </c>
      <c r="AW189" s="138" t="s">
        <v>30</v>
      </c>
      <c r="BA189" s="25"/>
      <c r="BB189" s="25"/>
      <c r="BC189" s="25"/>
    </row>
    <row r="190" spans="1:88" ht="78" customHeight="1">
      <c r="A190" s="198"/>
      <c r="B190" s="199" t="s">
        <v>143</v>
      </c>
      <c r="C190" s="165" t="s">
        <v>22</v>
      </c>
      <c r="D190" s="200" t="s">
        <v>143</v>
      </c>
      <c r="E190" s="165" t="s">
        <v>22</v>
      </c>
      <c r="F190" s="200" t="s">
        <v>143</v>
      </c>
      <c r="G190" s="165" t="s">
        <v>22</v>
      </c>
      <c r="J190" s="1"/>
      <c r="K190" s="1"/>
      <c r="L190" s="1"/>
      <c r="M190" s="196"/>
      <c r="Q190" s="3"/>
      <c r="R190" s="227" t="s">
        <v>2</v>
      </c>
      <c r="S190" s="227" t="s">
        <v>4</v>
      </c>
      <c r="T190" s="229" t="s">
        <v>2</v>
      </c>
      <c r="U190" s="227" t="s">
        <v>4</v>
      </c>
      <c r="V190" s="229" t="s">
        <v>2</v>
      </c>
      <c r="W190" s="227" t="s">
        <v>4</v>
      </c>
      <c r="X190" s="395"/>
      <c r="Y190" s="395"/>
      <c r="AA190" s="145"/>
      <c r="AB190" s="145"/>
      <c r="AC190" s="99"/>
      <c r="AD190" s="142">
        <v>1</v>
      </c>
      <c r="AE190" s="143">
        <v>2</v>
      </c>
      <c r="AF190" s="141" t="s">
        <v>30</v>
      </c>
      <c r="AG190" s="141"/>
      <c r="AH190" s="99"/>
      <c r="AI190" s="99"/>
      <c r="AJ190" s="142">
        <v>1</v>
      </c>
      <c r="AK190" s="143">
        <v>2</v>
      </c>
      <c r="AL190" s="141" t="s">
        <v>30</v>
      </c>
      <c r="AN190" s="25"/>
      <c r="AP190" s="478" t="s">
        <v>250</v>
      </c>
      <c r="AQ190" s="478" t="s">
        <v>250</v>
      </c>
      <c r="AR190" s="478" t="s">
        <v>250</v>
      </c>
      <c r="AU190" s="478" t="s">
        <v>250</v>
      </c>
      <c r="AV190" s="478" t="s">
        <v>250</v>
      </c>
      <c r="AW190" s="478" t="s">
        <v>250</v>
      </c>
      <c r="BA190" s="25"/>
      <c r="BB190" s="25"/>
      <c r="BC190" s="25"/>
    </row>
    <row r="191" spans="1:88" ht="12.75" customHeight="1">
      <c r="A191" s="1" t="s">
        <v>64</v>
      </c>
      <c r="B191" s="32">
        <f>+'NEW-Tables 80-86'!G101+'NEW-Tables 80-86'!G131</f>
        <v>89225.862544444419</v>
      </c>
      <c r="D191" s="174">
        <f>+'NEW-Tables 80-86'!H101+'NEW-Tables 80-86'!H131</f>
        <v>27070.132422222225</v>
      </c>
      <c r="F191" s="174">
        <f>+'NEW-Tables 80-86'!I101+'NEW-Tables 80-86'!I131</f>
        <v>116295.99496666665</v>
      </c>
      <c r="J191" s="1"/>
      <c r="K191" s="1"/>
      <c r="L191" s="1"/>
      <c r="M191" s="196"/>
      <c r="Q191" s="25" t="s">
        <v>64</v>
      </c>
      <c r="R191" s="400"/>
      <c r="S191" s="394">
        <f>C191-R191</f>
        <v>0</v>
      </c>
      <c r="T191" s="234"/>
      <c r="U191" s="394">
        <f>E191-T191</f>
        <v>0</v>
      </c>
      <c r="V191" s="234"/>
      <c r="W191" s="394">
        <f>G191-V191</f>
        <v>0</v>
      </c>
      <c r="X191" s="396"/>
      <c r="Y191" s="397"/>
      <c r="AA191" s="145"/>
      <c r="AB191" s="145"/>
      <c r="AC191" s="99" t="s">
        <v>64</v>
      </c>
      <c r="AD191" s="81">
        <f>SUM(AD193:AD211)</f>
        <v>89225.862544444419</v>
      </c>
      <c r="AE191" s="80">
        <f>SUM(AE193:AE211)</f>
        <v>27070.132422222225</v>
      </c>
      <c r="AF191" s="80">
        <f>SUM(AF193:AF211)</f>
        <v>116295.99496666665</v>
      </c>
      <c r="AG191" s="80"/>
      <c r="AH191" s="99"/>
      <c r="AI191" s="99" t="s">
        <v>64</v>
      </c>
      <c r="AJ191" s="80">
        <f>SUM(AJ193:AJ211)</f>
        <v>94098.679899999988</v>
      </c>
      <c r="AK191" s="80">
        <f>SUM(AK193:AK211)</f>
        <v>27020.260677777776</v>
      </c>
      <c r="AL191" s="80">
        <f>SUM(AL193:AL211)</f>
        <v>121118.94057777779</v>
      </c>
      <c r="AN191" s="25"/>
      <c r="AO191" s="99" t="s">
        <v>64</v>
      </c>
      <c r="AT191" s="99" t="s">
        <v>64</v>
      </c>
      <c r="BA191" s="25"/>
      <c r="BB191" s="25"/>
      <c r="BC191" s="25"/>
    </row>
    <row r="192" spans="1:88" ht="10.5" customHeight="1">
      <c r="A192" s="255"/>
      <c r="B192" s="259"/>
      <c r="C192" s="251" t="s">
        <v>183</v>
      </c>
      <c r="D192" s="257" t="s">
        <v>28</v>
      </c>
      <c r="E192" s="251" t="s">
        <v>184</v>
      </c>
      <c r="F192" s="257" t="s">
        <v>28</v>
      </c>
      <c r="G192" s="251" t="s">
        <v>185</v>
      </c>
      <c r="J192" s="1" t="s">
        <v>28</v>
      </c>
      <c r="K192" s="1"/>
      <c r="L192" s="1"/>
      <c r="M192" s="196"/>
      <c r="Q192" s="25"/>
      <c r="R192" s="401"/>
      <c r="S192" s="394"/>
      <c r="T192" s="402"/>
      <c r="U192" s="394"/>
      <c r="V192" s="402"/>
      <c r="W192" s="394"/>
      <c r="X192" s="396"/>
      <c r="Y192" s="398"/>
      <c r="AA192" s="145"/>
      <c r="AB192" s="145"/>
      <c r="AC192" s="99"/>
      <c r="AD192" s="80"/>
      <c r="AE192" s="80"/>
      <c r="AF192" s="80"/>
      <c r="AG192" s="80"/>
      <c r="AH192" s="99"/>
      <c r="AI192" s="99"/>
      <c r="AJ192" s="80"/>
      <c r="AK192" s="80"/>
      <c r="AL192" s="80"/>
      <c r="AN192" s="25"/>
      <c r="AO192" s="99"/>
      <c r="AT192" s="99"/>
      <c r="BA192" s="25"/>
      <c r="BB192" s="25"/>
      <c r="BC192" s="25"/>
    </row>
    <row r="193" spans="1:55">
      <c r="A193" s="1" t="s">
        <v>65</v>
      </c>
      <c r="B193" s="32">
        <f>+'NEW-Tables 80-86'!G103+'NEW-Tables 80-86'!G133</f>
        <v>1202.9000000000001</v>
      </c>
      <c r="C193" s="95">
        <f>+GETPIVOTDATA("Sum of New-HS % of Total",'Pivot-HS Student % of Undergrad'!$A$3,"State","AL","Category",12,"Category2","Technical")</f>
        <v>3.0481890985673513E-2</v>
      </c>
      <c r="D193" s="174">
        <f>+'NEW-Tables 80-86'!H103+'NEW-Tables 80-86'!H133</f>
        <v>1774.5</v>
      </c>
      <c r="E193" s="95">
        <f>+GETPIVOTDATA("Sum of New-HS % of Total",'Pivot-HS Student % of Undergrad'!$A$3,"State","AL","Category",13,"Category2","Technical")</f>
        <v>4.5834507372968909E-2</v>
      </c>
      <c r="F193" s="174">
        <f>+'NEW-Tables 80-86'!I103+'NEW-Tables 80-86'!I133</f>
        <v>2977.4</v>
      </c>
      <c r="G193" s="95">
        <f>+GETPIVOTDATA("Sum of New-HS % of Total",'Pivot-HS Student % of Undergrad'!$A$3,"State","AL","Category2","Group3")</f>
        <v>3.9631893598441596E-2</v>
      </c>
      <c r="J193" s="1"/>
      <c r="K193" s="1"/>
      <c r="L193" s="1"/>
      <c r="M193" s="196"/>
      <c r="Q193" s="25" t="s">
        <v>65</v>
      </c>
      <c r="R193" s="233">
        <f>+GETPIVOTDATA("Sum of Old-HS % of Total",'Pivot-HS Student % of Undergrad'!$A$3,"State","AL","Category",12,"Category2","Technical")</f>
        <v>1.9284934184054723E-2</v>
      </c>
      <c r="S193" s="441">
        <f>(C193-R193)*100</f>
        <v>1.1196956801618789</v>
      </c>
      <c r="T193" s="234">
        <f>+GETPIVOTDATA("Sum of Old-HS % of Total",'Pivot-HS Student % of Undergrad'!$A$3,"State","AL","Category",13,"Category2","Technical")</f>
        <v>4.3269398735282814E-2</v>
      </c>
      <c r="U193" s="441">
        <f>(E193-T193)*100</f>
        <v>0.25651086376860949</v>
      </c>
      <c r="V193" s="234">
        <f>+GETPIVOTDATA("Sum of Old-HS % of Total",'Pivot-HS Student % of Undergrad'!$A$3,"State","AL","Category2","Technical")</f>
        <v>3.4202520643198613E-2</v>
      </c>
      <c r="W193" s="441">
        <f>(G193-V193)*100</f>
        <v>0.54293729552429837</v>
      </c>
      <c r="X193" s="396"/>
      <c r="Y193" s="398"/>
      <c r="AA193" s="145"/>
      <c r="AB193" s="145"/>
      <c r="AC193" s="99" t="s">
        <v>65</v>
      </c>
      <c r="AD193" s="81">
        <f>+B193</f>
        <v>1202.9000000000001</v>
      </c>
      <c r="AE193" s="80">
        <f>+D193</f>
        <v>1774.5</v>
      </c>
      <c r="AF193" s="80">
        <f>+F193</f>
        <v>2977.4</v>
      </c>
      <c r="AG193" s="80"/>
      <c r="AH193" s="99"/>
      <c r="AI193" s="99" t="s">
        <v>65</v>
      </c>
      <c r="AJ193" s="98">
        <f>+'NEW-Tables 80-86'!W103+'NEW-Tables 80-86'!V133</f>
        <v>1159.8</v>
      </c>
      <c r="AK193" s="97">
        <f>+'NEW-Tables 80-86'!X103+'NEW-Tables 80-86'!W133</f>
        <v>1908.1999999999998</v>
      </c>
      <c r="AL193" s="80">
        <f>+'NEW-Tables 80-86'!Y103+'NEW-Tables 80-86'!X133</f>
        <v>3068</v>
      </c>
      <c r="AN193" s="25"/>
      <c r="AO193" s="99" t="s">
        <v>65</v>
      </c>
      <c r="AP193" s="487">
        <f>C193*100</f>
        <v>3.0481890985673514</v>
      </c>
      <c r="AQ193" s="487">
        <f>E193*100</f>
        <v>4.5834507372968911</v>
      </c>
      <c r="AR193" s="487">
        <f>G193*100</f>
        <v>3.9631893598441597</v>
      </c>
      <c r="AT193" s="99" t="s">
        <v>65</v>
      </c>
      <c r="AU193" s="487">
        <f>R193*100</f>
        <v>1.9284934184054723</v>
      </c>
      <c r="AV193" s="487">
        <f>T193*100</f>
        <v>4.3269398735282811</v>
      </c>
      <c r="AW193" s="487">
        <f>V193*100</f>
        <v>3.4202520643198611</v>
      </c>
      <c r="BA193" s="25"/>
      <c r="BB193" s="25"/>
      <c r="BC193" s="25"/>
    </row>
    <row r="194" spans="1:55">
      <c r="A194" s="1" t="s">
        <v>66</v>
      </c>
      <c r="B194" s="32">
        <f>+'NEW-Tables 80-86'!G104+'NEW-Tables 80-86'!G134</f>
        <v>0</v>
      </c>
      <c r="C194" s="95">
        <f>+GETPIVOTDATA("Sum of New-HS % of Total",'Pivot-HS Student % of Undergrad'!$A$3,"State","AR","Category",12,"Category2","Technical")</f>
        <v>0</v>
      </c>
      <c r="D194" s="174">
        <f>+'NEW-Tables 80-86'!H104+'NEW-Tables 80-86'!H134</f>
        <v>0</v>
      </c>
      <c r="E194" s="95">
        <f>+GETPIVOTDATA("Sum of New-HS % of Total",'Pivot-HS Student % of Undergrad'!$A$3,"State","AR","Category",13,"Category2","Technical")</f>
        <v>0</v>
      </c>
      <c r="F194" s="174">
        <f>+'NEW-Tables 80-86'!I104+'NEW-Tables 80-86'!I134</f>
        <v>0</v>
      </c>
      <c r="G194" s="95">
        <f>+GETPIVOTDATA("Sum of New-HS % of Total",'Pivot-HS Student % of Undergrad'!$A$3,"State","AR","Category2","Group3")</f>
        <v>0</v>
      </c>
      <c r="J194" s="1"/>
      <c r="K194" s="1"/>
      <c r="L194" s="1"/>
      <c r="M194" s="196"/>
      <c r="Q194" s="73" t="s">
        <v>66</v>
      </c>
      <c r="R194" s="233">
        <f>+GETPIVOTDATA("Sum of Old-HS % of Total",'Pivot-HS Student % of Undergrad'!$A$3,"State","AR","Category",12,"Category2","Technical")</f>
        <v>0</v>
      </c>
      <c r="S194" s="441">
        <f t="shared" ref="S194:S211" si="41">(C194-R194)*100</f>
        <v>0</v>
      </c>
      <c r="T194" s="234">
        <f>+GETPIVOTDATA("Sum of Old-HS % of Total",'Pivot-HS Student % of Undergrad'!$A$3,"State","AR","Category",13,"Category2","Technical")</f>
        <v>0</v>
      </c>
      <c r="U194" s="441">
        <f t="shared" ref="U194:U211" si="42">(E194-T194)*100</f>
        <v>0</v>
      </c>
      <c r="V194" s="234">
        <f>+GETPIVOTDATA("Sum of Old-HS % of Total",'Pivot-HS Student % of Undergrad'!$A$3,"State","AR","Category2","Technical")</f>
        <v>0</v>
      </c>
      <c r="W194" s="441">
        <f t="shared" ref="W194:W211" si="43">(G194-V194)*100</f>
        <v>0</v>
      </c>
      <c r="X194" s="396"/>
      <c r="Y194" s="399"/>
      <c r="AA194" s="145"/>
      <c r="AB194" s="145"/>
      <c r="AC194" s="99" t="s">
        <v>66</v>
      </c>
      <c r="AD194" s="81">
        <f>+B194</f>
        <v>0</v>
      </c>
      <c r="AE194" s="80">
        <f>+D194</f>
        <v>0</v>
      </c>
      <c r="AF194" s="80">
        <f>+F194</f>
        <v>0</v>
      </c>
      <c r="AG194" s="80"/>
      <c r="AH194" s="99"/>
      <c r="AI194" s="99" t="s">
        <v>66</v>
      </c>
      <c r="AJ194" s="98">
        <f>+'NEW-Tables 80-86'!W104+'NEW-Tables 80-86'!V134</f>
        <v>0</v>
      </c>
      <c r="AK194" s="97">
        <f>+'NEW-Tables 80-86'!X104+'NEW-Tables 80-86'!W134</f>
        <v>0</v>
      </c>
      <c r="AL194" s="80">
        <f>+'NEW-Tables 80-86'!Y104+'NEW-Tables 80-86'!X134</f>
        <v>0</v>
      </c>
      <c r="AN194" s="25"/>
      <c r="AO194" s="99" t="s">
        <v>66</v>
      </c>
      <c r="AP194" s="487">
        <f t="shared" ref="AP194:AP211" si="44">C194*100</f>
        <v>0</v>
      </c>
      <c r="AQ194" s="487">
        <f t="shared" ref="AQ194:AQ211" si="45">E194*100</f>
        <v>0</v>
      </c>
      <c r="AR194" s="487">
        <f t="shared" ref="AR194:AR211" si="46">G194*100</f>
        <v>0</v>
      </c>
      <c r="AT194" s="99" t="s">
        <v>66</v>
      </c>
      <c r="AU194" s="487">
        <f t="shared" ref="AU194:AU211" si="47">R194*100</f>
        <v>0</v>
      </c>
      <c r="AV194" s="487">
        <f t="shared" ref="AV194:AV211" si="48">T194*100</f>
        <v>0</v>
      </c>
      <c r="AW194" s="487">
        <f t="shared" ref="AW194:AW211" si="49">V194*100</f>
        <v>0</v>
      </c>
      <c r="BA194" s="25"/>
      <c r="BB194" s="25"/>
      <c r="BC194" s="25"/>
    </row>
    <row r="195" spans="1:55">
      <c r="A195" s="1" t="s">
        <v>102</v>
      </c>
      <c r="B195" s="32">
        <f>+'NEW-Tables 80-86'!G105+'NEW-Tables 80-86'!G135</f>
        <v>0</v>
      </c>
      <c r="C195" s="95">
        <f>+GETPIVOTDATA("Sum of New-HS % of Total",'Pivot-HS Student % of Undergrad'!$A$3,"State","DE","Category",12,"Category2","Technical")</f>
        <v>0</v>
      </c>
      <c r="D195" s="174">
        <f>+'NEW-Tables 80-86'!H105+'NEW-Tables 80-86'!H135</f>
        <v>0</v>
      </c>
      <c r="E195" s="95">
        <f>+GETPIVOTDATA("Sum of New-HS % of Total",'Pivot-HS Student % of Undergrad'!$A$3,"State","DE","Category",13,"Category2","Technical")</f>
        <v>0</v>
      </c>
      <c r="F195" s="174">
        <f>+'NEW-Tables 80-86'!I105+'NEW-Tables 80-86'!I135</f>
        <v>0</v>
      </c>
      <c r="G195" s="95">
        <f>+GETPIVOTDATA("Sum of New-HS % of Total",'Pivot-HS Student % of Undergrad'!$A$3,"State","DE","Category2","Group3")</f>
        <v>0</v>
      </c>
      <c r="J195" s="1"/>
      <c r="K195" s="1"/>
      <c r="L195" s="1"/>
      <c r="M195" s="196"/>
      <c r="Q195" s="25" t="s">
        <v>102</v>
      </c>
      <c r="R195" s="233">
        <f>+GETPIVOTDATA("Sum of Old-HS % of Total",'Pivot-HS Student % of Undergrad'!$A$3,"State","DE","Category",12,"Category2","Technical")</f>
        <v>0</v>
      </c>
      <c r="S195" s="441">
        <f t="shared" si="41"/>
        <v>0</v>
      </c>
      <c r="T195" s="234">
        <f>+GETPIVOTDATA("Sum of Old-HS % of Total",'Pivot-HS Student % of Undergrad'!$A$3,"State","DE","Category",13,"Category2","Technical")</f>
        <v>0</v>
      </c>
      <c r="U195" s="441">
        <f t="shared" si="42"/>
        <v>0</v>
      </c>
      <c r="V195" s="234">
        <f>+GETPIVOTDATA("Sum of Old-HS % of Total",'Pivot-HS Student % of Undergrad'!$A$3,"State","DE","Category2","Technical")</f>
        <v>0</v>
      </c>
      <c r="W195" s="441">
        <f t="shared" si="43"/>
        <v>0</v>
      </c>
      <c r="X195" s="396"/>
      <c r="Y195" s="398"/>
      <c r="AA195" s="145"/>
      <c r="AB195" s="145"/>
      <c r="AC195" s="99" t="s">
        <v>102</v>
      </c>
      <c r="AD195" s="81">
        <f>+B195</f>
        <v>0</v>
      </c>
      <c r="AE195" s="80">
        <f>+D195</f>
        <v>0</v>
      </c>
      <c r="AF195" s="80">
        <f>+F195</f>
        <v>0</v>
      </c>
      <c r="AG195" s="80"/>
      <c r="AH195" s="99"/>
      <c r="AI195" s="99" t="s">
        <v>102</v>
      </c>
      <c r="AJ195" s="98">
        <f>+'NEW-Tables 80-86'!W105+'NEW-Tables 80-86'!V135</f>
        <v>0</v>
      </c>
      <c r="AK195" s="97">
        <f>+'NEW-Tables 80-86'!X105+'NEW-Tables 80-86'!W135</f>
        <v>0</v>
      </c>
      <c r="AL195" s="80">
        <f>+'NEW-Tables 80-86'!Y105+'NEW-Tables 80-86'!X135</f>
        <v>0</v>
      </c>
      <c r="AN195" s="25"/>
      <c r="AO195" s="99" t="s">
        <v>102</v>
      </c>
      <c r="AP195" s="487">
        <f t="shared" si="44"/>
        <v>0</v>
      </c>
      <c r="AQ195" s="487">
        <f t="shared" si="45"/>
        <v>0</v>
      </c>
      <c r="AR195" s="487">
        <f t="shared" si="46"/>
        <v>0</v>
      </c>
      <c r="AT195" s="99" t="s">
        <v>102</v>
      </c>
      <c r="AU195" s="487">
        <f t="shared" si="47"/>
        <v>0</v>
      </c>
      <c r="AV195" s="487">
        <f t="shared" si="48"/>
        <v>0</v>
      </c>
      <c r="AW195" s="487">
        <f t="shared" si="49"/>
        <v>0</v>
      </c>
      <c r="BA195" s="25"/>
      <c r="BB195" s="25"/>
      <c r="BC195" s="25"/>
    </row>
    <row r="196" spans="1:55">
      <c r="A196" s="1" t="s">
        <v>67</v>
      </c>
      <c r="B196" s="32">
        <f>+'NEW-Tables 80-86'!G106+'NEW-Tables 80-86'!G136</f>
        <v>0</v>
      </c>
      <c r="C196" s="95">
        <f>+GETPIVOTDATA("Sum of New-HS % of Total",'Pivot-HS Student % of Undergrad'!$A$3,"State","FL","Category",12,"Category2","Technical")</f>
        <v>0</v>
      </c>
      <c r="D196" s="174">
        <f>+'NEW-Tables 80-86'!H106+'NEW-Tables 80-86'!H136</f>
        <v>0</v>
      </c>
      <c r="E196" s="95">
        <f>+GETPIVOTDATA("Sum of New-HS % of Total",'Pivot-HS Student % of Undergrad'!$A$3,"State","FL","Category",13,"Category2","Technical")</f>
        <v>0</v>
      </c>
      <c r="F196" s="174">
        <f>+'NEW-Tables 80-86'!I106+'NEW-Tables 80-86'!I136</f>
        <v>0</v>
      </c>
      <c r="G196" s="95">
        <f>+GETPIVOTDATA("Sum of New-HS % of Total",'Pivot-HS Student % of Undergrad'!$A$3,"State","FL","Category2","Group3")</f>
        <v>0</v>
      </c>
      <c r="J196" s="1"/>
      <c r="K196" s="1"/>
      <c r="L196" s="1"/>
      <c r="M196" s="196"/>
      <c r="Q196" s="25" t="s">
        <v>67</v>
      </c>
      <c r="R196" s="233">
        <f>+GETPIVOTDATA("Sum of Old-HS % of Total",'Pivot-HS Student % of Undergrad'!$A$3,"State","FL","Category",12,"Category2","Technical")</f>
        <v>0</v>
      </c>
      <c r="S196" s="441">
        <f t="shared" si="41"/>
        <v>0</v>
      </c>
      <c r="T196" s="234">
        <f>+GETPIVOTDATA("Sum of Old-HS % of Total",'Pivot-HS Student % of Undergrad'!$A$3,"State","FL","Category",13,"Category2","Technical")</f>
        <v>0</v>
      </c>
      <c r="U196" s="441">
        <f t="shared" si="42"/>
        <v>0</v>
      </c>
      <c r="V196" s="234">
        <f>+GETPIVOTDATA("Sum of Old-HS % of Total",'Pivot-HS Student % of Undergrad'!$A$3,"State","FL","Category2","Technical")</f>
        <v>0</v>
      </c>
      <c r="W196" s="441">
        <f t="shared" si="43"/>
        <v>0</v>
      </c>
      <c r="X196" s="396"/>
      <c r="Y196" s="398"/>
      <c r="AA196" s="145"/>
      <c r="AB196" s="145"/>
      <c r="AC196" s="99" t="s">
        <v>67</v>
      </c>
      <c r="AD196" s="81">
        <f>+B196</f>
        <v>0</v>
      </c>
      <c r="AE196" s="80">
        <f>+D196</f>
        <v>0</v>
      </c>
      <c r="AF196" s="80">
        <f>+F196</f>
        <v>0</v>
      </c>
      <c r="AG196" s="80"/>
      <c r="AH196" s="99"/>
      <c r="AI196" s="99" t="s">
        <v>67</v>
      </c>
      <c r="AJ196" s="98">
        <f>+'NEW-Tables 80-86'!W106+'NEW-Tables 80-86'!V136</f>
        <v>0</v>
      </c>
      <c r="AK196" s="97">
        <f>+'NEW-Tables 80-86'!X106+'NEW-Tables 80-86'!W136</f>
        <v>0</v>
      </c>
      <c r="AL196" s="80">
        <f>+'NEW-Tables 80-86'!Y106+'NEW-Tables 80-86'!X136</f>
        <v>0</v>
      </c>
      <c r="AN196" s="25"/>
      <c r="AO196" s="99" t="s">
        <v>67</v>
      </c>
      <c r="AP196" s="487">
        <f t="shared" si="44"/>
        <v>0</v>
      </c>
      <c r="AQ196" s="487">
        <f t="shared" si="45"/>
        <v>0</v>
      </c>
      <c r="AR196" s="487">
        <f t="shared" si="46"/>
        <v>0</v>
      </c>
      <c r="AT196" s="99" t="s">
        <v>67</v>
      </c>
      <c r="AU196" s="487">
        <f t="shared" si="47"/>
        <v>0</v>
      </c>
      <c r="AV196" s="487">
        <f t="shared" si="48"/>
        <v>0</v>
      </c>
      <c r="AW196" s="487">
        <f t="shared" si="49"/>
        <v>0</v>
      </c>
      <c r="BA196" s="25"/>
      <c r="BB196" s="25"/>
      <c r="BC196" s="25"/>
    </row>
    <row r="197" spans="1:55">
      <c r="B197" s="32"/>
      <c r="C197" s="95"/>
      <c r="D197" s="174"/>
      <c r="E197" s="95"/>
      <c r="F197" s="174"/>
      <c r="G197" s="95"/>
      <c r="J197" s="1"/>
      <c r="K197" s="1"/>
      <c r="L197" s="1"/>
      <c r="M197" s="196"/>
      <c r="Q197" s="25"/>
      <c r="R197" s="233"/>
      <c r="S197" s="441"/>
      <c r="T197" s="234"/>
      <c r="U197" s="441"/>
      <c r="V197" s="234"/>
      <c r="W197" s="441"/>
      <c r="X197" s="396"/>
      <c r="Y197" s="398"/>
      <c r="AA197" s="145"/>
      <c r="AB197" s="145"/>
      <c r="AC197" s="99"/>
      <c r="AD197" s="81"/>
      <c r="AE197" s="80"/>
      <c r="AF197" s="80"/>
      <c r="AG197" s="80"/>
      <c r="AH197" s="99"/>
      <c r="AI197" s="99"/>
      <c r="AJ197" s="98"/>
      <c r="AK197" s="97"/>
      <c r="AL197" s="80"/>
      <c r="AN197" s="25"/>
      <c r="AO197" s="99"/>
      <c r="AP197" s="487">
        <f t="shared" si="44"/>
        <v>0</v>
      </c>
      <c r="AQ197" s="487">
        <f t="shared" si="45"/>
        <v>0</v>
      </c>
      <c r="AR197" s="487">
        <f t="shared" si="46"/>
        <v>0</v>
      </c>
      <c r="AT197" s="99"/>
      <c r="AU197" s="487">
        <f t="shared" si="47"/>
        <v>0</v>
      </c>
      <c r="AV197" s="487">
        <f t="shared" si="48"/>
        <v>0</v>
      </c>
      <c r="AW197" s="487">
        <f t="shared" si="49"/>
        <v>0</v>
      </c>
      <c r="BA197" s="25"/>
      <c r="BB197" s="25"/>
      <c r="BC197" s="25"/>
    </row>
    <row r="198" spans="1:55">
      <c r="A198" s="1" t="s">
        <v>68</v>
      </c>
      <c r="B198" s="32">
        <f>+'NEW-Tables 80-86'!G108+'NEW-Tables 80-86'!G138</f>
        <v>67506.233333333323</v>
      </c>
      <c r="C198" s="95">
        <f>+GETPIVOTDATA("Sum of New-HS % of Total",'Pivot-HS Student % of Undergrad'!$A$3,"State","GA","Category",12,"Category2","Technical")</f>
        <v>6.6908339822446025E-2</v>
      </c>
      <c r="D198" s="174">
        <f>+'NEW-Tables 80-86'!H108+'NEW-Tables 80-86'!H138</f>
        <v>0</v>
      </c>
      <c r="E198" s="95">
        <f>+GETPIVOTDATA("Sum of New-HS % of Total",'Pivot-HS Student % of Undergrad'!$A$3,"State","GA","Category",13,"Category2","Technical")</f>
        <v>0</v>
      </c>
      <c r="F198" s="174">
        <f>+'NEW-Tables 80-86'!I108+'NEW-Tables 80-86'!I138</f>
        <v>67506.233333333323</v>
      </c>
      <c r="G198" s="95">
        <f>+GETPIVOTDATA("Sum of New-HS % of Total",'Pivot-HS Student % of Undergrad'!$A$3,"State","GA","Category2","Group3")</f>
        <v>6.6908339822446025E-2</v>
      </c>
      <c r="J198" s="1"/>
      <c r="K198" s="1"/>
      <c r="L198" s="1"/>
      <c r="M198" s="196"/>
      <c r="Q198" s="25" t="s">
        <v>68</v>
      </c>
      <c r="R198" s="233">
        <f>+GETPIVOTDATA("Sum of Old-HS % of Total",'Pivot-HS Student % of Undergrad'!$A$3,"State","GA","Category",12,"Category2","Technical")</f>
        <v>4.6991217083826323E-2</v>
      </c>
      <c r="S198" s="441">
        <f t="shared" si="41"/>
        <v>1.9917122738619701</v>
      </c>
      <c r="T198" s="234">
        <f>+GETPIVOTDATA("Sum of Old-HS % of Total",'Pivot-HS Student % of Undergrad'!$A$3,"State","GA","Category",13,"Category2","Technical")</f>
        <v>0</v>
      </c>
      <c r="U198" s="441">
        <f t="shared" si="42"/>
        <v>0</v>
      </c>
      <c r="V198" s="234">
        <f>+GETPIVOTDATA("Sum of Old-HS % of Total",'Pivot-HS Student % of Undergrad'!$A$3,"State","GA","Category2","Technical")</f>
        <v>4.6991217083826323E-2</v>
      </c>
      <c r="W198" s="441">
        <f t="shared" si="43"/>
        <v>1.9917122738619701</v>
      </c>
      <c r="X198" s="396"/>
      <c r="Y198" s="398"/>
      <c r="AA198" s="145"/>
      <c r="AB198" s="145"/>
      <c r="AC198" s="99" t="s">
        <v>68</v>
      </c>
      <c r="AD198" s="81">
        <f>+B198</f>
        <v>67506.233333333323</v>
      </c>
      <c r="AE198" s="80">
        <f>+D198</f>
        <v>0</v>
      </c>
      <c r="AF198" s="80">
        <f>+F198</f>
        <v>67506.233333333323</v>
      </c>
      <c r="AG198" s="80"/>
      <c r="AH198" s="99"/>
      <c r="AI198" s="99" t="s">
        <v>68</v>
      </c>
      <c r="AJ198" s="98">
        <f>+'NEW-Tables 80-86'!W108+'NEW-Tables 80-86'!V138</f>
        <v>71686.516666666663</v>
      </c>
      <c r="AK198" s="97">
        <f>+'NEW-Tables 80-86'!X108+'NEW-Tables 80-86'!W138</f>
        <v>0</v>
      </c>
      <c r="AL198" s="80">
        <f>+'NEW-Tables 80-86'!Y108+'NEW-Tables 80-86'!X138</f>
        <v>71686.516666666663</v>
      </c>
      <c r="AN198" s="25"/>
      <c r="AO198" s="99" t="s">
        <v>68</v>
      </c>
      <c r="AP198" s="487">
        <f t="shared" si="44"/>
        <v>6.6908339822446026</v>
      </c>
      <c r="AQ198" s="487">
        <f t="shared" si="45"/>
        <v>0</v>
      </c>
      <c r="AR198" s="487">
        <f t="shared" si="46"/>
        <v>6.6908339822446026</v>
      </c>
      <c r="AT198" s="99" t="s">
        <v>68</v>
      </c>
      <c r="AU198" s="487">
        <f t="shared" si="47"/>
        <v>4.6991217083826324</v>
      </c>
      <c r="AV198" s="487">
        <f t="shared" si="48"/>
        <v>0</v>
      </c>
      <c r="AW198" s="487">
        <f t="shared" si="49"/>
        <v>4.6991217083826324</v>
      </c>
      <c r="BA198" s="25"/>
      <c r="BB198" s="25"/>
      <c r="BC198" s="25"/>
    </row>
    <row r="199" spans="1:55">
      <c r="A199" s="1" t="s">
        <v>69</v>
      </c>
      <c r="B199" s="32">
        <f>+'NEW-Tables 80-86'!G109+'NEW-Tables 80-86'!G139</f>
        <v>4898.7</v>
      </c>
      <c r="C199" s="95">
        <f>+GETPIVOTDATA("Sum of New-HS % of Total",'Pivot-HS Student % of Undergrad'!$A$3,"State","KY","Category",12,"Category2","Technical")</f>
        <v>7.4917835344070871E-2</v>
      </c>
      <c r="D199" s="174">
        <f>+'NEW-Tables 80-86'!H109+'NEW-Tables 80-86'!H139</f>
        <v>0</v>
      </c>
      <c r="E199" s="95">
        <f>+GETPIVOTDATA("Sum of New-HS % of Total",'Pivot-HS Student % of Undergrad'!$A$3,"State","KY","Category",13,"Category2","Technical")</f>
        <v>0</v>
      </c>
      <c r="F199" s="174">
        <f>+'NEW-Tables 80-86'!I109+'NEW-Tables 80-86'!I139</f>
        <v>4898.7</v>
      </c>
      <c r="G199" s="95">
        <f>+GETPIVOTDATA("Sum of New-HS % of Total",'Pivot-HS Student % of Undergrad'!$A$3,"State","KY","Category2","Group3")</f>
        <v>7.4917835344070871E-2</v>
      </c>
      <c r="J199" s="1"/>
      <c r="K199" s="1"/>
      <c r="L199" s="1"/>
      <c r="M199" s="196"/>
      <c r="Q199" s="25" t="s">
        <v>69</v>
      </c>
      <c r="R199" s="233">
        <f>+GETPIVOTDATA("Sum of Old-HS % of Total",'Pivot-HS Student % of Undergrad'!$A$3,"State","KY","Category",12,"Category2","Technical")</f>
        <v>5.1169571527568937E-2</v>
      </c>
      <c r="S199" s="441">
        <f t="shared" si="41"/>
        <v>2.3748263816501933</v>
      </c>
      <c r="T199" s="234">
        <f>+GETPIVOTDATA("Sum of Old-HS % of Total",'Pivot-HS Student % of Undergrad'!$A$3,"State","KY","Category",13,"Category2","Technical")</f>
        <v>0</v>
      </c>
      <c r="U199" s="441">
        <f t="shared" si="42"/>
        <v>0</v>
      </c>
      <c r="V199" s="234">
        <f>+GETPIVOTDATA("Sum of Old-HS % of Total",'Pivot-HS Student % of Undergrad'!$A$3,"State","KY","Category2","Technical")</f>
        <v>5.1169571527568937E-2</v>
      </c>
      <c r="W199" s="441">
        <f t="shared" si="43"/>
        <v>2.3748263816501933</v>
      </c>
      <c r="X199" s="396"/>
      <c r="Y199" s="398"/>
      <c r="AA199" s="145"/>
      <c r="AB199" s="145"/>
      <c r="AC199" s="99" t="s">
        <v>69</v>
      </c>
      <c r="AD199" s="81">
        <f>+B199</f>
        <v>4898.7</v>
      </c>
      <c r="AE199" s="80">
        <f>+D199</f>
        <v>0</v>
      </c>
      <c r="AF199" s="80">
        <f>+F199</f>
        <v>4898.7</v>
      </c>
      <c r="AG199" s="80"/>
      <c r="AH199" s="99"/>
      <c r="AI199" s="99" t="s">
        <v>69</v>
      </c>
      <c r="AJ199" s="98">
        <f>+'NEW-Tables 80-86'!W109+'NEW-Tables 80-86'!V139</f>
        <v>5098.7333333333336</v>
      </c>
      <c r="AK199" s="97">
        <f>+'NEW-Tables 80-86'!X109+'NEW-Tables 80-86'!W139</f>
        <v>0</v>
      </c>
      <c r="AL199" s="80">
        <f>+'NEW-Tables 80-86'!Y109+'NEW-Tables 80-86'!X139</f>
        <v>5098.7333333333336</v>
      </c>
      <c r="AN199" s="25"/>
      <c r="AO199" s="99" t="s">
        <v>69</v>
      </c>
      <c r="AP199" s="487">
        <f t="shared" si="44"/>
        <v>7.4917835344070873</v>
      </c>
      <c r="AQ199" s="487">
        <f t="shared" si="45"/>
        <v>0</v>
      </c>
      <c r="AR199" s="487">
        <f t="shared" si="46"/>
        <v>7.4917835344070873</v>
      </c>
      <c r="AT199" s="99" t="s">
        <v>69</v>
      </c>
      <c r="AU199" s="487">
        <f t="shared" si="47"/>
        <v>5.1169571527568936</v>
      </c>
      <c r="AV199" s="487">
        <f t="shared" si="48"/>
        <v>0</v>
      </c>
      <c r="AW199" s="487">
        <f t="shared" si="49"/>
        <v>5.1169571527568936</v>
      </c>
      <c r="BA199" s="25"/>
      <c r="BB199" s="25"/>
      <c r="BC199" s="25"/>
    </row>
    <row r="200" spans="1:55">
      <c r="A200" s="1" t="s">
        <v>70</v>
      </c>
      <c r="B200" s="32">
        <f>+'NEW-Tables 80-86'!G110+'NEW-Tables 80-86'!G140</f>
        <v>9824.0811111111107</v>
      </c>
      <c r="C200" s="95">
        <f>+GETPIVOTDATA("Sum of New-HS % of Total",'Pivot-HS Student % of Undergrad'!$A$3,"State","LA","Category",12,"Category2","Technical")</f>
        <v>0.15245576279292206</v>
      </c>
      <c r="D200" s="174">
        <f>+'NEW-Tables 80-86'!H110+'NEW-Tables 80-86'!H140</f>
        <v>0</v>
      </c>
      <c r="E200" s="95">
        <f>+GETPIVOTDATA("Sum of New-HS % of Total",'Pivot-HS Student % of Undergrad'!$A$3,"State","LA","Category",13,"Category2","Technical")</f>
        <v>0</v>
      </c>
      <c r="F200" s="174">
        <f>+'NEW-Tables 80-86'!I110+'NEW-Tables 80-86'!I140</f>
        <v>9824.0811111111107</v>
      </c>
      <c r="G200" s="95">
        <f>+GETPIVOTDATA("Sum of New-HS % of Total",'Pivot-HS Student % of Undergrad'!$A$3,"State","LA","Category2","Group3")</f>
        <v>0.15245576279292206</v>
      </c>
      <c r="J200" s="1"/>
      <c r="K200" s="1"/>
      <c r="L200" s="1"/>
      <c r="M200" s="196"/>
      <c r="Q200" s="25" t="s">
        <v>70</v>
      </c>
      <c r="R200" s="233">
        <f>+GETPIVOTDATA("Sum of Old-HS % of Total",'Pivot-HS Student % of Undergrad'!$A$3,"State","LA","Category",12,"Category2","Technical")</f>
        <v>0.15123639976519218</v>
      </c>
      <c r="S200" s="441">
        <f t="shared" si="41"/>
        <v>0.1219363027729875</v>
      </c>
      <c r="T200" s="234">
        <f>+GETPIVOTDATA("Sum of Old-HS % of Total",'Pivot-HS Student % of Undergrad'!$A$3,"State","LA","Category",13,"Category2","Technical")</f>
        <v>0</v>
      </c>
      <c r="U200" s="441">
        <f t="shared" si="42"/>
        <v>0</v>
      </c>
      <c r="V200" s="234">
        <f>+GETPIVOTDATA("Sum of Old-HS % of Total",'Pivot-HS Student % of Undergrad'!$A$3,"State","LA","Category2","Technical")</f>
        <v>0.15123639976519218</v>
      </c>
      <c r="W200" s="441">
        <f t="shared" si="43"/>
        <v>0.1219363027729875</v>
      </c>
      <c r="X200" s="396"/>
      <c r="Y200" s="398"/>
      <c r="AA200" s="145"/>
      <c r="AB200" s="145"/>
      <c r="AC200" s="99" t="s">
        <v>70</v>
      </c>
      <c r="AD200" s="81">
        <f>+B200</f>
        <v>9824.0811111111107</v>
      </c>
      <c r="AE200" s="80">
        <f>+D200</f>
        <v>0</v>
      </c>
      <c r="AF200" s="80">
        <f>+F200</f>
        <v>9824.0811111111107</v>
      </c>
      <c r="AG200" s="80"/>
      <c r="AH200" s="99"/>
      <c r="AI200" s="99" t="s">
        <v>70</v>
      </c>
      <c r="AJ200" s="98">
        <f>+'NEW-Tables 80-86'!W110+'NEW-Tables 80-86'!V140</f>
        <v>10366.871666666666</v>
      </c>
      <c r="AK200" s="97">
        <f>+'NEW-Tables 80-86'!X110+'NEW-Tables 80-86'!W140</f>
        <v>0</v>
      </c>
      <c r="AL200" s="80">
        <f>+'NEW-Tables 80-86'!Y110+'NEW-Tables 80-86'!X140</f>
        <v>10366.871666666666</v>
      </c>
      <c r="AN200" s="25"/>
      <c r="AO200" s="99" t="s">
        <v>70</v>
      </c>
      <c r="AP200" s="487">
        <f t="shared" si="44"/>
        <v>15.245576279292205</v>
      </c>
      <c r="AQ200" s="487">
        <f t="shared" si="45"/>
        <v>0</v>
      </c>
      <c r="AR200" s="487">
        <f t="shared" si="46"/>
        <v>15.245576279292205</v>
      </c>
      <c r="AT200" s="99" t="s">
        <v>70</v>
      </c>
      <c r="AU200" s="487">
        <f t="shared" si="47"/>
        <v>15.123639976519218</v>
      </c>
      <c r="AV200" s="487">
        <f t="shared" si="48"/>
        <v>0</v>
      </c>
      <c r="AW200" s="487">
        <f t="shared" si="49"/>
        <v>15.123639976519218</v>
      </c>
      <c r="BA200" s="25"/>
      <c r="BB200" s="25"/>
      <c r="BC200" s="25"/>
    </row>
    <row r="201" spans="1:55">
      <c r="A201" s="1" t="s">
        <v>71</v>
      </c>
      <c r="B201" s="32">
        <f>+'NEW-Tables 80-86'!G111+'NEW-Tables 80-86'!G141</f>
        <v>0</v>
      </c>
      <c r="C201" s="95">
        <f>+GETPIVOTDATA("Sum of New-HS % of Total",'Pivot-HS Student % of Undergrad'!$A$3,"State","MD","Category",12,"Category2","Technical")</f>
        <v>0</v>
      </c>
      <c r="D201" s="174">
        <f>+'NEW-Tables 80-86'!H111+'NEW-Tables 80-86'!H141</f>
        <v>0</v>
      </c>
      <c r="E201" s="95">
        <f>+GETPIVOTDATA("Sum of New-HS % of Total",'Pivot-HS Student % of Undergrad'!$A$3,"State","MD","Category",13,"Category2","Technical")</f>
        <v>0</v>
      </c>
      <c r="F201" s="174">
        <f>+'NEW-Tables 80-86'!I111+'NEW-Tables 80-86'!I141</f>
        <v>0</v>
      </c>
      <c r="G201" s="95">
        <f>+GETPIVOTDATA("Sum of New-HS % of Total",'Pivot-HS Student % of Undergrad'!$A$3,"State","MD","Category2","Group3")</f>
        <v>0</v>
      </c>
      <c r="J201" s="1"/>
      <c r="K201" s="1"/>
      <c r="L201" s="1"/>
      <c r="M201" s="196"/>
      <c r="Q201" s="25" t="s">
        <v>71</v>
      </c>
      <c r="R201" s="233">
        <f>+GETPIVOTDATA("Sum of Old-HS % of Total",'Pivot-HS Student % of Undergrad'!$A$3,"State","MD","Category",12,"Category2","Technical")</f>
        <v>0</v>
      </c>
      <c r="S201" s="441">
        <f t="shared" si="41"/>
        <v>0</v>
      </c>
      <c r="T201" s="234">
        <f>+GETPIVOTDATA("Sum of Old-HS % of Total",'Pivot-HS Student % of Undergrad'!$A$3,"State","MD","Category",13,"Category2","Technical")</f>
        <v>0</v>
      </c>
      <c r="U201" s="441">
        <f t="shared" si="42"/>
        <v>0</v>
      </c>
      <c r="V201" s="234">
        <f>+GETPIVOTDATA("Sum of Old-HS % of Total",'Pivot-HS Student % of Undergrad'!$A$3,"State","MD","Category2","Technical")</f>
        <v>0</v>
      </c>
      <c r="W201" s="441">
        <f t="shared" si="43"/>
        <v>0</v>
      </c>
      <c r="X201" s="396"/>
      <c r="Y201" s="398"/>
      <c r="AA201" s="145"/>
      <c r="AB201" s="145"/>
      <c r="AC201" s="99" t="s">
        <v>71</v>
      </c>
      <c r="AD201" s="81">
        <f>+B201</f>
        <v>0</v>
      </c>
      <c r="AE201" s="80">
        <f>+D201</f>
        <v>0</v>
      </c>
      <c r="AF201" s="80">
        <f>+F201</f>
        <v>0</v>
      </c>
      <c r="AG201" s="80"/>
      <c r="AH201" s="99"/>
      <c r="AI201" s="99" t="s">
        <v>71</v>
      </c>
      <c r="AJ201" s="98">
        <f>+'NEW-Tables 80-86'!W111+'NEW-Tables 80-86'!V141</f>
        <v>0</v>
      </c>
      <c r="AK201" s="97">
        <f>+'NEW-Tables 80-86'!X111+'NEW-Tables 80-86'!W141</f>
        <v>0</v>
      </c>
      <c r="AL201" s="80">
        <f>+'NEW-Tables 80-86'!Y111+'NEW-Tables 80-86'!X141</f>
        <v>0</v>
      </c>
      <c r="AN201" s="25"/>
      <c r="AO201" s="99" t="s">
        <v>71</v>
      </c>
      <c r="AP201" s="487">
        <f t="shared" si="44"/>
        <v>0</v>
      </c>
      <c r="AQ201" s="487">
        <f t="shared" si="45"/>
        <v>0</v>
      </c>
      <c r="AR201" s="487">
        <f t="shared" si="46"/>
        <v>0</v>
      </c>
      <c r="AT201" s="99" t="s">
        <v>71</v>
      </c>
      <c r="AU201" s="487">
        <f t="shared" si="47"/>
        <v>0</v>
      </c>
      <c r="AV201" s="487">
        <f t="shared" si="48"/>
        <v>0</v>
      </c>
      <c r="AW201" s="487">
        <f t="shared" si="49"/>
        <v>0</v>
      </c>
      <c r="BA201" s="25"/>
      <c r="BB201" s="25"/>
      <c r="BC201" s="25"/>
    </row>
    <row r="202" spans="1:55">
      <c r="B202" s="32"/>
      <c r="C202" s="95"/>
      <c r="D202" s="174"/>
      <c r="E202" s="95"/>
      <c r="F202" s="174"/>
      <c r="G202" s="95"/>
      <c r="J202" s="1"/>
      <c r="K202" s="1"/>
      <c r="L202" s="1"/>
      <c r="M202" s="196"/>
      <c r="Q202" s="25"/>
      <c r="R202" s="233"/>
      <c r="S202" s="441"/>
      <c r="T202" s="234"/>
      <c r="U202" s="441"/>
      <c r="V202" s="234"/>
      <c r="W202" s="441"/>
      <c r="X202" s="396"/>
      <c r="Y202" s="398"/>
      <c r="AA202" s="145"/>
      <c r="AB202" s="145"/>
      <c r="AC202" s="99"/>
      <c r="AD202" s="81"/>
      <c r="AE202" s="80"/>
      <c r="AF202" s="80"/>
      <c r="AG202" s="80"/>
      <c r="AH202" s="99"/>
      <c r="AI202" s="99"/>
      <c r="AJ202" s="98"/>
      <c r="AK202" s="97"/>
      <c r="AL202" s="80"/>
      <c r="AN202" s="25"/>
      <c r="AO202" s="99"/>
      <c r="AP202" s="487">
        <f t="shared" si="44"/>
        <v>0</v>
      </c>
      <c r="AQ202" s="487">
        <f t="shared" si="45"/>
        <v>0</v>
      </c>
      <c r="AR202" s="487">
        <f t="shared" si="46"/>
        <v>0</v>
      </c>
      <c r="AT202" s="99"/>
      <c r="AU202" s="487">
        <f t="shared" si="47"/>
        <v>0</v>
      </c>
      <c r="AV202" s="487">
        <f t="shared" si="48"/>
        <v>0</v>
      </c>
      <c r="AW202" s="487">
        <f t="shared" si="49"/>
        <v>0</v>
      </c>
      <c r="BA202" s="25"/>
      <c r="BB202" s="25"/>
      <c r="BC202" s="25"/>
    </row>
    <row r="203" spans="1:55">
      <c r="A203" s="1" t="s">
        <v>72</v>
      </c>
      <c r="B203" s="32">
        <f>+'NEW-Tables 80-86'!G113+'NEW-Tables 80-86'!G143</f>
        <v>0</v>
      </c>
      <c r="C203" s="95">
        <f>+GETPIVOTDATA("Sum of New-HS % of Total",'Pivot-HS Student % of Undergrad'!$A$3,"State","MS","Category",12,"Category2","Technical")</f>
        <v>0</v>
      </c>
      <c r="D203" s="174">
        <f>+'NEW-Tables 80-86'!H113+'NEW-Tables 80-86'!H143</f>
        <v>0</v>
      </c>
      <c r="E203" s="95">
        <f>+GETPIVOTDATA("Sum of New-HS % of Total",'Pivot-HS Student % of Undergrad'!$A$3,"State","MS","Category",13,"Category2","Technical")</f>
        <v>0</v>
      </c>
      <c r="F203" s="174">
        <f>+'NEW-Tables 80-86'!I113+'NEW-Tables 80-86'!I143</f>
        <v>0</v>
      </c>
      <c r="G203" s="95">
        <f>+GETPIVOTDATA("Sum of New-HS % of Total",'Pivot-HS Student % of Undergrad'!$A$3,"State","MS","Category2","Group3")</f>
        <v>0</v>
      </c>
      <c r="J203" s="1"/>
      <c r="K203" s="1"/>
      <c r="L203" s="1"/>
      <c r="M203" s="196"/>
      <c r="Q203" s="25" t="s">
        <v>72</v>
      </c>
      <c r="R203" s="233">
        <f>+GETPIVOTDATA("Sum of Old-HS % of Total",'Pivot-HS Student % of Undergrad'!$A$3,"State","MS","Category",12,"Category2","Technical")</f>
        <v>0</v>
      </c>
      <c r="S203" s="441">
        <f t="shared" si="41"/>
        <v>0</v>
      </c>
      <c r="T203" s="234">
        <f>+GETPIVOTDATA("Sum of Old-HS % of Total",'Pivot-HS Student % of Undergrad'!$A$3,"State","MS","Category",13,"Category2","Technical")</f>
        <v>0</v>
      </c>
      <c r="U203" s="441">
        <f t="shared" si="42"/>
        <v>0</v>
      </c>
      <c r="V203" s="234">
        <f>+GETPIVOTDATA("Sum of Old-HS % of Total",'Pivot-HS Student % of Undergrad'!$A$3,"State","MS","Category2","Technical")</f>
        <v>0</v>
      </c>
      <c r="W203" s="441">
        <f t="shared" si="43"/>
        <v>0</v>
      </c>
      <c r="X203" s="396"/>
      <c r="Y203" s="398"/>
      <c r="AA203" s="145"/>
      <c r="AB203" s="145"/>
      <c r="AC203" s="99" t="s">
        <v>72</v>
      </c>
      <c r="AD203" s="81">
        <f>+B203</f>
        <v>0</v>
      </c>
      <c r="AE203" s="80">
        <f>+D203</f>
        <v>0</v>
      </c>
      <c r="AF203" s="80">
        <f>+F203</f>
        <v>0</v>
      </c>
      <c r="AG203" s="80"/>
      <c r="AH203" s="99"/>
      <c r="AI203" s="99" t="s">
        <v>72</v>
      </c>
      <c r="AJ203" s="98">
        <f>+'NEW-Tables 80-86'!W113+'NEW-Tables 80-86'!V143</f>
        <v>0</v>
      </c>
      <c r="AK203" s="97">
        <f>+'NEW-Tables 80-86'!X113+'NEW-Tables 80-86'!W143</f>
        <v>0</v>
      </c>
      <c r="AL203" s="80">
        <f>+'NEW-Tables 80-86'!Y113+'NEW-Tables 80-86'!X143</f>
        <v>0</v>
      </c>
      <c r="AN203" s="25"/>
      <c r="AO203" s="99" t="s">
        <v>72</v>
      </c>
      <c r="AP203" s="487">
        <f t="shared" si="44"/>
        <v>0</v>
      </c>
      <c r="AQ203" s="487">
        <f t="shared" si="45"/>
        <v>0</v>
      </c>
      <c r="AR203" s="487">
        <f t="shared" si="46"/>
        <v>0</v>
      </c>
      <c r="AT203" s="99" t="s">
        <v>72</v>
      </c>
      <c r="AU203" s="487">
        <f t="shared" si="47"/>
        <v>0</v>
      </c>
      <c r="AV203" s="487">
        <f t="shared" si="48"/>
        <v>0</v>
      </c>
      <c r="AW203" s="487">
        <f t="shared" si="49"/>
        <v>0</v>
      </c>
      <c r="BA203" s="25"/>
      <c r="BB203" s="25"/>
      <c r="BC203" s="25"/>
    </row>
    <row r="204" spans="1:55">
      <c r="A204" s="1" t="s">
        <v>73</v>
      </c>
      <c r="B204" s="32">
        <f>+'NEW-Tables 80-86'!G114+'NEW-Tables 80-86'!G144</f>
        <v>0</v>
      </c>
      <c r="C204" s="95">
        <f>+GETPIVOTDATA("Sum of New-HS % of Total",'Pivot-HS Student % of Undergrad'!$A$3,"State","NC","Category",12,"Category2","Technical")</f>
        <v>0</v>
      </c>
      <c r="D204" s="174">
        <f>+'NEW-Tables 80-86'!H114+'NEW-Tables 80-86'!H144</f>
        <v>0</v>
      </c>
      <c r="E204" s="95">
        <f>+GETPIVOTDATA("Sum of New-HS % of Total",'Pivot-HS Student % of Undergrad'!$A$3,"State","NC","Category",13,"Category2","Technical")</f>
        <v>0</v>
      </c>
      <c r="F204" s="174">
        <f>+'NEW-Tables 80-86'!I114+'NEW-Tables 80-86'!I144</f>
        <v>0</v>
      </c>
      <c r="G204" s="95">
        <f>+GETPIVOTDATA("Sum of New-HS % of Total",'Pivot-HS Student % of Undergrad'!$A$3,"State","NC","Category2","Group3")</f>
        <v>0</v>
      </c>
      <c r="J204" s="1"/>
      <c r="K204" s="1"/>
      <c r="L204" s="1"/>
      <c r="M204" s="196"/>
      <c r="Q204" s="25" t="s">
        <v>73</v>
      </c>
      <c r="R204" s="233">
        <f>+GETPIVOTDATA("Sum of Old-HS % of Total",'Pivot-HS Student % of Undergrad'!$A$3,"State","NC","Category",12,"Category2","Technical")</f>
        <v>0</v>
      </c>
      <c r="S204" s="441">
        <f t="shared" si="41"/>
        <v>0</v>
      </c>
      <c r="T204" s="234">
        <f>+GETPIVOTDATA("Sum of Old-HS % of Total",'Pivot-HS Student % of Undergrad'!$A$3,"State","NC","Category",13,"Category2","Technical")</f>
        <v>0</v>
      </c>
      <c r="U204" s="441">
        <f t="shared" si="42"/>
        <v>0</v>
      </c>
      <c r="V204" s="234">
        <f>+GETPIVOTDATA("Sum of Old-HS % of Total",'Pivot-HS Student % of Undergrad'!$A$3,"State","NC","Category2","Technical")</f>
        <v>0</v>
      </c>
      <c r="W204" s="441">
        <f t="shared" si="43"/>
        <v>0</v>
      </c>
      <c r="X204" s="396"/>
      <c r="Y204" s="399"/>
      <c r="AA204" s="145"/>
      <c r="AB204" s="145"/>
      <c r="AC204" s="99" t="s">
        <v>73</v>
      </c>
      <c r="AD204" s="81">
        <f>+B204</f>
        <v>0</v>
      </c>
      <c r="AE204" s="80">
        <f>+D204</f>
        <v>0</v>
      </c>
      <c r="AF204" s="80">
        <f>+F204</f>
        <v>0</v>
      </c>
      <c r="AG204" s="80"/>
      <c r="AH204" s="99"/>
      <c r="AI204" s="99" t="s">
        <v>73</v>
      </c>
      <c r="AJ204" s="98">
        <f>+'NEW-Tables 80-86'!W114+'NEW-Tables 80-86'!V144</f>
        <v>0</v>
      </c>
      <c r="AK204" s="97">
        <f>+'NEW-Tables 80-86'!X114+'NEW-Tables 80-86'!W144</f>
        <v>0</v>
      </c>
      <c r="AL204" s="80">
        <f>+'NEW-Tables 80-86'!Y114+'NEW-Tables 80-86'!X144</f>
        <v>0</v>
      </c>
      <c r="AN204" s="25"/>
      <c r="AO204" s="99" t="s">
        <v>73</v>
      </c>
      <c r="AP204" s="487">
        <f t="shared" si="44"/>
        <v>0</v>
      </c>
      <c r="AQ204" s="487">
        <f t="shared" si="45"/>
        <v>0</v>
      </c>
      <c r="AR204" s="487">
        <f t="shared" si="46"/>
        <v>0</v>
      </c>
      <c r="AT204" s="99" t="s">
        <v>73</v>
      </c>
      <c r="AU204" s="487">
        <f t="shared" si="47"/>
        <v>0</v>
      </c>
      <c r="AV204" s="487">
        <f t="shared" si="48"/>
        <v>0</v>
      </c>
      <c r="AW204" s="487">
        <f t="shared" si="49"/>
        <v>0</v>
      </c>
      <c r="BA204" s="25"/>
      <c r="BB204" s="25"/>
      <c r="BC204" s="25"/>
    </row>
    <row r="205" spans="1:55">
      <c r="A205" s="1" t="s">
        <v>74</v>
      </c>
      <c r="B205" s="32">
        <f>+'NEW-Tables 80-86'!G115+'NEW-Tables 80-86'!G145</f>
        <v>4789.910322222222</v>
      </c>
      <c r="C205" s="95">
        <f>+GETPIVOTDATA("Sum of New-HS % of Total",'Pivot-HS Student % of Undergrad'!$A$3,"State","OK","Category",12,"Category2","Technical")</f>
        <v>0</v>
      </c>
      <c r="D205" s="174">
        <f>+'NEW-Tables 80-86'!H115+'NEW-Tables 80-86'!H145</f>
        <v>14653.944644444447</v>
      </c>
      <c r="E205" s="95">
        <f>+GETPIVOTDATA("Sum of New-HS % of Total",'Pivot-HS Student % of Undergrad'!$A$3,"State","OK","Category",13,"Category2","Technical")</f>
        <v>0</v>
      </c>
      <c r="F205" s="174">
        <f>+'NEW-Tables 80-86'!I115+'NEW-Tables 80-86'!I145</f>
        <v>19443.854966666669</v>
      </c>
      <c r="G205" s="95">
        <f>+GETPIVOTDATA("Sum of New-HS % of Total",'Pivot-HS Student % of Undergrad'!$A$3,"State","OK","Category2","Group3")</f>
        <v>0</v>
      </c>
      <c r="J205" s="1"/>
      <c r="K205" s="1"/>
      <c r="L205" s="1"/>
      <c r="M205" s="196"/>
      <c r="Q205" s="25" t="s">
        <v>74</v>
      </c>
      <c r="R205" s="233">
        <f>+GETPIVOTDATA("Sum of Old-HS % of Total",'Pivot-HS Student % of Undergrad'!$A$3,"State","OK","Category",12,"Category2","Technical")</f>
        <v>0</v>
      </c>
      <c r="S205" s="441">
        <f t="shared" si="41"/>
        <v>0</v>
      </c>
      <c r="T205" s="234">
        <f>+GETPIVOTDATA("Sum of Old-HS % of Total",'Pivot-HS Student % of Undergrad'!$A$3,"State","OK","Category",13,"Category2","Technical")</f>
        <v>0</v>
      </c>
      <c r="U205" s="441">
        <f t="shared" si="42"/>
        <v>0</v>
      </c>
      <c r="V205" s="234">
        <f>+GETPIVOTDATA("Sum of Old-HS % of Total",'Pivot-HS Student % of Undergrad'!$A$3,"State","OK","Category2","Technical")</f>
        <v>0</v>
      </c>
      <c r="W205" s="441">
        <f t="shared" si="43"/>
        <v>0</v>
      </c>
      <c r="X205" s="396"/>
      <c r="Y205" s="398"/>
      <c r="AA205" s="145"/>
      <c r="AB205" s="145"/>
      <c r="AC205" s="99" t="s">
        <v>74</v>
      </c>
      <c r="AD205" s="81">
        <f>+B205</f>
        <v>4789.910322222222</v>
      </c>
      <c r="AE205" s="80">
        <f>+D205</f>
        <v>14653.944644444447</v>
      </c>
      <c r="AF205" s="80">
        <f>+F205</f>
        <v>19443.854966666669</v>
      </c>
      <c r="AG205" s="80"/>
      <c r="AH205" s="99"/>
      <c r="AI205" s="99" t="s">
        <v>74</v>
      </c>
      <c r="AJ205" s="98">
        <f>+'NEW-Tables 80-86'!W115+'NEW-Tables 80-86'!V145</f>
        <v>4765.8004555555563</v>
      </c>
      <c r="AK205" s="97">
        <f>+'NEW-Tables 80-86'!X115+'NEW-Tables 80-86'!W145</f>
        <v>14933.55401111111</v>
      </c>
      <c r="AL205" s="80">
        <f>+'NEW-Tables 80-86'!Y115+'NEW-Tables 80-86'!X145</f>
        <v>19699.354466666664</v>
      </c>
      <c r="AN205" s="25"/>
      <c r="AO205" s="99" t="s">
        <v>74</v>
      </c>
      <c r="AP205" s="487">
        <f t="shared" si="44"/>
        <v>0</v>
      </c>
      <c r="AQ205" s="487">
        <f t="shared" si="45"/>
        <v>0</v>
      </c>
      <c r="AR205" s="487">
        <f t="shared" si="46"/>
        <v>0</v>
      </c>
      <c r="AT205" s="99" t="s">
        <v>74</v>
      </c>
      <c r="AU205" s="487">
        <f t="shared" si="47"/>
        <v>0</v>
      </c>
      <c r="AV205" s="487">
        <f t="shared" si="48"/>
        <v>0</v>
      </c>
      <c r="AW205" s="487">
        <f t="shared" si="49"/>
        <v>0</v>
      </c>
      <c r="BA205" s="25"/>
      <c r="BB205" s="25"/>
      <c r="BC205" s="25"/>
    </row>
    <row r="206" spans="1:55">
      <c r="A206" s="1" t="s">
        <v>75</v>
      </c>
      <c r="B206" s="32">
        <f>+'NEW-Tables 80-86'!G116+'NEW-Tables 80-86'!G146</f>
        <v>0</v>
      </c>
      <c r="C206" s="95">
        <f>+GETPIVOTDATA("Sum of New-HS % of Total",'Pivot-HS Student % of Undergrad'!$A$3,"State","SC","Category",12,"Category2","Technical")</f>
        <v>0</v>
      </c>
      <c r="D206" s="174">
        <f>+'NEW-Tables 80-86'!H116+'NEW-Tables 80-86'!H146</f>
        <v>0</v>
      </c>
      <c r="E206" s="95">
        <f>+GETPIVOTDATA("Sum of New-HS % of Total",'Pivot-HS Student % of Undergrad'!$A$3,"State","SC","Category",13,"Category2","Technical")</f>
        <v>0</v>
      </c>
      <c r="F206" s="174">
        <f>+'NEW-Tables 80-86'!I116+'NEW-Tables 80-86'!I146</f>
        <v>0</v>
      </c>
      <c r="G206" s="95">
        <f>+GETPIVOTDATA("Sum of New-HS % of Total",'Pivot-HS Student % of Undergrad'!$A$3,"State","SC","Category2","Group3")</f>
        <v>0</v>
      </c>
      <c r="J206" s="1"/>
      <c r="K206" s="1"/>
      <c r="L206" s="1"/>
      <c r="M206" s="196"/>
      <c r="Q206" s="25" t="s">
        <v>75</v>
      </c>
      <c r="R206" s="233">
        <f>+GETPIVOTDATA("Sum of Old-HS % of Total",'Pivot-HS Student % of Undergrad'!$A$3,"State","SC","Category",12,"Category2","Technical")</f>
        <v>0</v>
      </c>
      <c r="S206" s="441">
        <f t="shared" si="41"/>
        <v>0</v>
      </c>
      <c r="T206" s="234">
        <f>+GETPIVOTDATA("Sum of Old-HS % of Total",'Pivot-HS Student % of Undergrad'!$A$3,"State","SC","Category",13,"Category2","Technical")</f>
        <v>0</v>
      </c>
      <c r="U206" s="441">
        <f t="shared" si="42"/>
        <v>0</v>
      </c>
      <c r="V206" s="234">
        <f>+GETPIVOTDATA("Sum of Old-HS % of Total",'Pivot-HS Student % of Undergrad'!$A$3,"State","SC","Category2","Technical")</f>
        <v>0</v>
      </c>
      <c r="W206" s="441">
        <f t="shared" si="43"/>
        <v>0</v>
      </c>
      <c r="X206" s="396"/>
      <c r="Y206" s="398"/>
      <c r="AA206" s="145"/>
      <c r="AB206" s="145"/>
      <c r="AC206" s="99" t="s">
        <v>75</v>
      </c>
      <c r="AD206" s="81">
        <f>+B206</f>
        <v>0</v>
      </c>
      <c r="AE206" s="80">
        <f>+D206</f>
        <v>0</v>
      </c>
      <c r="AF206" s="80">
        <f>+F206</f>
        <v>0</v>
      </c>
      <c r="AG206" s="80"/>
      <c r="AH206" s="99"/>
      <c r="AI206" s="99" t="s">
        <v>75</v>
      </c>
      <c r="AJ206" s="98">
        <f>+'NEW-Tables 80-86'!W116+'NEW-Tables 80-86'!V146</f>
        <v>0</v>
      </c>
      <c r="AK206" s="97">
        <f>+'NEW-Tables 80-86'!X116+'NEW-Tables 80-86'!W146</f>
        <v>0</v>
      </c>
      <c r="AL206" s="80">
        <f>+'NEW-Tables 80-86'!Y116+'NEW-Tables 80-86'!X146</f>
        <v>0</v>
      </c>
      <c r="AN206" s="25"/>
      <c r="AO206" s="99" t="s">
        <v>75</v>
      </c>
      <c r="AP206" s="487">
        <f t="shared" si="44"/>
        <v>0</v>
      </c>
      <c r="AQ206" s="487">
        <f t="shared" si="45"/>
        <v>0</v>
      </c>
      <c r="AR206" s="487">
        <f t="shared" si="46"/>
        <v>0</v>
      </c>
      <c r="AT206" s="99" t="s">
        <v>75</v>
      </c>
      <c r="AU206" s="487">
        <f t="shared" si="47"/>
        <v>0</v>
      </c>
      <c r="AV206" s="487">
        <f t="shared" si="48"/>
        <v>0</v>
      </c>
      <c r="AW206" s="487">
        <f t="shared" si="49"/>
        <v>0</v>
      </c>
      <c r="BA206" s="25"/>
      <c r="BB206" s="25"/>
      <c r="BC206" s="25"/>
    </row>
    <row r="207" spans="1:55" ht="11.25" customHeight="1">
      <c r="B207" s="32"/>
      <c r="C207" s="95"/>
      <c r="D207" s="174"/>
      <c r="E207" s="95"/>
      <c r="F207" s="174"/>
      <c r="G207" s="95"/>
      <c r="J207" s="1"/>
      <c r="K207" s="1"/>
      <c r="L207" s="1"/>
      <c r="M207" s="196"/>
      <c r="Q207" s="25"/>
      <c r="R207" s="233"/>
      <c r="S207" s="441">
        <f t="shared" si="41"/>
        <v>0</v>
      </c>
      <c r="T207" s="234"/>
      <c r="U207" s="441">
        <f t="shared" si="42"/>
        <v>0</v>
      </c>
      <c r="V207" s="234"/>
      <c r="W207" s="441">
        <f t="shared" si="43"/>
        <v>0</v>
      </c>
      <c r="X207" s="396"/>
      <c r="Y207" s="398"/>
      <c r="AA207" s="145"/>
      <c r="AB207" s="145"/>
      <c r="AC207" s="99"/>
      <c r="AD207" s="81"/>
      <c r="AE207" s="80"/>
      <c r="AF207" s="80"/>
      <c r="AG207" s="80"/>
      <c r="AH207" s="99"/>
      <c r="AI207" s="99"/>
      <c r="AJ207" s="98"/>
      <c r="AK207" s="97"/>
      <c r="AL207" s="80"/>
      <c r="AN207" s="25"/>
      <c r="AO207" s="99"/>
      <c r="AP207" s="487">
        <f t="shared" si="44"/>
        <v>0</v>
      </c>
      <c r="AQ207" s="487">
        <f t="shared" si="45"/>
        <v>0</v>
      </c>
      <c r="AR207" s="487">
        <f t="shared" si="46"/>
        <v>0</v>
      </c>
      <c r="AT207" s="99"/>
      <c r="AU207" s="487">
        <f t="shared" si="47"/>
        <v>0</v>
      </c>
      <c r="AV207" s="487">
        <f t="shared" si="48"/>
        <v>0</v>
      </c>
      <c r="AW207" s="487">
        <f t="shared" si="49"/>
        <v>0</v>
      </c>
      <c r="BA207" s="25"/>
      <c r="BB207" s="25"/>
      <c r="BC207" s="25"/>
    </row>
    <row r="208" spans="1:55" ht="11.25" customHeight="1">
      <c r="A208" s="1" t="s">
        <v>76</v>
      </c>
      <c r="B208" s="32">
        <f>+'NEW-Tables 80-86'!G118+'NEW-Tables 80-86'!G148</f>
        <v>1004.0377777777778</v>
      </c>
      <c r="C208" s="95">
        <f>+GETPIVOTDATA("Sum of New-HS % of Total",'Pivot-HS Student % of Undergrad'!$A$3,"State","TN","Category",12,"Category2","Technical")</f>
        <v>0</v>
      </c>
      <c r="D208" s="174">
        <f>+'NEW-Tables 80-86'!H118+'NEW-Tables 80-86'!H148</f>
        <v>10641.687777777777</v>
      </c>
      <c r="E208" s="95">
        <f>+GETPIVOTDATA("Sum of New-HS % of Total",'Pivot-HS Student % of Undergrad'!$A$3,"State","TN","Category",13,"Category2","Technical")</f>
        <v>0</v>
      </c>
      <c r="F208" s="174">
        <f>+'NEW-Tables 80-86'!I118+'NEW-Tables 80-86'!I148</f>
        <v>11645.725555555555</v>
      </c>
      <c r="G208" s="95">
        <f>+GETPIVOTDATA("Sum of New-HS % of Total",'Pivot-HS Student % of Undergrad'!$A$3,"State","TN","Category2","Group3")</f>
        <v>0</v>
      </c>
      <c r="J208" s="1"/>
      <c r="K208" s="1"/>
      <c r="L208" s="1"/>
      <c r="M208" s="196"/>
      <c r="Q208" s="25" t="s">
        <v>76</v>
      </c>
      <c r="R208" s="233">
        <f>+GETPIVOTDATA("Sum of Old-HS % of Total",'Pivot-HS Student % of Undergrad'!$A$3,"State","TN","Category",12,"Category2","Technical")</f>
        <v>0</v>
      </c>
      <c r="S208" s="441">
        <f t="shared" si="41"/>
        <v>0</v>
      </c>
      <c r="T208" s="234">
        <f>+GETPIVOTDATA("Sum of Old-HS % of Total",'Pivot-HS Student % of Undergrad'!$A$3,"State","TN","Category",13,"Category2","Technical")</f>
        <v>0</v>
      </c>
      <c r="U208" s="441">
        <f t="shared" si="42"/>
        <v>0</v>
      </c>
      <c r="V208" s="234">
        <f>+GETPIVOTDATA("Sum of Old-HS % of Total",'Pivot-HS Student % of Undergrad'!$A$3,"State","TN","Category2","Technical")</f>
        <v>0</v>
      </c>
      <c r="W208" s="441">
        <f t="shared" si="43"/>
        <v>0</v>
      </c>
      <c r="X208" s="396"/>
      <c r="Y208" s="398"/>
      <c r="AA208" s="145"/>
      <c r="AB208" s="145"/>
      <c r="AC208" s="99" t="s">
        <v>76</v>
      </c>
      <c r="AD208" s="81">
        <f>+B208</f>
        <v>1004.0377777777778</v>
      </c>
      <c r="AE208" s="80">
        <f>+D208</f>
        <v>10641.687777777777</v>
      </c>
      <c r="AF208" s="80">
        <f>+F208</f>
        <v>11645.725555555555</v>
      </c>
      <c r="AG208" s="80"/>
      <c r="AH208" s="99"/>
      <c r="AI208" s="99" t="s">
        <v>76</v>
      </c>
      <c r="AJ208" s="98">
        <f>+'NEW-Tables 80-86'!W118+'NEW-Tables 80-86'!V148</f>
        <v>1020.9577777777778</v>
      </c>
      <c r="AK208" s="97">
        <f>+'NEW-Tables 80-86'!X118+'NEW-Tables 80-86'!W148</f>
        <v>10178.506666666666</v>
      </c>
      <c r="AL208" s="80">
        <f>+'NEW-Tables 80-86'!Y118+'NEW-Tables 80-86'!X148</f>
        <v>11199.464444444444</v>
      </c>
      <c r="AN208" s="25"/>
      <c r="AO208" s="99" t="s">
        <v>76</v>
      </c>
      <c r="AP208" s="487">
        <f t="shared" si="44"/>
        <v>0</v>
      </c>
      <c r="AQ208" s="487">
        <f t="shared" si="45"/>
        <v>0</v>
      </c>
      <c r="AR208" s="487">
        <f t="shared" si="46"/>
        <v>0</v>
      </c>
      <c r="AT208" s="99" t="s">
        <v>76</v>
      </c>
      <c r="AU208" s="487">
        <f t="shared" si="47"/>
        <v>0</v>
      </c>
      <c r="AV208" s="487">
        <f t="shared" si="48"/>
        <v>0</v>
      </c>
      <c r="AW208" s="487">
        <f t="shared" si="49"/>
        <v>0</v>
      </c>
      <c r="BA208" s="25"/>
      <c r="BB208" s="25"/>
      <c r="BC208" s="25"/>
    </row>
    <row r="209" spans="1:55">
      <c r="A209" s="1" t="s">
        <v>77</v>
      </c>
      <c r="B209" s="32">
        <f>+'NEW-Tables 80-86'!G119+'NEW-Tables 80-86'!G149</f>
        <v>0</v>
      </c>
      <c r="C209" s="205">
        <f>+GETPIVOTDATA("Sum of New-HS % of Total",'Pivot-HS Student % of Undergrad'!$A$3,"State","TX","Category",12,"Category2","Technical")</f>
        <v>0</v>
      </c>
      <c r="D209" s="174">
        <f>+'NEW-Tables 80-86'!H119+'NEW-Tables 80-86'!H149</f>
        <v>0</v>
      </c>
      <c r="E209" s="205">
        <f>+GETPIVOTDATA("Sum of New-HS % of Total",'Pivot-HS Student % of Undergrad'!$A$3,"State","TX","Category",13,"Category2","Technical")</f>
        <v>0</v>
      </c>
      <c r="F209" s="174">
        <f>+'NEW-Tables 80-86'!I119+'NEW-Tables 80-86'!I149</f>
        <v>0</v>
      </c>
      <c r="G209" s="95">
        <f>+GETPIVOTDATA("Sum of New-HS % of Total",'Pivot-HS Student % of Undergrad'!$A$3,"State","TX","Category2","Group3")</f>
        <v>0</v>
      </c>
      <c r="J209" s="1"/>
      <c r="K209" s="1"/>
      <c r="L209" s="1"/>
      <c r="M209" s="196"/>
      <c r="Q209" s="25" t="s">
        <v>77</v>
      </c>
      <c r="R209" s="233">
        <f>+GETPIVOTDATA("Sum of Old-HS % of Total",'Pivot-HS Student % of Undergrad'!$A$3,"State","TX","Category",12,"Category2","Technical")</f>
        <v>0</v>
      </c>
      <c r="S209" s="441">
        <f t="shared" si="41"/>
        <v>0</v>
      </c>
      <c r="T209" s="234">
        <f>+GETPIVOTDATA("Sum of Old-HS % of Total",'Pivot-HS Student % of Undergrad'!$A$3,"State","TX","Category",13,"Category2","Technical")</f>
        <v>0</v>
      </c>
      <c r="U209" s="441">
        <f t="shared" si="42"/>
        <v>0</v>
      </c>
      <c r="V209" s="234">
        <f>+GETPIVOTDATA("Sum of Old-HS % of Total",'Pivot-HS Student % of Undergrad'!$A$3,"State","TX","Category2","Technical")</f>
        <v>0</v>
      </c>
      <c r="W209" s="441">
        <f t="shared" si="43"/>
        <v>0</v>
      </c>
      <c r="X209" s="396"/>
      <c r="Y209" s="399"/>
      <c r="AA209" s="145"/>
      <c r="AB209" s="145"/>
      <c r="AC209" s="99" t="s">
        <v>77</v>
      </c>
      <c r="AD209" s="81">
        <f>+B209</f>
        <v>0</v>
      </c>
      <c r="AE209" s="80">
        <f>+D209</f>
        <v>0</v>
      </c>
      <c r="AF209" s="80">
        <f>+F209</f>
        <v>0</v>
      </c>
      <c r="AG209" s="80"/>
      <c r="AH209" s="99"/>
      <c r="AI209" s="99" t="s">
        <v>77</v>
      </c>
      <c r="AJ209" s="98">
        <f>+'NEW-Tables 80-86'!W119+'NEW-Tables 80-86'!V149</f>
        <v>0</v>
      </c>
      <c r="AK209" s="97">
        <f>+'NEW-Tables 80-86'!X119+'NEW-Tables 80-86'!W149</f>
        <v>0</v>
      </c>
      <c r="AL209" s="80">
        <f>+'NEW-Tables 80-86'!Y119+'NEW-Tables 80-86'!X149</f>
        <v>0</v>
      </c>
      <c r="AN209" s="25"/>
      <c r="AO209" s="99" t="s">
        <v>77</v>
      </c>
      <c r="AP209" s="487">
        <f t="shared" si="44"/>
        <v>0</v>
      </c>
      <c r="AQ209" s="487">
        <f t="shared" si="45"/>
        <v>0</v>
      </c>
      <c r="AR209" s="487">
        <f t="shared" si="46"/>
        <v>0</v>
      </c>
      <c r="AT209" s="99" t="s">
        <v>77</v>
      </c>
      <c r="AU209" s="487">
        <f t="shared" si="47"/>
        <v>0</v>
      </c>
      <c r="AV209" s="487">
        <f t="shared" si="48"/>
        <v>0</v>
      </c>
      <c r="AW209" s="487">
        <f t="shared" si="49"/>
        <v>0</v>
      </c>
      <c r="BA209" s="25"/>
      <c r="BB209" s="25"/>
      <c r="BC209" s="25"/>
    </row>
    <row r="210" spans="1:55">
      <c r="A210" s="1" t="s">
        <v>78</v>
      </c>
      <c r="B210" s="32">
        <f>+'NEW-Tables 80-86'!G120+'NEW-Tables 80-86'!G150</f>
        <v>0</v>
      </c>
      <c r="C210" s="205">
        <f>+GETPIVOTDATA("Sum of New-HS % of Total",'Pivot-HS Student % of Undergrad'!$A$3,"State","VA","Category",12,"Category2","Technical")</f>
        <v>0</v>
      </c>
      <c r="D210" s="174">
        <f>+'NEW-Tables 80-86'!H120+'NEW-Tables 80-86'!H150</f>
        <v>0</v>
      </c>
      <c r="E210" s="205">
        <f>+GETPIVOTDATA("Sum of New-HS % of Total",'Pivot-HS Student % of Undergrad'!$A$3,"State","VA","Category",13,"Category2","Technical")</f>
        <v>0</v>
      </c>
      <c r="F210" s="174">
        <f>+'NEW-Tables 80-86'!I120+'NEW-Tables 80-86'!I150</f>
        <v>0</v>
      </c>
      <c r="G210" s="95">
        <f>+GETPIVOTDATA("Sum of New-HS % of Total",'Pivot-HS Student % of Undergrad'!$A$3,"State","VA","Category2","Group3")</f>
        <v>0</v>
      </c>
      <c r="J210" s="1"/>
      <c r="K210" s="1"/>
      <c r="L210" s="1"/>
      <c r="M210" s="196"/>
      <c r="Q210" s="25" t="s">
        <v>78</v>
      </c>
      <c r="R210" s="233">
        <f>+GETPIVOTDATA("Sum of Old-HS % of Total",'Pivot-HS Student % of Undergrad'!$A$3,"State","VA","Category",12,"Category2","Technical")</f>
        <v>0</v>
      </c>
      <c r="S210" s="441">
        <f t="shared" si="41"/>
        <v>0</v>
      </c>
      <c r="T210" s="234">
        <f>+GETPIVOTDATA("Sum of Old-HS % of Total",'Pivot-HS Student % of Undergrad'!$A$3,"State","VA","Category",13,"Category2","Technical")</f>
        <v>0</v>
      </c>
      <c r="U210" s="441">
        <f t="shared" si="42"/>
        <v>0</v>
      </c>
      <c r="V210" s="234">
        <f>+GETPIVOTDATA("Sum of Old-HS % of Total",'Pivot-HS Student % of Undergrad'!$A$3,"State","VA","Category2","Technical")</f>
        <v>0</v>
      </c>
      <c r="W210" s="441">
        <f t="shared" si="43"/>
        <v>0</v>
      </c>
      <c r="X210" s="396"/>
      <c r="Y210" s="398"/>
      <c r="AA210" s="145"/>
      <c r="AB210" s="145"/>
      <c r="AC210" s="99" t="s">
        <v>78</v>
      </c>
      <c r="AD210" s="81">
        <f>+B210</f>
        <v>0</v>
      </c>
      <c r="AE210" s="80">
        <f>+D210</f>
        <v>0</v>
      </c>
      <c r="AF210" s="80">
        <f>+F210</f>
        <v>0</v>
      </c>
      <c r="AG210" s="80"/>
      <c r="AH210" s="99"/>
      <c r="AI210" s="99" t="s">
        <v>78</v>
      </c>
      <c r="AJ210" s="98">
        <f>+'NEW-Tables 80-86'!W120+'NEW-Tables 80-86'!V150</f>
        <v>0</v>
      </c>
      <c r="AK210" s="97">
        <f>+'NEW-Tables 80-86'!X120+'NEW-Tables 80-86'!W150</f>
        <v>0</v>
      </c>
      <c r="AL210" s="80">
        <f>+'NEW-Tables 80-86'!Y120+'NEW-Tables 80-86'!X150</f>
        <v>0</v>
      </c>
      <c r="AN210" s="25"/>
      <c r="AO210" s="99" t="s">
        <v>78</v>
      </c>
      <c r="AP210" s="487">
        <f t="shared" si="44"/>
        <v>0</v>
      </c>
      <c r="AQ210" s="487">
        <f t="shared" si="45"/>
        <v>0</v>
      </c>
      <c r="AR210" s="487">
        <f t="shared" si="46"/>
        <v>0</v>
      </c>
      <c r="AT210" s="99" t="s">
        <v>78</v>
      </c>
      <c r="AU210" s="487">
        <f t="shared" si="47"/>
        <v>0</v>
      </c>
      <c r="AV210" s="487">
        <f t="shared" si="48"/>
        <v>0</v>
      </c>
      <c r="AW210" s="487">
        <f t="shared" si="49"/>
        <v>0</v>
      </c>
      <c r="BA210" s="25"/>
      <c r="BB210" s="25"/>
      <c r="BC210" s="25"/>
    </row>
    <row r="211" spans="1:55">
      <c r="A211" s="3" t="s">
        <v>79</v>
      </c>
      <c r="B211" s="9">
        <f>+'NEW-Tables 80-86'!G121+'NEW-Tables 80-86'!G151</f>
        <v>0</v>
      </c>
      <c r="C211" s="207">
        <f>+GETPIVOTDATA("Sum of New-HS % of Total",'Pivot-HS Student % of Undergrad'!$A$3,"State","WV","Category",12,"Category2","Technical")</f>
        <v>0</v>
      </c>
      <c r="D211" s="175">
        <f>+'NEW-Tables 80-86'!H121+'NEW-Tables 80-86'!H151</f>
        <v>0</v>
      </c>
      <c r="E211" s="207">
        <f>+GETPIVOTDATA("Sum of New-HS % of Total",'Pivot-HS Student % of Undergrad'!$A$3,"State","WV","Category",13,"Category2","Technical")</f>
        <v>0</v>
      </c>
      <c r="F211" s="175">
        <f>+'NEW-Tables 80-86'!I121+'NEW-Tables 80-86'!I151</f>
        <v>0</v>
      </c>
      <c r="G211" s="207">
        <f>+GETPIVOTDATA("Sum of New-HS % of Total",'Pivot-HS Student % of Undergrad'!$A$3,"State","WV","Category2","Group3")</f>
        <v>0</v>
      </c>
      <c r="H211" s="73"/>
      <c r="I211" s="25"/>
      <c r="J211" s="1"/>
      <c r="K211" s="1"/>
      <c r="L211" s="1"/>
      <c r="M211" s="196"/>
      <c r="Q211" s="3" t="s">
        <v>79</v>
      </c>
      <c r="R211" s="403">
        <f>+GETPIVOTDATA("Sum of Old-HS % of Total",'Pivot-HS Student % of Undergrad'!$A$3,"State","WV","Category",12,"Category2","Technical")</f>
        <v>0</v>
      </c>
      <c r="S211" s="441">
        <f t="shared" si="41"/>
        <v>0</v>
      </c>
      <c r="T211" s="404">
        <f>+GETPIVOTDATA("Sum of Old-HS % of Total",'Pivot-HS Student % of Undergrad'!$A$3,"State","WV","Category",13,"Category2","Technical")</f>
        <v>0</v>
      </c>
      <c r="U211" s="441">
        <f t="shared" si="42"/>
        <v>0</v>
      </c>
      <c r="V211" s="404">
        <f>+GETPIVOTDATA("Sum of Old-HS % of Total",'Pivot-HS Student % of Undergrad'!$A$3,"State","WV","Category2","Technical")</f>
        <v>0</v>
      </c>
      <c r="W211" s="441">
        <f t="shared" si="43"/>
        <v>0</v>
      </c>
      <c r="X211" s="396"/>
      <c r="Y211" s="398"/>
      <c r="AA211" s="145"/>
      <c r="AB211" s="145"/>
      <c r="AC211" s="100" t="s">
        <v>79</v>
      </c>
      <c r="AD211" s="124">
        <f>+B211</f>
        <v>0</v>
      </c>
      <c r="AE211" s="96">
        <f>+D211</f>
        <v>0</v>
      </c>
      <c r="AF211" s="96">
        <f>+F211</f>
        <v>0</v>
      </c>
      <c r="AG211" s="96"/>
      <c r="AH211" s="99"/>
      <c r="AI211" s="100" t="s">
        <v>79</v>
      </c>
      <c r="AJ211" s="248">
        <f>+'NEW-Tables 80-86'!W121+'NEW-Tables 80-86'!V151</f>
        <v>0</v>
      </c>
      <c r="AK211" s="96">
        <f>+'NEW-Tables 80-86'!X121+'NEW-Tables 80-86'!W151</f>
        <v>0</v>
      </c>
      <c r="AL211" s="96">
        <f>+'NEW-Tables 80-86'!Y121+'NEW-Tables 80-86'!X151</f>
        <v>0</v>
      </c>
      <c r="AN211" s="25"/>
      <c r="AO211" s="100" t="s">
        <v>79</v>
      </c>
      <c r="AP211" s="487">
        <f t="shared" si="44"/>
        <v>0</v>
      </c>
      <c r="AQ211" s="487">
        <f t="shared" si="45"/>
        <v>0</v>
      </c>
      <c r="AR211" s="487">
        <f t="shared" si="46"/>
        <v>0</v>
      </c>
      <c r="AT211" s="100" t="s">
        <v>79</v>
      </c>
      <c r="AU211" s="487">
        <f t="shared" si="47"/>
        <v>0</v>
      </c>
      <c r="AV211" s="487">
        <f t="shared" si="48"/>
        <v>0</v>
      </c>
      <c r="AW211" s="487">
        <f t="shared" si="49"/>
        <v>0</v>
      </c>
      <c r="BA211" s="25"/>
      <c r="BB211" s="25"/>
      <c r="BC211" s="25"/>
    </row>
    <row r="212" spans="1:55" ht="57.75" customHeight="1">
      <c r="A212" s="831" t="s">
        <v>980</v>
      </c>
      <c r="B212" s="831"/>
      <c r="C212" s="831"/>
      <c r="D212" s="831"/>
      <c r="E212" s="831"/>
      <c r="F212" s="831"/>
      <c r="G212" s="831"/>
      <c r="H212" s="380"/>
      <c r="I212" s="380"/>
      <c r="J212" s="1"/>
      <c r="K212" s="1"/>
      <c r="L212" s="1"/>
      <c r="M212" s="196"/>
      <c r="AA212" s="145"/>
      <c r="AB212" s="145"/>
      <c r="AC212" s="145"/>
      <c r="AD212" s="145"/>
      <c r="AE212" s="145"/>
      <c r="AF212" s="145"/>
      <c r="BC212" s="25"/>
    </row>
    <row r="213" spans="1:55" ht="10.5" customHeight="1">
      <c r="B213" s="337"/>
      <c r="C213" s="337"/>
      <c r="D213" s="337"/>
      <c r="E213" s="337"/>
      <c r="F213" s="337"/>
      <c r="G213" s="524" t="s">
        <v>975</v>
      </c>
      <c r="H213" s="337"/>
      <c r="I213" s="168"/>
      <c r="J213" s="1"/>
      <c r="K213" s="1"/>
      <c r="L213" s="1"/>
      <c r="M213" s="196"/>
      <c r="AA213" s="145"/>
      <c r="AB213" s="145"/>
      <c r="AC213" s="145"/>
      <c r="AD213" s="145"/>
      <c r="AE213" s="145"/>
      <c r="BA213" s="25"/>
      <c r="BB213" s="25"/>
      <c r="BC213" s="25"/>
    </row>
    <row r="214" spans="1:55" ht="13.5" customHeight="1">
      <c r="A214" s="162"/>
      <c r="B214" s="162"/>
      <c r="C214" s="162"/>
      <c r="D214" s="162"/>
      <c r="E214" s="162"/>
      <c r="F214" s="162"/>
      <c r="G214" s="162"/>
      <c r="H214" s="162"/>
      <c r="J214" s="1"/>
      <c r="K214" s="1"/>
      <c r="L214" s="1"/>
      <c r="M214" s="196"/>
      <c r="S214" s="168"/>
      <c r="BA214" s="25"/>
      <c r="BB214" s="25"/>
      <c r="BC214" s="25"/>
    </row>
    <row r="215" spans="1:55" ht="24" customHeight="1">
      <c r="A215" s="371" t="s">
        <v>195</v>
      </c>
      <c r="B215" s="20"/>
      <c r="C215" s="20"/>
      <c r="D215" s="34"/>
      <c r="E215" s="17"/>
      <c r="F215" s="22"/>
      <c r="G215" s="22"/>
      <c r="H215" s="105"/>
      <c r="L215" s="1"/>
      <c r="M215" s="196"/>
      <c r="AK215" s="145"/>
      <c r="BA215" s="25"/>
      <c r="BB215" s="25"/>
      <c r="BC215" s="25"/>
    </row>
    <row r="216" spans="1:55" ht="15.75">
      <c r="A216" s="21"/>
      <c r="B216" s="21"/>
      <c r="C216" s="21"/>
      <c r="D216" s="35"/>
      <c r="E216" s="17"/>
      <c r="F216" s="22"/>
      <c r="G216" s="22"/>
      <c r="H216" s="105"/>
      <c r="BA216" s="25"/>
      <c r="BB216" s="25"/>
      <c r="BC216" s="25"/>
    </row>
    <row r="217" spans="1:55" ht="18" customHeight="1">
      <c r="A217" s="43" t="s">
        <v>36</v>
      </c>
      <c r="B217" s="43"/>
      <c r="C217" s="43"/>
      <c r="D217" s="62"/>
      <c r="E217" s="17"/>
      <c r="F217" s="22"/>
      <c r="G217" s="22"/>
      <c r="H217" s="105"/>
    </row>
    <row r="218" spans="1:55" ht="15.75">
      <c r="A218" s="43" t="s">
        <v>29</v>
      </c>
      <c r="B218" s="43"/>
      <c r="C218" s="43"/>
      <c r="D218" s="62"/>
      <c r="E218" s="17"/>
      <c r="F218" s="22"/>
      <c r="G218" s="22"/>
      <c r="H218" s="105"/>
      <c r="Q218" s="1" t="s">
        <v>38</v>
      </c>
    </row>
    <row r="219" spans="1:55" ht="15.75">
      <c r="A219" s="43" t="s">
        <v>981</v>
      </c>
      <c r="B219" s="43"/>
      <c r="C219" s="43"/>
      <c r="D219" s="62"/>
      <c r="E219" s="17"/>
      <c r="F219" s="22"/>
      <c r="G219" s="22"/>
      <c r="H219" s="105"/>
      <c r="I219" s="25"/>
      <c r="Q219" s="223" t="s">
        <v>150</v>
      </c>
      <c r="R219" s="223"/>
    </row>
    <row r="220" spans="1:55">
      <c r="B220" s="2"/>
      <c r="C220" s="2"/>
      <c r="D220" s="26"/>
      <c r="I220" s="25"/>
      <c r="Q220" s="130" t="s">
        <v>40</v>
      </c>
      <c r="R220" s="130"/>
      <c r="S220" s="68"/>
      <c r="T220" s="68"/>
      <c r="U220" s="78"/>
      <c r="V220" s="212" t="s">
        <v>7</v>
      </c>
      <c r="W220" s="213"/>
      <c r="X220" s="68"/>
      <c r="Y220" s="68"/>
      <c r="Z220" s="212" t="s">
        <v>141</v>
      </c>
      <c r="AA220" s="213"/>
      <c r="AB220" s="68"/>
      <c r="AC220" s="68"/>
    </row>
    <row r="221" spans="1:55" ht="39.75" customHeight="1">
      <c r="A221" s="63"/>
      <c r="B221" s="64" t="s">
        <v>62</v>
      </c>
      <c r="C221" s="36"/>
      <c r="D221" s="64" t="s">
        <v>63</v>
      </c>
      <c r="E221" s="65" t="s">
        <v>28</v>
      </c>
      <c r="F221" s="65" t="s">
        <v>45</v>
      </c>
      <c r="G221" s="66" t="s">
        <v>28</v>
      </c>
      <c r="H221" s="120" t="s">
        <v>59</v>
      </c>
      <c r="I221" s="74"/>
      <c r="Q221" s="69"/>
      <c r="R221" s="69" t="s">
        <v>62</v>
      </c>
      <c r="S221" s="69" t="s">
        <v>63</v>
      </c>
      <c r="T221" s="70" t="s">
        <v>45</v>
      </c>
      <c r="U221" s="79" t="s">
        <v>31</v>
      </c>
      <c r="V221" s="214" t="s">
        <v>62</v>
      </c>
      <c r="W221" s="69" t="s">
        <v>63</v>
      </c>
      <c r="X221" s="70" t="s">
        <v>45</v>
      </c>
      <c r="Y221" s="70" t="s">
        <v>31</v>
      </c>
      <c r="Z221" s="214" t="s">
        <v>62</v>
      </c>
      <c r="AA221" s="69" t="s">
        <v>63</v>
      </c>
      <c r="AB221" s="70" t="s">
        <v>45</v>
      </c>
      <c r="AC221" s="70" t="s">
        <v>31</v>
      </c>
    </row>
    <row r="222" spans="1:55" ht="11.25" customHeight="1">
      <c r="A222" s="1" t="s">
        <v>64</v>
      </c>
      <c r="B222" s="67">
        <f>+GETPIVOTDATA("Grand Total FTE - New",'FTE Pivot for regular counts'!$A$2,"Category2","Four-Year")</f>
        <v>2423869.8609166662</v>
      </c>
      <c r="D222" s="15">
        <f>+GETPIVOTDATA("Grand Total FTE - New",'FTE Pivot for regular counts'!$A$2,"Category2","Two-Year")</f>
        <v>1670330.2815555555</v>
      </c>
      <c r="F222" s="39">
        <f>+GETPIVOTDATA("Grand Total FTE - New",'FTE Pivot for regular counts'!$A$2,"Category2","Technical")</f>
        <v>116295.99496666665</v>
      </c>
      <c r="G222" s="37"/>
      <c r="H222" s="121">
        <f>+F222+D222+B222</f>
        <v>4210496.1374388887</v>
      </c>
      <c r="I222" s="25"/>
      <c r="Q222" s="1" t="s">
        <v>64</v>
      </c>
      <c r="R222" s="67">
        <f>+GETPIVOTDATA("Grand Total FTE - Old",'FTE Pivot for regular counts'!$A$2,"Category2","Four-Year")</f>
        <v>2398074.2683333326</v>
      </c>
      <c r="S222" s="15">
        <f>+GETPIVOTDATA("Grand Total FTE - Old",'FTE Pivot for regular counts'!$A$2,"Category2","Two-Year")</f>
        <v>1720684.9988888889</v>
      </c>
      <c r="T222" s="15">
        <f>+GETPIVOTDATA("Grand Total FTE - Old",'FTE Pivot for regular counts'!$A$2,"Category2","Technical")</f>
        <v>121118.94057777779</v>
      </c>
      <c r="U222" s="87">
        <f>SUM(R222:T222)</f>
        <v>4239878.207799999</v>
      </c>
      <c r="V222" s="408">
        <f>+B222-R222</f>
        <v>25795.592583333608</v>
      </c>
      <c r="W222" s="409">
        <f>+D222-S222</f>
        <v>-50354.717333333334</v>
      </c>
      <c r="X222" s="410">
        <f>+F222-T222</f>
        <v>-4822.9456111111358</v>
      </c>
      <c r="Y222" s="410">
        <f>+H222-U222</f>
        <v>-29382.070361110382</v>
      </c>
      <c r="Z222" s="215">
        <f>(B222-R222)/R222</f>
        <v>1.0756794701467527E-2</v>
      </c>
      <c r="AA222" s="216">
        <f>(D222-S222)/S222</f>
        <v>-2.9264343773467701E-2</v>
      </c>
      <c r="AB222" s="71">
        <f t="shared" ref="AB222:AB239" si="50">IF(T222&gt;0,((F222-T222)/T222),)</f>
        <v>-3.9819912460463035E-2</v>
      </c>
      <c r="AC222" s="71">
        <f>(H222-U222)/U222</f>
        <v>-6.929932635106573E-3</v>
      </c>
      <c r="AI222" s="95"/>
      <c r="AJ222" s="95"/>
      <c r="AK222" s="95"/>
      <c r="AL222" s="95"/>
    </row>
    <row r="223" spans="1:55" ht="15" customHeight="1">
      <c r="B223" s="15"/>
      <c r="D223" s="15"/>
      <c r="F223" s="15"/>
      <c r="G223" s="37"/>
      <c r="H223" s="15"/>
      <c r="I223" s="25"/>
      <c r="R223" s="15"/>
      <c r="S223" s="15"/>
      <c r="T223" s="15"/>
      <c r="U223" s="15"/>
      <c r="V223" s="408"/>
      <c r="W223" s="409"/>
      <c r="X223" s="410"/>
      <c r="Y223" s="410"/>
      <c r="Z223" s="215"/>
      <c r="AA223" s="216"/>
      <c r="AB223" s="71">
        <f t="shared" si="50"/>
        <v>0</v>
      </c>
      <c r="AC223" s="71"/>
      <c r="AI223" s="95"/>
      <c r="AJ223" s="95"/>
      <c r="AK223" s="95"/>
      <c r="AL223" s="95"/>
    </row>
    <row r="224" spans="1:55" ht="13.5" customHeight="1">
      <c r="A224" s="1" t="s">
        <v>65</v>
      </c>
      <c r="B224" s="15">
        <f>+GETPIVOTDATA("Grand Total FTE - New",'FTE Pivot for regular counts'!$A$2,"State","AL","Category2","Four-Year")</f>
        <v>131015.60833333332</v>
      </c>
      <c r="D224" s="15">
        <f>+GETPIVOTDATA("Grand Total FTE - New",'FTE Pivot for regular counts'!$A$2,"State","AL","Category2","Two-Year")</f>
        <v>59714.366666666669</v>
      </c>
      <c r="F224" s="39">
        <f>+GETPIVOTDATA("Grand Total FTE - New",'FTE Pivot for regular counts'!$A$2,"State","AL","Category2","Technical")</f>
        <v>2977.4</v>
      </c>
      <c r="G224" s="37"/>
      <c r="H224" s="121">
        <f t="shared" ref="H224:H239" si="51">+F224+D224+B224</f>
        <v>193707.375</v>
      </c>
      <c r="I224" s="25"/>
      <c r="Q224" s="1" t="s">
        <v>65</v>
      </c>
      <c r="R224" s="15">
        <f>+GETPIVOTDATA("Grand Total FTE - Old",'FTE Pivot for regular counts'!$A$2,"State","AL","Category2","Four-Year")</f>
        <v>128503.3</v>
      </c>
      <c r="S224" s="15">
        <f>+GETPIVOTDATA("Grand Total FTE - Old",'FTE Pivot for regular counts'!$A$2,"State","AL","Category2","Two-Year")</f>
        <v>61643.9</v>
      </c>
      <c r="T224" s="15">
        <f>+GETPIVOTDATA("Grand Total FTE - Old",'FTE Pivot for regular counts'!$A$2,"State","AL","Category2","Technical")</f>
        <v>3068</v>
      </c>
      <c r="U224" s="88">
        <f t="shared" ref="U224:U239" si="52">SUM(R224:T224)</f>
        <v>193215.2</v>
      </c>
      <c r="V224" s="408">
        <f t="shared" ref="V224:V239" si="53">+B224-R224</f>
        <v>2512.3083333333198</v>
      </c>
      <c r="W224" s="409">
        <f t="shared" ref="W224:W239" si="54">+D224-S224</f>
        <v>-1929.5333333333328</v>
      </c>
      <c r="X224" s="410">
        <f t="shared" ref="X224:X239" si="55">+F224-T224</f>
        <v>-90.599999999999909</v>
      </c>
      <c r="Y224" s="410">
        <f t="shared" ref="Y224:Y239" si="56">+H224-U224</f>
        <v>492.17499999998836</v>
      </c>
      <c r="Z224" s="215">
        <f t="shared" ref="Z224:Z239" si="57">(B224-R224)/R224</f>
        <v>1.9550535537478958E-2</v>
      </c>
      <c r="AA224" s="216">
        <f t="shared" ref="AA224:AA239" si="58">(D224-S224)/S224</f>
        <v>-3.1301285826064423E-2</v>
      </c>
      <c r="AB224" s="71">
        <f t="shared" si="50"/>
        <v>-2.9530638852672722E-2</v>
      </c>
      <c r="AC224" s="71">
        <f t="shared" ref="AC224:AC239" si="59">(H224-U224)/U224</f>
        <v>2.5472892401839416E-3</v>
      </c>
      <c r="AI224" s="95"/>
      <c r="AJ224" s="95"/>
      <c r="AK224" s="95"/>
      <c r="AL224" s="95"/>
    </row>
    <row r="225" spans="1:83" ht="15" customHeight="1">
      <c r="A225" s="4" t="s">
        <v>66</v>
      </c>
      <c r="B225" s="15">
        <f>+GETPIVOTDATA("Grand Total FTE - New",'FTE Pivot for regular counts'!$A$2,"State","AR","Category2","Four-Year")</f>
        <v>81500.674999999988</v>
      </c>
      <c r="D225" s="15">
        <f>+GETPIVOTDATA("Grand Total FTE - New",'FTE Pivot for regular counts'!$A$2,"State","AR","Category2","Two-Year")</f>
        <v>34822.633333333331</v>
      </c>
      <c r="F225" s="39">
        <f>+GETPIVOTDATA("Grand Total FTE - New",'FTE Pivot for regular counts'!$A$2,"State","AR","Category2","Technical")</f>
        <v>0</v>
      </c>
      <c r="G225" s="37"/>
      <c r="H225" s="121">
        <f t="shared" si="51"/>
        <v>116323.30833333332</v>
      </c>
      <c r="I225" s="25"/>
      <c r="Q225" s="4" t="s">
        <v>66</v>
      </c>
      <c r="R225" s="15">
        <f>+GETPIVOTDATA("Grand Total FTE - Old",'FTE Pivot for regular counts'!$A$2,"State","AR","Category2","Four-Year")</f>
        <v>80969.45</v>
      </c>
      <c r="S225" s="15">
        <f>+GETPIVOTDATA("Grand Total FTE - Old",'FTE Pivot for regular counts'!$A$2,"State","AR","Category2","Two-Year")</f>
        <v>37581.199999999997</v>
      </c>
      <c r="T225" s="15">
        <f>+GETPIVOTDATA("Grand Total FTE - Old",'FTE Pivot for regular counts'!$A$2,"State","AR","Category2","Technical")</f>
        <v>0</v>
      </c>
      <c r="U225" s="88">
        <f t="shared" si="52"/>
        <v>118550.65</v>
      </c>
      <c r="V225" s="408">
        <f t="shared" si="53"/>
        <v>531.22499999999127</v>
      </c>
      <c r="W225" s="409">
        <f t="shared" si="54"/>
        <v>-2758.5666666666657</v>
      </c>
      <c r="X225" s="410">
        <f t="shared" si="55"/>
        <v>0</v>
      </c>
      <c r="Y225" s="410">
        <f t="shared" si="56"/>
        <v>-2227.3416666666744</v>
      </c>
      <c r="Z225" s="215">
        <f t="shared" si="57"/>
        <v>6.5608078108470701E-3</v>
      </c>
      <c r="AA225" s="216">
        <f t="shared" si="58"/>
        <v>-7.340283616985796E-2</v>
      </c>
      <c r="AB225" s="71">
        <f t="shared" si="50"/>
        <v>0</v>
      </c>
      <c r="AC225" s="71">
        <f t="shared" si="59"/>
        <v>-1.8788101681995625E-2</v>
      </c>
      <c r="AI225" s="95"/>
      <c r="AJ225" s="95"/>
      <c r="AK225" s="95"/>
      <c r="AL225" s="95"/>
    </row>
    <row r="226" spans="1:83" ht="15" customHeight="1">
      <c r="A226" s="1" t="s">
        <v>102</v>
      </c>
      <c r="B226" s="102">
        <f>+GETPIVOTDATA("Grand Total FTE - New",'FTE Pivot for regular counts'!$A$2,"State","DE","Category2","Four-Year")</f>
        <v>25458.833333333328</v>
      </c>
      <c r="D226" s="15">
        <f>+GETPIVOTDATA("Grand Total FTE - New",'FTE Pivot for regular counts'!$A$2,"State","DE","Category2","Two-Year")</f>
        <v>9102</v>
      </c>
      <c r="F226" s="39">
        <f>+GETPIVOTDATA("Grand Total FTE - New",'FTE Pivot for regular counts'!$A$2,"State","DE","Category2","Technical")</f>
        <v>0</v>
      </c>
      <c r="G226" s="37"/>
      <c r="H226" s="121">
        <f t="shared" si="51"/>
        <v>34560.833333333328</v>
      </c>
      <c r="I226" s="25"/>
      <c r="Q226" s="1" t="s">
        <v>102</v>
      </c>
      <c r="R226" s="102">
        <f>+GETPIVOTDATA("Grand Total FTE - Old",'FTE Pivot for regular counts'!$A$2,"State","DE","Category2","Four-Year")</f>
        <v>24564.749999999996</v>
      </c>
      <c r="S226" s="15">
        <f>+GETPIVOTDATA("Grand Total FTE - Old",'FTE Pivot for regular counts'!$A$2,"State","DE","Category2","Two-Year")</f>
        <v>9913.6</v>
      </c>
      <c r="T226" s="15">
        <f>+GETPIVOTDATA("Grand Total FTE - Old",'FTE Pivot for regular counts'!$A$2,"State","DE","Category2","Technical")</f>
        <v>0</v>
      </c>
      <c r="U226" s="88">
        <f t="shared" si="52"/>
        <v>34478.35</v>
      </c>
      <c r="V226" s="408">
        <f t="shared" si="53"/>
        <v>894.08333333333212</v>
      </c>
      <c r="W226" s="409">
        <f t="shared" si="54"/>
        <v>-811.60000000000036</v>
      </c>
      <c r="X226" s="410">
        <f t="shared" si="55"/>
        <v>0</v>
      </c>
      <c r="Y226" s="410">
        <f t="shared" si="56"/>
        <v>82.483333333329938</v>
      </c>
      <c r="Z226" s="215">
        <f t="shared" si="57"/>
        <v>3.639700519375659E-2</v>
      </c>
      <c r="AA226" s="216">
        <f t="shared" si="58"/>
        <v>-8.1867333763718561E-2</v>
      </c>
      <c r="AB226" s="71">
        <f t="shared" si="50"/>
        <v>0</v>
      </c>
      <c r="AC226" s="71">
        <f t="shared" si="59"/>
        <v>2.3923225251014026E-3</v>
      </c>
      <c r="AI226" s="95"/>
      <c r="AJ226" s="95"/>
      <c r="AK226" s="95"/>
      <c r="AL226" s="95"/>
    </row>
    <row r="227" spans="1:83" ht="15" customHeight="1">
      <c r="A227" s="1" t="s">
        <v>67</v>
      </c>
      <c r="B227" s="15">
        <f>+GETPIVOTDATA("Grand Total FTE - New",'FTE Pivot for regular counts'!$A$2,"State","FL","Category2","Four-Year")</f>
        <v>296820.33333333337</v>
      </c>
      <c r="D227" s="15">
        <f>+GETPIVOTDATA("Grand Total FTE - New",'FTE Pivot for regular counts'!$A$2,"State","FL","Category2","Two-Year")</f>
        <v>331370.13333333336</v>
      </c>
      <c r="F227" s="39">
        <f>+GETPIVOTDATA("Grand Total FTE - New",'FTE Pivot for regular counts'!$A$2,"State","FL","Category2","Technical")</f>
        <v>0</v>
      </c>
      <c r="G227" s="37"/>
      <c r="H227" s="121">
        <f t="shared" si="51"/>
        <v>628190.46666666679</v>
      </c>
      <c r="I227" s="25"/>
      <c r="Q227" s="1" t="s">
        <v>67</v>
      </c>
      <c r="R227" s="15">
        <f>+GETPIVOTDATA("Grand Total FTE - Old",'FTE Pivot for regular counts'!$A$2,"State","FL","Category2","Four-Year")</f>
        <v>298281.27916666662</v>
      </c>
      <c r="S227" s="15">
        <f>+GETPIVOTDATA("Grand Total FTE - Old",'FTE Pivot for regular counts'!$A$2,"State","FL","Category2","Two-Year")</f>
        <v>337906.80666666664</v>
      </c>
      <c r="T227" s="15">
        <f>+GETPIVOTDATA("Grand Total FTE - Old",'FTE Pivot for regular counts'!$A$2,"State","FL","Category2","Technical")</f>
        <v>0</v>
      </c>
      <c r="U227" s="88">
        <f t="shared" si="52"/>
        <v>636188.0858333332</v>
      </c>
      <c r="V227" s="408">
        <f t="shared" si="53"/>
        <v>-1460.9458333332441</v>
      </c>
      <c r="W227" s="409">
        <f t="shared" si="54"/>
        <v>-6536.6733333332813</v>
      </c>
      <c r="X227" s="410">
        <f t="shared" si="55"/>
        <v>0</v>
      </c>
      <c r="Y227" s="410">
        <f t="shared" si="56"/>
        <v>-7997.619166666409</v>
      </c>
      <c r="Z227" s="215">
        <f t="shared" si="57"/>
        <v>-4.8978797375913456E-3</v>
      </c>
      <c r="AA227" s="216">
        <f t="shared" si="58"/>
        <v>-1.9344603909626133E-2</v>
      </c>
      <c r="AB227" s="71">
        <f t="shared" si="50"/>
        <v>0</v>
      </c>
      <c r="AC227" s="71">
        <f t="shared" si="59"/>
        <v>-1.2571155205131589E-2</v>
      </c>
      <c r="AI227" s="95"/>
      <c r="AJ227" s="95"/>
      <c r="AK227" s="95"/>
      <c r="AL227" s="95"/>
    </row>
    <row r="228" spans="1:83" ht="15" customHeight="1">
      <c r="A228" s="1" t="s">
        <v>68</v>
      </c>
      <c r="B228" s="15">
        <f>+GETPIVOTDATA("Grand Total FTE - New",'FTE Pivot for regular counts'!$A$2,"State","GA","Category2","Four-Year")</f>
        <v>239171.75549999997</v>
      </c>
      <c r="D228" s="15">
        <f>+GETPIVOTDATA("Grand Total FTE - New",'FTE Pivot for regular counts'!$A$2,"State","GA","Category2","Two-Year")</f>
        <v>40379.65</v>
      </c>
      <c r="F228" s="39">
        <f>+GETPIVOTDATA("Grand Total FTE - New",'FTE Pivot for regular counts'!$A$2,"State","GA","Category2","Technical")</f>
        <v>67506.233333333323</v>
      </c>
      <c r="G228" s="37"/>
      <c r="H228" s="121">
        <f t="shared" si="51"/>
        <v>347057.63883333327</v>
      </c>
      <c r="I228" s="25"/>
      <c r="Q228" s="1" t="s">
        <v>68</v>
      </c>
      <c r="R228" s="15">
        <f>+GETPIVOTDATA("Grand Total FTE - Old",'FTE Pivot for regular counts'!$A$2,"State","GA","Category2","Four-Year")</f>
        <v>234339.21249999997</v>
      </c>
      <c r="S228" s="15">
        <f>+GETPIVOTDATA("Grand Total FTE - Old",'FTE Pivot for regular counts'!$A$2,"State","GA","Category2","Two-Year")</f>
        <v>40866.983333333337</v>
      </c>
      <c r="T228" s="15">
        <f>+GETPIVOTDATA("Grand Total FTE - Old",'FTE Pivot for regular counts'!$A$2,"State","GA","Category2","Technical")</f>
        <v>71686.516666666663</v>
      </c>
      <c r="U228" s="88">
        <f t="shared" si="52"/>
        <v>346892.71249999997</v>
      </c>
      <c r="V228" s="408">
        <f t="shared" si="53"/>
        <v>4832.5430000000051</v>
      </c>
      <c r="W228" s="409">
        <f t="shared" si="54"/>
        <v>-487.33333333333576</v>
      </c>
      <c r="X228" s="410">
        <f t="shared" si="55"/>
        <v>-4180.2833333333401</v>
      </c>
      <c r="Y228" s="410">
        <f t="shared" si="56"/>
        <v>164.92633333330741</v>
      </c>
      <c r="Z228" s="215">
        <f t="shared" si="57"/>
        <v>2.0621998975096863E-2</v>
      </c>
      <c r="AA228" s="216">
        <f t="shared" si="58"/>
        <v>-1.1924866813837962E-2</v>
      </c>
      <c r="AB228" s="71">
        <f t="shared" si="50"/>
        <v>-5.8313383432635382E-2</v>
      </c>
      <c r="AC228" s="71">
        <f t="shared" si="59"/>
        <v>4.7543902593026491E-4</v>
      </c>
      <c r="AI228" s="95"/>
      <c r="AJ228" s="95"/>
      <c r="AK228" s="95"/>
      <c r="AL228" s="95"/>
    </row>
    <row r="229" spans="1:83" ht="15" customHeight="1">
      <c r="A229" s="1" t="s">
        <v>69</v>
      </c>
      <c r="B229" s="15">
        <f>+GETPIVOTDATA("Grand Total FTE - New",'FTE Pivot for regular counts'!$A$2,"State","KY","Category2","Four-Year")</f>
        <v>101092.26666666668</v>
      </c>
      <c r="D229" s="15">
        <f>+GETPIVOTDATA("Grand Total FTE - New",'FTE Pivot for regular counts'!$A$2,"State","KY","Category2","Two-Year")</f>
        <v>42788.5</v>
      </c>
      <c r="F229" s="39">
        <f>+GETPIVOTDATA("Grand Total FTE - New",'FTE Pivot for regular counts'!$A$2,"State","KY","Category2","Technical")</f>
        <v>4898.7</v>
      </c>
      <c r="G229" s="37"/>
      <c r="H229" s="121">
        <f t="shared" si="51"/>
        <v>148779.46666666667</v>
      </c>
      <c r="I229" s="25"/>
      <c r="Q229" s="1" t="s">
        <v>69</v>
      </c>
      <c r="R229" s="15">
        <f>+GETPIVOTDATA("Grand Total FTE - Old",'FTE Pivot for regular counts'!$A$2,"State","KY","Category2","Four-Year")</f>
        <v>100802.6</v>
      </c>
      <c r="S229" s="15">
        <f>+GETPIVOTDATA("Grand Total FTE - Old",'FTE Pivot for regular counts'!$A$2,"State","KY","Category2","Two-Year")</f>
        <v>46344.433333333342</v>
      </c>
      <c r="T229" s="15">
        <f>+GETPIVOTDATA("Grand Total FTE - Old",'FTE Pivot for regular counts'!$A$2,"State","KY","Category2","Technical")</f>
        <v>5098.7333333333336</v>
      </c>
      <c r="U229" s="88">
        <f t="shared" si="52"/>
        <v>152245.76666666669</v>
      </c>
      <c r="V229" s="408">
        <f t="shared" si="53"/>
        <v>289.66666666667152</v>
      </c>
      <c r="W229" s="409">
        <f t="shared" si="54"/>
        <v>-3555.9333333333416</v>
      </c>
      <c r="X229" s="410">
        <f t="shared" si="55"/>
        <v>-200.03333333333376</v>
      </c>
      <c r="Y229" s="410">
        <f t="shared" si="56"/>
        <v>-3466.3000000000175</v>
      </c>
      <c r="Z229" s="215">
        <f t="shared" si="57"/>
        <v>2.8736031279616944E-3</v>
      </c>
      <c r="AA229" s="216">
        <f t="shared" si="58"/>
        <v>-7.6728380898676951E-2</v>
      </c>
      <c r="AB229" s="71">
        <f t="shared" si="50"/>
        <v>-3.9231966109229827E-2</v>
      </c>
      <c r="AC229" s="71">
        <f t="shared" si="59"/>
        <v>-2.2767792339272598E-2</v>
      </c>
      <c r="AI229" s="95"/>
      <c r="AJ229" s="95"/>
      <c r="AK229" s="95"/>
      <c r="AL229" s="95"/>
    </row>
    <row r="230" spans="1:83" ht="15" customHeight="1">
      <c r="A230" s="1" t="s">
        <v>70</v>
      </c>
      <c r="B230" s="15">
        <f>+GETPIVOTDATA("Grand Total FTE - New",'FTE Pivot for regular counts'!$A$2,"State","LA","Category2","Four-Year")</f>
        <v>118072.67083333334</v>
      </c>
      <c r="D230" s="15">
        <f>+GETPIVOTDATA("Grand Total FTE - New",'FTE Pivot for regular counts'!$A$2,"State","LA","Category2","Two-Year")</f>
        <v>36658.866666666669</v>
      </c>
      <c r="F230" s="39">
        <f>+GETPIVOTDATA("Grand Total FTE - New",'FTE Pivot for regular counts'!$A$2,"State","LA","Category2","Technical")</f>
        <v>9824.0811111111107</v>
      </c>
      <c r="G230" s="37"/>
      <c r="H230" s="121">
        <f t="shared" si="51"/>
        <v>164555.61861111113</v>
      </c>
      <c r="I230" s="25"/>
      <c r="Q230" s="1" t="s">
        <v>70</v>
      </c>
      <c r="R230" s="15">
        <f>+GETPIVOTDATA("Grand Total FTE - Old",'FTE Pivot for regular counts'!$A$2,"State","LA","Category2","Four-Year")</f>
        <v>117629.29999999999</v>
      </c>
      <c r="S230" s="15">
        <f>+GETPIVOTDATA("Grand Total FTE - Old",'FTE Pivot for regular counts'!$A$2,"State","LA","Category2","Two-Year")</f>
        <v>38594.25</v>
      </c>
      <c r="T230" s="15">
        <f>+GETPIVOTDATA("Grand Total FTE - Old",'FTE Pivot for regular counts'!$A$2,"State","LA","Category2","Technical")</f>
        <v>10366.871666666666</v>
      </c>
      <c r="U230" s="88">
        <f t="shared" si="52"/>
        <v>166590.42166666666</v>
      </c>
      <c r="V230" s="408">
        <f t="shared" si="53"/>
        <v>443.37083333334886</v>
      </c>
      <c r="W230" s="409">
        <f t="shared" si="54"/>
        <v>-1935.3833333333314</v>
      </c>
      <c r="X230" s="410">
        <f t="shared" si="55"/>
        <v>-542.79055555555533</v>
      </c>
      <c r="Y230" s="410">
        <f t="shared" si="56"/>
        <v>-2034.8030555555306</v>
      </c>
      <c r="Z230" s="215">
        <f t="shared" si="57"/>
        <v>3.7692210472505482E-3</v>
      </c>
      <c r="AA230" s="216">
        <f t="shared" si="58"/>
        <v>-5.0146934668592637E-2</v>
      </c>
      <c r="AB230" s="71">
        <f t="shared" si="50"/>
        <v>-5.235818219886218E-2</v>
      </c>
      <c r="AC230" s="71">
        <f t="shared" si="59"/>
        <v>-1.2214406057672387E-2</v>
      </c>
      <c r="AI230" s="95"/>
      <c r="AJ230" s="95"/>
      <c r="AK230" s="95"/>
      <c r="AL230" s="95"/>
    </row>
    <row r="231" spans="1:83" ht="15" customHeight="1">
      <c r="A231" s="1" t="s">
        <v>71</v>
      </c>
      <c r="B231" s="15">
        <f>+GETPIVOTDATA("Grand Total FTE - New",'FTE Pivot for regular counts'!$A$2,"State","MD","Category2","Four-Year")</f>
        <v>104450.40708333334</v>
      </c>
      <c r="D231" s="15">
        <f>+GETPIVOTDATA("Grand Total FTE - New",'FTE Pivot for regular counts'!$A$2,"State","MD","Category2","Two-Year")</f>
        <v>89245.658333333326</v>
      </c>
      <c r="F231" s="39">
        <f>+GETPIVOTDATA("Grand Total FTE - New",'FTE Pivot for regular counts'!$A$2,"State","MD","Category2","Technical")</f>
        <v>0</v>
      </c>
      <c r="G231" s="37"/>
      <c r="H231" s="121">
        <f t="shared" si="51"/>
        <v>193696.06541666668</v>
      </c>
      <c r="I231" s="25"/>
      <c r="Q231" s="1" t="s">
        <v>71</v>
      </c>
      <c r="R231" s="15">
        <f>+GETPIVOTDATA("Grand Total FTE - Old",'FTE Pivot for regular counts'!$A$2,"State","MD","Category2","Four-Year")</f>
        <v>103952.39166666666</v>
      </c>
      <c r="S231" s="15">
        <f>+GETPIVOTDATA("Grand Total FTE - Old",'FTE Pivot for regular counts'!$A$2,"State","MD","Category2","Two-Year")</f>
        <v>95613.333333333328</v>
      </c>
      <c r="T231" s="15">
        <f>+GETPIVOTDATA("Grand Total FTE - Old",'FTE Pivot for regular counts'!$A$2,"State","MD","Category2","Technical")</f>
        <v>0</v>
      </c>
      <c r="U231" s="88">
        <f t="shared" si="52"/>
        <v>199565.72499999998</v>
      </c>
      <c r="V231" s="408">
        <f t="shared" si="53"/>
        <v>498.01541666667617</v>
      </c>
      <c r="W231" s="409">
        <f t="shared" si="54"/>
        <v>-6367.6750000000029</v>
      </c>
      <c r="X231" s="410">
        <f t="shared" si="55"/>
        <v>0</v>
      </c>
      <c r="Y231" s="410">
        <f t="shared" si="56"/>
        <v>-5869.6595833332976</v>
      </c>
      <c r="Z231" s="215">
        <f t="shared" si="57"/>
        <v>4.7908028731422601E-3</v>
      </c>
      <c r="AA231" s="216">
        <f t="shared" si="58"/>
        <v>-6.6598190628922083E-2</v>
      </c>
      <c r="AB231" s="71">
        <f t="shared" si="50"/>
        <v>0</v>
      </c>
      <c r="AC231" s="71">
        <f t="shared" si="59"/>
        <v>-2.9412162751561163E-2</v>
      </c>
      <c r="AI231" s="95"/>
      <c r="AJ231" s="95"/>
      <c r="AK231" s="95"/>
      <c r="AL231" s="95"/>
    </row>
    <row r="232" spans="1:83" ht="15" customHeight="1">
      <c r="A232" s="1" t="s">
        <v>72</v>
      </c>
      <c r="B232" s="15">
        <f>+GETPIVOTDATA("Grand Total FTE - New",'FTE Pivot for regular counts'!$A$2,"State","MS","Category2","Four-Year")</f>
        <v>69366.179166666669</v>
      </c>
      <c r="D232" s="15">
        <f>+GETPIVOTDATA("Grand Total FTE - New",'FTE Pivot for regular counts'!$A$2,"State","MS","Category2","Two-Year")</f>
        <v>64814.566666666658</v>
      </c>
      <c r="F232" s="39">
        <f>+GETPIVOTDATA("Grand Total FTE - New",'FTE Pivot for regular counts'!$A$2,"State","MS","Category2","Technical")</f>
        <v>0</v>
      </c>
      <c r="G232" s="37"/>
      <c r="H232" s="121">
        <f t="shared" si="51"/>
        <v>134180.74583333332</v>
      </c>
      <c r="I232" s="25"/>
      <c r="Q232" s="1" t="s">
        <v>72</v>
      </c>
      <c r="R232" s="15">
        <f>+GETPIVOTDATA("Grand Total FTE - Old",'FTE Pivot for regular counts'!$A$2,"State","MS","Category2","Four-Year")</f>
        <v>69069.649999999994</v>
      </c>
      <c r="S232" s="15">
        <f>+GETPIVOTDATA("Grand Total FTE - Old",'FTE Pivot for regular counts'!$A$2,"State","MS","Category2","Two-Year")</f>
        <v>65331.4</v>
      </c>
      <c r="T232" s="15">
        <f>+GETPIVOTDATA("Grand Total FTE - Old",'FTE Pivot for regular counts'!$A$2,"State","MS","Category2","Technical")</f>
        <v>0</v>
      </c>
      <c r="U232" s="88">
        <f t="shared" si="52"/>
        <v>134401.04999999999</v>
      </c>
      <c r="V232" s="408">
        <f t="shared" si="53"/>
        <v>296.52916666667443</v>
      </c>
      <c r="W232" s="409">
        <f t="shared" si="54"/>
        <v>-516.83333333334303</v>
      </c>
      <c r="X232" s="410">
        <f t="shared" si="55"/>
        <v>0</v>
      </c>
      <c r="Y232" s="410">
        <f t="shared" si="56"/>
        <v>-220.30416666666861</v>
      </c>
      <c r="Z232" s="215">
        <f t="shared" si="57"/>
        <v>4.2931905209694044E-3</v>
      </c>
      <c r="AA232" s="216">
        <f t="shared" si="58"/>
        <v>-7.9109483852074659E-3</v>
      </c>
      <c r="AB232" s="71">
        <f t="shared" si="50"/>
        <v>0</v>
      </c>
      <c r="AC232" s="71">
        <f t="shared" si="59"/>
        <v>-1.6391551008468209E-3</v>
      </c>
      <c r="AI232" s="95"/>
      <c r="AJ232" s="95"/>
      <c r="AK232" s="95"/>
      <c r="AL232" s="95"/>
    </row>
    <row r="233" spans="1:83" ht="12" customHeight="1">
      <c r="A233" s="1" t="s">
        <v>73</v>
      </c>
      <c r="B233" s="15">
        <f>+GETPIVOTDATA("Grand Total FTE - New",'FTE Pivot for regular counts'!$A$2,"State","NC","Category2","Four-Year")</f>
        <v>198034.89166666666</v>
      </c>
      <c r="D233" s="15">
        <f>+GETPIVOTDATA("Grand Total FTE - New",'FTE Pivot for regular counts'!$A$2,"State","NC","Category2","Two-Year")</f>
        <v>183192.89888888889</v>
      </c>
      <c r="F233" s="39">
        <f>+GETPIVOTDATA("Grand Total FTE - New",'FTE Pivot for regular counts'!$A$2,"State","NC","Category2","Technical")</f>
        <v>0</v>
      </c>
      <c r="G233" s="37"/>
      <c r="H233" s="121">
        <f t="shared" si="51"/>
        <v>381227.79055555555</v>
      </c>
      <c r="I233" s="25"/>
      <c r="Q233" s="1" t="s">
        <v>73</v>
      </c>
      <c r="R233" s="15">
        <f>+GETPIVOTDATA("Grand Total FTE - Old",'FTE Pivot for regular counts'!$A$2,"State","NC","Category2","Four-Year")</f>
        <v>196172.06666666668</v>
      </c>
      <c r="S233" s="15">
        <f>+GETPIVOTDATA("Grand Total FTE - Old",'FTE Pivot for regular counts'!$A$2,"State","NC","Category2","Two-Year")</f>
        <v>195034.59333333335</v>
      </c>
      <c r="T233" s="15">
        <f>+GETPIVOTDATA("Grand Total FTE - Old",'FTE Pivot for regular counts'!$A$2,"State","NC","Category2","Technical")</f>
        <v>0</v>
      </c>
      <c r="U233" s="88">
        <f t="shared" si="52"/>
        <v>391206.66000000003</v>
      </c>
      <c r="V233" s="408">
        <f t="shared" si="53"/>
        <v>1862.8249999999825</v>
      </c>
      <c r="W233" s="409">
        <f t="shared" si="54"/>
        <v>-11841.694444444467</v>
      </c>
      <c r="X233" s="410">
        <f t="shared" si="55"/>
        <v>0</v>
      </c>
      <c r="Y233" s="410">
        <f t="shared" si="56"/>
        <v>-9978.8694444444845</v>
      </c>
      <c r="Z233" s="215">
        <f t="shared" si="57"/>
        <v>9.4958728408834746E-3</v>
      </c>
      <c r="AA233" s="216">
        <f t="shared" si="58"/>
        <v>-6.0715867078030838E-2</v>
      </c>
      <c r="AB233" s="71">
        <f t="shared" si="50"/>
        <v>0</v>
      </c>
      <c r="AC233" s="71">
        <f t="shared" si="59"/>
        <v>-2.5507923214917873E-2</v>
      </c>
      <c r="AI233" s="95"/>
      <c r="AJ233" s="95"/>
      <c r="AK233" s="95"/>
      <c r="AL233" s="95"/>
    </row>
    <row r="234" spans="1:83" ht="15" customHeight="1">
      <c r="A234" s="1" t="s">
        <v>74</v>
      </c>
      <c r="B234" s="15">
        <f>+GETPIVOTDATA("Grand Total FTE - New",'FTE Pivot for regular counts'!$A$2,"State","OK","Category2","Four-Year")</f>
        <v>84385.900000000009</v>
      </c>
      <c r="D234" s="15">
        <f>+GETPIVOTDATA("Grand Total FTE - New",'FTE Pivot for regular counts'!$A$2,"State","OK","Category2","Two-Year")</f>
        <v>44873.5</v>
      </c>
      <c r="F234" s="39">
        <f>+GETPIVOTDATA("Grand Total FTE - New",'FTE Pivot for regular counts'!$A$2,"State","OK","Category2","Technical")</f>
        <v>19443.854966666669</v>
      </c>
      <c r="G234" s="37"/>
      <c r="H234" s="121">
        <f t="shared" si="51"/>
        <v>148703.25496666669</v>
      </c>
      <c r="I234" s="25"/>
      <c r="Q234" s="1" t="s">
        <v>74</v>
      </c>
      <c r="R234" s="15">
        <f>+GETPIVOTDATA("Grand Total FTE - Old",'FTE Pivot for regular counts'!$A$2,"State","OK","Category2","Four-Year")</f>
        <v>84175.208333333328</v>
      </c>
      <c r="S234" s="15">
        <f>+GETPIVOTDATA("Grand Total FTE - Old",'FTE Pivot for regular counts'!$A$2,"State","OK","Category2","Two-Year")</f>
        <v>46715.7</v>
      </c>
      <c r="T234" s="67">
        <f>+GETPIVOTDATA("Grand Total FTE - Old",'FTE Pivot for regular counts'!$A$2,"State","OK","Category2","Technical")</f>
        <v>19699.354466666664</v>
      </c>
      <c r="U234" s="88">
        <f t="shared" si="52"/>
        <v>150590.2628</v>
      </c>
      <c r="V234" s="408">
        <f t="shared" si="53"/>
        <v>210.69166666668025</v>
      </c>
      <c r="W234" s="409">
        <f t="shared" si="54"/>
        <v>-1842.1999999999971</v>
      </c>
      <c r="X234" s="410">
        <f t="shared" si="55"/>
        <v>-255.49949999999444</v>
      </c>
      <c r="Y234" s="410">
        <f t="shared" si="56"/>
        <v>-1887.0078333333076</v>
      </c>
      <c r="Z234" s="215">
        <f t="shared" si="57"/>
        <v>2.5030133080555322E-3</v>
      </c>
      <c r="AA234" s="216">
        <f t="shared" si="58"/>
        <v>-3.9434280124240828E-2</v>
      </c>
      <c r="AB234" s="71">
        <f t="shared" si="50"/>
        <v>-1.2969942768039729E-2</v>
      </c>
      <c r="AC234" s="71">
        <f t="shared" si="59"/>
        <v>-1.2530742680484304E-2</v>
      </c>
      <c r="AI234" s="95"/>
      <c r="AJ234" s="95"/>
      <c r="AK234" s="95"/>
      <c r="AL234" s="95"/>
    </row>
    <row r="235" spans="1:83" ht="15" customHeight="1">
      <c r="A235" s="1" t="s">
        <v>75</v>
      </c>
      <c r="B235" s="15">
        <f>+GETPIVOTDATA("Grand Total FTE - New",'FTE Pivot for regular counts'!$A$2,"State","SC","Category2","Four-Year")</f>
        <v>100457.59583333335</v>
      </c>
      <c r="D235" s="15">
        <f>+GETPIVOTDATA("Grand Total FTE - New",'FTE Pivot for regular counts'!$A$2,"State","SC","Category2","Two-Year")</f>
        <v>71680.194333333333</v>
      </c>
      <c r="F235" s="39">
        <f>+GETPIVOTDATA("Grand Total FTE - New",'FTE Pivot for regular counts'!$A$2,"State","SC","Category2","Technical")</f>
        <v>0</v>
      </c>
      <c r="G235" s="37"/>
      <c r="H235" s="121">
        <f t="shared" si="51"/>
        <v>172137.79016666667</v>
      </c>
      <c r="I235" s="25"/>
      <c r="Q235" s="1" t="s">
        <v>75</v>
      </c>
      <c r="R235" s="15">
        <f>+GETPIVOTDATA("Grand Total FTE - Old",'FTE Pivot for regular counts'!$A$2,"State","SC","Category2","Four-Year")</f>
        <v>98490.475000000006</v>
      </c>
      <c r="S235" s="15">
        <f>+GETPIVOTDATA("Grand Total FTE - Old",'FTE Pivot for regular counts'!$A$2,"State","SC","Category2","Two-Year")</f>
        <v>76206.599999999991</v>
      </c>
      <c r="T235" s="15">
        <f>+GETPIVOTDATA("Grand Total FTE - Old",'FTE Pivot for regular counts'!$A$2,"State","SC","Category2","Technical")</f>
        <v>0</v>
      </c>
      <c r="U235" s="88">
        <f t="shared" si="52"/>
        <v>174697.07500000001</v>
      </c>
      <c r="V235" s="408">
        <f t="shared" si="53"/>
        <v>1967.1208333333489</v>
      </c>
      <c r="W235" s="409">
        <f t="shared" si="54"/>
        <v>-4526.4056666666584</v>
      </c>
      <c r="X235" s="410">
        <f t="shared" si="55"/>
        <v>0</v>
      </c>
      <c r="Y235" s="410">
        <f t="shared" si="56"/>
        <v>-2559.2848333333386</v>
      </c>
      <c r="Z235" s="215">
        <f t="shared" si="57"/>
        <v>1.9972701251906328E-2</v>
      </c>
      <c r="AA235" s="216">
        <f t="shared" si="58"/>
        <v>-5.9396504589716098E-2</v>
      </c>
      <c r="AB235" s="71">
        <f t="shared" si="50"/>
        <v>0</v>
      </c>
      <c r="AC235" s="71">
        <f t="shared" si="59"/>
        <v>-1.464984364124779E-2</v>
      </c>
      <c r="AI235" s="95"/>
      <c r="AJ235" s="95"/>
      <c r="AK235" s="95"/>
      <c r="AL235" s="95"/>
    </row>
    <row r="236" spans="1:83" ht="15" customHeight="1">
      <c r="A236" s="1" t="s">
        <v>76</v>
      </c>
      <c r="B236" s="15">
        <f>+GETPIVOTDATA("Grand Total FTE - New",'FTE Pivot for regular counts'!$A$2,"State","TN","Category2","Four-Year")</f>
        <v>116482.08333333331</v>
      </c>
      <c r="D236" s="15">
        <f>+GETPIVOTDATA("Grand Total FTE - New",'FTE Pivot for regular counts'!$A$2,"State","TN","Category2","Two-Year")</f>
        <v>57415.233333333337</v>
      </c>
      <c r="F236" s="39">
        <f>+GETPIVOTDATA("Grand Total FTE - New",'FTE Pivot for regular counts'!$A$2,"State","TN","Category2","Technical")</f>
        <v>11645.725555555555</v>
      </c>
      <c r="G236" s="37"/>
      <c r="H236" s="121">
        <f t="shared" si="51"/>
        <v>185543.0422222222</v>
      </c>
      <c r="I236" s="25"/>
      <c r="Q236" s="1" t="s">
        <v>76</v>
      </c>
      <c r="R236" s="15">
        <f>+GETPIVOTDATA("Grand Total FTE - Old",'FTE Pivot for regular counts'!$A$2,"State","TN","Category2","Four-Year")</f>
        <v>117241.72499999999</v>
      </c>
      <c r="S236" s="15">
        <f>+GETPIVOTDATA("Grand Total FTE - Old",'FTE Pivot for regular counts'!$A$2,"State","TN","Category2","Two-Year")</f>
        <v>56874.499999999993</v>
      </c>
      <c r="T236" s="15">
        <f>+GETPIVOTDATA("Grand Total FTE - Old",'FTE Pivot for regular counts'!$A$2,"State","TN","Category2","Technical")</f>
        <v>11199.464444444444</v>
      </c>
      <c r="U236" s="88">
        <f t="shared" si="52"/>
        <v>185315.68944444443</v>
      </c>
      <c r="V236" s="408">
        <f t="shared" si="53"/>
        <v>-759.64166666667734</v>
      </c>
      <c r="W236" s="409">
        <f t="shared" si="54"/>
        <v>540.73333333334449</v>
      </c>
      <c r="X236" s="410">
        <f t="shared" si="55"/>
        <v>446.26111111111095</v>
      </c>
      <c r="Y236" s="410">
        <f t="shared" si="56"/>
        <v>227.35277777776355</v>
      </c>
      <c r="Z236" s="215">
        <f t="shared" si="57"/>
        <v>-6.4792774642873719E-3</v>
      </c>
      <c r="AA236" s="216">
        <f t="shared" si="58"/>
        <v>9.5074828496662742E-3</v>
      </c>
      <c r="AB236" s="71">
        <f t="shared" si="50"/>
        <v>3.9846647428974272E-2</v>
      </c>
      <c r="AC236" s="71">
        <f t="shared" si="59"/>
        <v>1.2268404173404939E-3</v>
      </c>
      <c r="AI236" s="95"/>
      <c r="AJ236" s="95"/>
      <c r="AK236" s="95"/>
      <c r="AL236" s="95"/>
    </row>
    <row r="237" spans="1:83" ht="15" customHeight="1">
      <c r="A237" s="1" t="s">
        <v>77</v>
      </c>
      <c r="B237" s="15">
        <f>+GETPIVOTDATA("Grand Total FTE - New",'FTE Pivot for regular counts'!$A$2,"State","TX","Category2","Four-Year")</f>
        <v>504084.50000000006</v>
      </c>
      <c r="D237" s="15">
        <f>+GETPIVOTDATA("Grand Total FTE - New",'FTE Pivot for regular counts'!$A$2,"State","TX","Category2","Two-Year")</f>
        <v>476877.47333333327</v>
      </c>
      <c r="F237" s="39">
        <f>+GETPIVOTDATA("Grand Total FTE - New",'FTE Pivot for regular counts'!$A$2,"State","TX","Category2","Technical")</f>
        <v>0</v>
      </c>
      <c r="G237" s="37"/>
      <c r="H237" s="121">
        <f t="shared" si="51"/>
        <v>980961.97333333339</v>
      </c>
      <c r="I237" s="25"/>
      <c r="Q237" s="1" t="s">
        <v>77</v>
      </c>
      <c r="R237" s="15">
        <f>+GETPIVOTDATA("Grand Total FTE - Old",'FTE Pivot for regular counts'!$A$2,"State","TX","Category2","Four-Year")</f>
        <v>489767.35</v>
      </c>
      <c r="S237" s="15">
        <f>+GETPIVOTDATA("Grand Total FTE - Old",'FTE Pivot for regular counts'!$A$2,"State","TX","Category2","Two-Year")</f>
        <v>478458.10222222225</v>
      </c>
      <c r="T237" s="39">
        <f>+GETPIVOTDATA("Grand Total FTE - Old",'FTE Pivot for regular counts'!$A$2,"State","TX","Category2","Technical")</f>
        <v>0</v>
      </c>
      <c r="U237" s="88">
        <f t="shared" si="52"/>
        <v>968225.45222222223</v>
      </c>
      <c r="V237" s="408">
        <f t="shared" si="53"/>
        <v>14317.150000000081</v>
      </c>
      <c r="W237" s="409">
        <f t="shared" si="54"/>
        <v>-1580.6288888889831</v>
      </c>
      <c r="X237" s="410">
        <f t="shared" si="55"/>
        <v>0</v>
      </c>
      <c r="Y237" s="410">
        <f t="shared" si="56"/>
        <v>12736.521111111157</v>
      </c>
      <c r="Z237" s="215">
        <f t="shared" si="57"/>
        <v>2.9232552966219742E-2</v>
      </c>
      <c r="AA237" s="216">
        <f t="shared" si="58"/>
        <v>-3.3035889277403274E-3</v>
      </c>
      <c r="AB237" s="71">
        <f t="shared" si="50"/>
        <v>0</v>
      </c>
      <c r="AC237" s="71">
        <f t="shared" si="59"/>
        <v>1.3154499380158759E-2</v>
      </c>
      <c r="AI237" s="95"/>
      <c r="AJ237" s="95"/>
      <c r="AK237" s="95"/>
      <c r="AL237" s="95"/>
    </row>
    <row r="238" spans="1:83" ht="15" customHeight="1">
      <c r="A238" s="1" t="s">
        <v>78</v>
      </c>
      <c r="B238" s="15">
        <f>+GETPIVOTDATA("Grand Total FTE - New",'FTE Pivot for regular counts'!$A$2,"State","VA","Category2","Four-Year")</f>
        <v>196122.40916666665</v>
      </c>
      <c r="D238" s="15">
        <f>+GETPIVOTDATA("Grand Total FTE - New",'FTE Pivot for regular counts'!$A$2,"State","VA","Category2","Two-Year")</f>
        <v>115253.41666666667</v>
      </c>
      <c r="F238" s="39">
        <f>+GETPIVOTDATA("Grand Total FTE - New",'FTE Pivot for regular counts'!$A$2,"State","VA","Category2","Technical")</f>
        <v>0</v>
      </c>
      <c r="G238" s="37"/>
      <c r="H238" s="121">
        <f t="shared" si="51"/>
        <v>311375.82583333331</v>
      </c>
      <c r="I238" s="25"/>
      <c r="Q238" s="1" t="s">
        <v>78</v>
      </c>
      <c r="R238" s="15">
        <f>+GETPIVOTDATA("Grand Total FTE - Old",'FTE Pivot for regular counts'!$A$2,"State","VA","Category2","Four-Year")</f>
        <v>195486.60166666663</v>
      </c>
      <c r="S238" s="15">
        <f>+GETPIVOTDATA("Grand Total FTE - Old",'FTE Pivot for regular counts'!$A$2,"State","VA","Category2","Two-Year")</f>
        <v>120263.33333333333</v>
      </c>
      <c r="T238" s="39">
        <f>+GETPIVOTDATA("Grand Total FTE - Old",'FTE Pivot for regular counts'!$A$2,"State","VA","Category2","Technical")</f>
        <v>0</v>
      </c>
      <c r="U238" s="88">
        <f t="shared" si="52"/>
        <v>315749.93499999994</v>
      </c>
      <c r="V238" s="408">
        <f t="shared" si="53"/>
        <v>635.80750000002445</v>
      </c>
      <c r="W238" s="409">
        <f t="shared" si="54"/>
        <v>-5009.916666666657</v>
      </c>
      <c r="X238" s="410">
        <f t="shared" si="55"/>
        <v>0</v>
      </c>
      <c r="Y238" s="410">
        <f t="shared" si="56"/>
        <v>-4374.1091666666325</v>
      </c>
      <c r="Z238" s="215">
        <f t="shared" si="57"/>
        <v>3.2524351775482271E-3</v>
      </c>
      <c r="AA238" s="216">
        <f t="shared" si="58"/>
        <v>-4.1657889631087255E-2</v>
      </c>
      <c r="AB238" s="71">
        <f t="shared" si="50"/>
        <v>0</v>
      </c>
      <c r="AC238" s="71">
        <f t="shared" si="59"/>
        <v>-1.3853080180892621E-2</v>
      </c>
    </row>
    <row r="239" spans="1:83" ht="15" customHeight="1">
      <c r="A239" s="3" t="s">
        <v>79</v>
      </c>
      <c r="B239" s="6">
        <f>+GETPIVOTDATA("Grand Total FTE - New",'FTE Pivot for regular counts'!$A$2,"State","WV","Category2","Four-Year")</f>
        <v>57353.751666666663</v>
      </c>
      <c r="C239" s="3"/>
      <c r="D239" s="6">
        <f>+GETPIVOTDATA("Grand Total FTE - New",'FTE Pivot for regular counts'!$A$2,"State","WV","Category2","Two-Year")</f>
        <v>12141.189999999999</v>
      </c>
      <c r="E239" s="3"/>
      <c r="F239" s="40">
        <f>+GETPIVOTDATA("Grand Total FTE - New",'FTE Pivot for regular counts'!$A$2,"State","WV","Category2","Technical")</f>
        <v>0</v>
      </c>
      <c r="G239" s="38"/>
      <c r="H239" s="121">
        <f t="shared" si="51"/>
        <v>69494.941666666666</v>
      </c>
      <c r="I239" s="25"/>
      <c r="Q239" s="3" t="s">
        <v>79</v>
      </c>
      <c r="R239" s="6">
        <f>+GETPIVOTDATA("Grand Total FTE - Old",'FTE Pivot for regular counts'!$A$2,"State","WV","Category2","Four-Year")</f>
        <v>58628.908333333326</v>
      </c>
      <c r="S239" s="6">
        <f>+GETPIVOTDATA("Grand Total FTE - Old",'FTE Pivot for regular counts'!$A$2,"State","WV","Category2","Two-Year")</f>
        <v>13336.263333333332</v>
      </c>
      <c r="T239" s="40">
        <f>+GETPIVOTDATA("Grand Total FTE - Old",'FTE Pivot for regular counts'!$A$2,"State","WV","Category2","Technical")</f>
        <v>0</v>
      </c>
      <c r="U239" s="89">
        <f t="shared" si="52"/>
        <v>71965.171666666662</v>
      </c>
      <c r="V239" s="411">
        <f t="shared" si="53"/>
        <v>-1275.1566666666622</v>
      </c>
      <c r="W239" s="412">
        <f t="shared" si="54"/>
        <v>-1195.0733333333337</v>
      </c>
      <c r="X239" s="412">
        <f t="shared" si="55"/>
        <v>0</v>
      </c>
      <c r="Y239" s="413">
        <f t="shared" si="56"/>
        <v>-2470.2299999999959</v>
      </c>
      <c r="Z239" s="85">
        <f t="shared" si="57"/>
        <v>-2.1749623230519457E-2</v>
      </c>
      <c r="AA239" s="86">
        <f t="shared" si="58"/>
        <v>-8.9610808024936553E-2</v>
      </c>
      <c r="AB239" s="86">
        <f t="shared" si="50"/>
        <v>0</v>
      </c>
      <c r="AC239" s="86">
        <f t="shared" si="59"/>
        <v>-3.4325354095475248E-2</v>
      </c>
    </row>
    <row r="240" spans="1:83" ht="15" customHeight="1">
      <c r="A240" s="372"/>
      <c r="B240" s="373"/>
      <c r="C240" s="373"/>
      <c r="D240" s="373"/>
      <c r="E240" s="373"/>
      <c r="F240" s="373"/>
      <c r="G240" s="373"/>
      <c r="H240" s="374"/>
      <c r="I240" s="15"/>
      <c r="J240" s="102"/>
      <c r="K240" s="102"/>
      <c r="P240" s="25"/>
      <c r="Q240" s="25"/>
      <c r="R240" s="25"/>
      <c r="S240" s="25"/>
      <c r="T240" s="25"/>
      <c r="U240" s="25"/>
      <c r="V240" s="26"/>
      <c r="W240" s="26"/>
      <c r="X240" s="26"/>
      <c r="Y240" s="26"/>
      <c r="Z240" s="25"/>
      <c r="AA240" s="25"/>
      <c r="AB240" s="25"/>
      <c r="AC240" s="25"/>
      <c r="AD240" s="25"/>
      <c r="AE240" s="25"/>
      <c r="AF240" s="25"/>
      <c r="AG240" s="25"/>
      <c r="AH240" s="25"/>
      <c r="AI240" s="25"/>
      <c r="AJ240" s="25"/>
      <c r="AK240" s="25"/>
      <c r="AL240" s="25"/>
      <c r="AM240" s="25"/>
      <c r="AN240" s="25"/>
      <c r="AO240" s="25"/>
      <c r="AP240" s="25"/>
      <c r="AQ240" s="25"/>
      <c r="AR240" s="25"/>
      <c r="AS240" s="25"/>
      <c r="AT240" s="25"/>
      <c r="AU240" s="25"/>
      <c r="AV240" s="25"/>
      <c r="AW240" s="25"/>
      <c r="AX240" s="25"/>
      <c r="AY240" s="25"/>
      <c r="AZ240" s="25"/>
      <c r="BA240" s="25"/>
      <c r="BB240" s="25"/>
      <c r="BC240" s="25"/>
      <c r="BD240" s="25"/>
      <c r="BE240" s="25"/>
      <c r="BF240" s="25"/>
      <c r="BG240" s="25"/>
      <c r="BH240" s="25"/>
      <c r="BI240" s="25"/>
      <c r="BJ240" s="25"/>
      <c r="BK240" s="25"/>
      <c r="BL240" s="25"/>
      <c r="BM240" s="25"/>
      <c r="BN240" s="25"/>
      <c r="BO240" s="25"/>
      <c r="BP240" s="25"/>
      <c r="BQ240" s="25"/>
      <c r="BR240" s="25"/>
      <c r="BS240" s="25"/>
      <c r="BT240" s="25"/>
      <c r="BU240" s="25"/>
      <c r="BV240" s="25"/>
      <c r="BW240" s="25"/>
      <c r="BX240" s="25"/>
      <c r="BY240" s="25"/>
      <c r="BZ240" s="25"/>
      <c r="CA240" s="25"/>
      <c r="CB240" s="25"/>
      <c r="CC240" s="25"/>
      <c r="CD240" s="25"/>
      <c r="CE240" s="25"/>
    </row>
    <row r="241" spans="2:83" s="25" customFormat="1" ht="20.25" customHeight="1">
      <c r="B241" s="15"/>
      <c r="C241" s="15"/>
      <c r="D241" s="15"/>
      <c r="E241" s="15"/>
      <c r="F241" s="15"/>
      <c r="G241" s="15"/>
      <c r="H241" s="102"/>
      <c r="J241" s="4"/>
      <c r="K241" s="4"/>
      <c r="L241" s="102"/>
      <c r="M241" s="102"/>
      <c r="P241" s="1"/>
      <c r="Q241" s="101"/>
      <c r="R241" s="1"/>
      <c r="S241" s="94"/>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row>
    <row r="242" spans="2:83" ht="71.25" customHeight="1">
      <c r="H242" s="168"/>
      <c r="Q242" s="42"/>
    </row>
    <row r="257" spans="14:20">
      <c r="P257" s="25"/>
      <c r="Q257" s="25"/>
      <c r="R257" s="25"/>
      <c r="S257" s="25"/>
      <c r="T257" s="25"/>
    </row>
    <row r="258" spans="14:20">
      <c r="N258" s="25"/>
      <c r="O258" s="25"/>
      <c r="P258" s="25"/>
      <c r="Q258" s="25"/>
      <c r="R258" s="25"/>
      <c r="S258" s="25"/>
      <c r="T258" s="25"/>
    </row>
    <row r="259" spans="14:20">
      <c r="N259" s="25"/>
      <c r="O259" s="25"/>
      <c r="P259" s="25"/>
      <c r="Q259" s="25"/>
      <c r="R259" s="25"/>
      <c r="S259" s="25"/>
      <c r="T259" s="25"/>
    </row>
    <row r="260" spans="14:20">
      <c r="N260" s="25"/>
      <c r="O260" s="25"/>
      <c r="P260" s="25"/>
      <c r="Q260" s="25"/>
      <c r="R260" s="25"/>
      <c r="S260" s="25"/>
      <c r="T260" s="25"/>
    </row>
    <row r="261" spans="14:20">
      <c r="N261" s="25"/>
      <c r="O261" s="25"/>
      <c r="P261" s="25"/>
      <c r="Q261" s="25"/>
      <c r="R261" s="25"/>
      <c r="S261" s="25"/>
      <c r="T261" s="25"/>
    </row>
    <row r="262" spans="14:20">
      <c r="N262" s="25"/>
      <c r="O262" s="25"/>
      <c r="P262" s="25"/>
      <c r="Q262" s="25"/>
      <c r="R262" s="25"/>
      <c r="S262" s="25"/>
      <c r="T262" s="25"/>
    </row>
    <row r="263" spans="14:20">
      <c r="N263" s="25"/>
      <c r="O263" s="25"/>
      <c r="P263" s="25"/>
      <c r="Q263" s="25"/>
      <c r="R263" s="25"/>
      <c r="S263" s="25"/>
      <c r="T263" s="25"/>
    </row>
    <row r="264" spans="14:20">
      <c r="N264" s="25"/>
      <c r="O264" s="25"/>
      <c r="P264" s="25"/>
      <c r="Q264" s="25"/>
      <c r="R264" s="25"/>
      <c r="S264" s="25"/>
      <c r="T264" s="25"/>
    </row>
    <row r="265" spans="14:20">
      <c r="N265" s="25"/>
      <c r="O265" s="25"/>
      <c r="P265" s="25"/>
      <c r="Q265" s="25"/>
      <c r="R265" s="25"/>
      <c r="S265" s="25"/>
      <c r="T265" s="25"/>
    </row>
    <row r="266" spans="14:20">
      <c r="N266" s="25"/>
      <c r="O266" s="25"/>
    </row>
  </sheetData>
  <mergeCells count="13">
    <mergeCell ref="A212:G212"/>
    <mergeCell ref="A124:J124"/>
    <mergeCell ref="A126:J126"/>
    <mergeCell ref="A127:J127"/>
    <mergeCell ref="A152:I152"/>
    <mergeCell ref="A182:K182"/>
    <mergeCell ref="A122:I122"/>
    <mergeCell ref="A30:O30"/>
    <mergeCell ref="A94:J94"/>
    <mergeCell ref="A96:J96"/>
    <mergeCell ref="A97:J97"/>
    <mergeCell ref="A60:H60"/>
    <mergeCell ref="A91:H91"/>
  </mergeCells>
  <phoneticPr fontId="0" type="noConversion"/>
  <pageMargins left="0.25" right="1.02083333333333E-2" top="1" bottom="0.85" header="0.75" footer="0.5"/>
  <pageSetup scale="93" firstPageNumber="88" fitToHeight="7" orientation="landscape" useFirstPageNumber="1" r:id="rId1"/>
  <headerFooter alignWithMargins="0">
    <oddHeader>&amp;RSREB-State Data Exchange</oddHeader>
    <oddFooter>&amp;C&amp;10&amp;P</oddFooter>
  </headerFooter>
  <rowBreaks count="6" manualBreakCount="6">
    <brk id="31" max="14" man="1"/>
    <brk id="62" max="14" man="1"/>
    <brk id="93" max="14" man="1"/>
    <brk id="123" max="14" man="1"/>
    <brk id="153" max="14" man="1"/>
    <brk id="183"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S263"/>
  <sheetViews>
    <sheetView showZeros="0" view="pageBreakPreview" zoomScaleNormal="100" zoomScaleSheetLayoutView="100" workbookViewId="0">
      <selection activeCell="C11" sqref="C11"/>
    </sheetView>
  </sheetViews>
  <sheetFormatPr defaultRowHeight="12.75"/>
  <cols>
    <col min="1" max="1" width="15" style="1" customWidth="1"/>
    <col min="2" max="2" width="12.33203125" style="1" customWidth="1"/>
    <col min="3" max="3" width="11.83203125" style="1" customWidth="1"/>
    <col min="4" max="4" width="12.1640625" style="1" customWidth="1"/>
    <col min="5" max="5" width="10.83203125" style="1" customWidth="1"/>
    <col min="6" max="6" width="12.1640625" style="1" customWidth="1"/>
    <col min="7" max="7" width="10" style="1" customWidth="1"/>
    <col min="8" max="8" width="12" style="4" customWidth="1"/>
    <col min="9" max="9" width="12.6640625" style="1" customWidth="1"/>
    <col min="10" max="10" width="11.6640625" style="4" customWidth="1"/>
    <col min="11" max="11" width="10" style="4" customWidth="1"/>
    <col min="12" max="12" width="10.5" style="4" customWidth="1"/>
    <col min="13" max="13" width="10" style="73" customWidth="1"/>
    <col min="14" max="14" width="12.1640625" style="1" customWidth="1"/>
    <col min="15" max="15" width="10" style="1" customWidth="1"/>
    <col min="16" max="16384" width="9.33203125" style="1"/>
  </cols>
  <sheetData>
    <row r="1" spans="1:17" ht="18">
      <c r="A1" s="41" t="s">
        <v>163</v>
      </c>
      <c r="B1" s="20"/>
      <c r="C1" s="20"/>
      <c r="D1" s="20"/>
      <c r="E1" s="20"/>
      <c r="F1" s="20"/>
      <c r="G1" s="20"/>
      <c r="H1" s="103"/>
      <c r="I1" s="20"/>
      <c r="J1" s="103"/>
      <c r="K1" s="103"/>
      <c r="L1" s="103"/>
      <c r="M1" s="220"/>
      <c r="N1" s="17"/>
      <c r="O1" s="22"/>
    </row>
    <row r="2" spans="1:17" ht="15.75">
      <c r="A2" s="21"/>
      <c r="B2" s="21"/>
      <c r="C2" s="21"/>
      <c r="D2" s="21"/>
      <c r="E2" s="21"/>
      <c r="F2" s="21"/>
      <c r="G2" s="21"/>
      <c r="H2" s="104"/>
      <c r="I2" s="21"/>
      <c r="J2" s="104"/>
      <c r="K2" s="104"/>
      <c r="L2" s="104"/>
      <c r="M2" s="193"/>
      <c r="N2" s="221"/>
      <c r="O2" s="22"/>
    </row>
    <row r="3" spans="1:17" ht="15.75">
      <c r="A3" s="109" t="s">
        <v>32</v>
      </c>
      <c r="B3" s="22"/>
      <c r="C3" s="22"/>
      <c r="D3" s="22"/>
      <c r="E3" s="22"/>
      <c r="F3" s="22"/>
      <c r="G3" s="22"/>
      <c r="H3" s="105"/>
      <c r="I3" s="22"/>
      <c r="J3" s="105"/>
      <c r="K3" s="105"/>
      <c r="L3" s="105"/>
      <c r="M3" s="169"/>
      <c r="N3" s="22"/>
      <c r="O3" s="221"/>
    </row>
    <row r="4" spans="1:17" ht="15.75">
      <c r="A4" s="109" t="s">
        <v>253</v>
      </c>
      <c r="B4" s="22"/>
      <c r="C4" s="22"/>
      <c r="D4" s="22"/>
      <c r="E4" s="22"/>
      <c r="F4" s="22"/>
      <c r="G4" s="22"/>
      <c r="H4" s="105"/>
      <c r="I4" s="22"/>
      <c r="J4" s="105"/>
      <c r="K4" s="105"/>
      <c r="L4" s="105"/>
      <c r="M4" s="169"/>
      <c r="N4" s="222"/>
      <c r="O4" s="22"/>
    </row>
    <row r="5" spans="1:17" ht="15.75" customHeight="1">
      <c r="B5" s="2"/>
      <c r="C5" s="2"/>
      <c r="D5" s="2"/>
      <c r="E5" s="2"/>
      <c r="F5" s="2"/>
      <c r="G5" s="2"/>
      <c r="H5" s="106"/>
      <c r="I5" s="2"/>
      <c r="J5" s="106"/>
      <c r="K5" s="106"/>
      <c r="L5" s="106"/>
      <c r="M5" s="186"/>
    </row>
    <row r="6" spans="1:17" ht="15" customHeight="1">
      <c r="A6" s="44"/>
      <c r="B6" s="838" t="s">
        <v>62</v>
      </c>
      <c r="C6" s="839"/>
      <c r="D6" s="839"/>
      <c r="E6" s="839"/>
      <c r="F6" s="839"/>
      <c r="G6" s="839"/>
      <c r="H6" s="107"/>
      <c r="I6" s="164"/>
      <c r="J6" s="164"/>
      <c r="K6" s="164"/>
      <c r="L6" s="164"/>
      <c r="M6" s="164"/>
      <c r="N6" s="164"/>
      <c r="O6" s="164"/>
    </row>
    <row r="7" spans="1:17" ht="17.25" customHeight="1">
      <c r="A7" s="45"/>
      <c r="B7" s="184">
        <v>1</v>
      </c>
      <c r="C7" s="22"/>
      <c r="D7" s="185">
        <v>2</v>
      </c>
      <c r="E7" s="22"/>
      <c r="F7" s="185">
        <v>3</v>
      </c>
      <c r="G7" s="22"/>
      <c r="H7" s="185">
        <v>4</v>
      </c>
      <c r="I7" s="65"/>
      <c r="J7" s="185">
        <v>5</v>
      </c>
      <c r="K7" s="65"/>
      <c r="L7" s="185">
        <v>6</v>
      </c>
      <c r="M7" s="187"/>
      <c r="N7" s="185" t="s">
        <v>30</v>
      </c>
      <c r="O7" s="65"/>
    </row>
    <row r="8" spans="1:17" ht="77.25" customHeight="1">
      <c r="A8" s="183"/>
      <c r="B8" s="189" t="s">
        <v>143</v>
      </c>
      <c r="C8" s="165" t="s">
        <v>22</v>
      </c>
      <c r="D8" s="190" t="s">
        <v>143</v>
      </c>
      <c r="E8" s="165" t="s">
        <v>22</v>
      </c>
      <c r="F8" s="190" t="s">
        <v>143</v>
      </c>
      <c r="G8" s="165" t="s">
        <v>22</v>
      </c>
      <c r="H8" s="190" t="s">
        <v>143</v>
      </c>
      <c r="I8" s="165" t="s">
        <v>22</v>
      </c>
      <c r="J8" s="190" t="s">
        <v>143</v>
      </c>
      <c r="K8" s="165" t="s">
        <v>22</v>
      </c>
      <c r="L8" s="190" t="s">
        <v>143</v>
      </c>
      <c r="M8" s="120" t="s">
        <v>22</v>
      </c>
      <c r="N8" s="190" t="s">
        <v>143</v>
      </c>
      <c r="O8" s="165" t="s">
        <v>22</v>
      </c>
      <c r="Q8" s="223"/>
    </row>
    <row r="9" spans="1:17" ht="15" customHeight="1">
      <c r="A9" s="1" t="s">
        <v>64</v>
      </c>
      <c r="B9" s="202">
        <f>+GETPIVOTDATA("Undergrad Student Credit Hour  FTE - Old",'FTE Pivot for regular counts'!$A$2,"Category",1,"Category2","Group1")</f>
        <v>943132.78333333333</v>
      </c>
      <c r="C9" s="249"/>
      <c r="D9" s="203">
        <f>+GETPIVOTDATA("Undergrad Student Credit Hour  FTE - Old",'FTE Pivot for regular counts'!$A$2,"Category",2,"Category2","Four-Year")</f>
        <v>187945.62666666662</v>
      </c>
      <c r="E9" s="249"/>
      <c r="F9" s="181">
        <f>+GETPIVOTDATA("Undergrad Student Credit Hour  FTE - Old",'FTE Pivot for regular counts'!$A$2,"Category",3,"Category2","Four-Year")</f>
        <v>576470.25000000012</v>
      </c>
      <c r="G9" s="249"/>
      <c r="H9" s="181">
        <f>+GETPIVOTDATA("Undergrad Student Credit Hour  FTE - Old",'FTE Pivot for regular counts'!$A$2,"Category",4,"Category2","Four-Year")</f>
        <v>144099.03333333335</v>
      </c>
      <c r="I9" s="249"/>
      <c r="J9" s="181">
        <f>+GETPIVOTDATA("Undergrad Student Credit Hour  FTE - Old",'FTE Pivot for regular counts'!$A$2,"Category",5,"Category2","Four-Year")</f>
        <v>89499.199999999983</v>
      </c>
      <c r="K9" s="249"/>
      <c r="L9" s="181">
        <f>+GETPIVOTDATA("Undergrad Student Credit Hour  FTE - Old",'FTE Pivot for regular counts'!$A$2,"Category",6,"Category2","Four-Year")</f>
        <v>72989.933333333349</v>
      </c>
      <c r="M9" s="249"/>
      <c r="N9" s="181">
        <f>+GETPIVOTDATA("Undergrad Student Credit Hour  FTE - Old",'FTE Pivot for regular counts'!$A$2,"Category2","Four-Year")</f>
        <v>2014136.8266666664</v>
      </c>
      <c r="O9" s="249"/>
    </row>
    <row r="10" spans="1:17" ht="12.75" customHeight="1">
      <c r="B10" s="5"/>
      <c r="C10" s="250" t="s">
        <v>171</v>
      </c>
      <c r="D10" s="181"/>
      <c r="E10" s="250" t="s">
        <v>172</v>
      </c>
      <c r="F10" s="181"/>
      <c r="G10" s="250" t="s">
        <v>173</v>
      </c>
      <c r="H10" s="181"/>
      <c r="I10" s="250" t="s">
        <v>174</v>
      </c>
      <c r="J10" s="181"/>
      <c r="K10" s="250" t="s">
        <v>175</v>
      </c>
      <c r="L10" s="181"/>
      <c r="M10" s="250" t="s">
        <v>176</v>
      </c>
      <c r="N10" s="181"/>
      <c r="O10" s="250" t="s">
        <v>177</v>
      </c>
    </row>
    <row r="11" spans="1:17" ht="15" customHeight="1">
      <c r="A11" s="1" t="s">
        <v>65</v>
      </c>
      <c r="B11" s="5">
        <f>+GETPIVOTDATA("Undergrad Student Credit Hour  FTE - Old",'FTE Pivot for regular counts'!$A$2,"State","AL","Category",1,"Category2","Four-Year")</f>
        <v>48146.766666666663</v>
      </c>
      <c r="C11" s="166">
        <f>+GETPIVOTDATA("Sum of Old-HS % of Total",'Pivot-HS Student % of Undergrad'!$A$3,"State","AL","Category",1,"Category2","Four-Year")</f>
        <v>3.1230896086480021E-3</v>
      </c>
      <c r="D11" s="181">
        <f>+GETPIVOTDATA("Undergrad Student Credit Hour  FTE - Old",'FTE Pivot for regular counts'!$A$2,"State","AL","Category",2,"Category2","Four-Year")</f>
        <v>13713.566666666668</v>
      </c>
      <c r="E11" s="166">
        <f>+GETPIVOTDATA("Sum of Old-HS % of Total",'Pivot-HS Student % of Undergrad'!$A$3,"State","AL","Category",2,"Category2","Four-Year")</f>
        <v>1.1399903258816695E-3</v>
      </c>
      <c r="F11" s="181">
        <f>+GETPIVOTDATA("Undergrad Student Credit Hour  FTE - Old",'FTE Pivot for regular counts'!$A$2,"State","AL","Category",3,"Category2","Four-Year")</f>
        <v>28293.299999999996</v>
      </c>
      <c r="G11" s="166">
        <f>+GETPIVOTDATA("Sum of Old-HS % of Total",'Pivot-HS Student % of Undergrad'!$A$3,"State","AL","Category",3,"Category2","Four-Year")</f>
        <v>4.5263955306262139E-3</v>
      </c>
      <c r="H11" s="181">
        <f>+GETPIVOTDATA("Undergrad Student Credit Hour  FTE - Old",'FTE Pivot for regular counts'!$A$2,"State","AL","Category",4,"Category2","Four-Year")</f>
        <v>13666.4</v>
      </c>
      <c r="I11" s="166">
        <f>+GETPIVOTDATA("Sum of Old-HS % of Total",'Pivot-HS Student % of Undergrad'!$A$3,"State","AL","Category",4,"Category2","Four-Year")</f>
        <v>5.3147378485433865E-3</v>
      </c>
      <c r="J11" s="181">
        <f>+GETPIVOTDATA("Undergrad Student Credit Hour  FTE - Old",'FTE Pivot for regular counts'!$A$2,"State","AL","Category",5,"Category2","Four-Year")</f>
        <v>4196.2333333333336</v>
      </c>
      <c r="K11" s="166">
        <f>+GETPIVOTDATA("Sum of Old-HS % of Total",'Pivot-HS Student % of Undergrad'!$A$3,"State","AL","Category",5,"Category2","Four-Year")</f>
        <v>6.1007093663364761E-3</v>
      </c>
      <c r="L11" s="181">
        <f>+GETPIVOTDATA("Undergrad Student Credit Hour  FTE - Old",'FTE Pivot for regular counts'!$A$2,"State","AL","Category",6,"Category2","Four-Year")</f>
        <v>2445.6999999999998</v>
      </c>
      <c r="M11" s="166">
        <f>+GETPIVOTDATA("Sum of Old-HS % of Total",'Pivot-HS Student % of Undergrad'!$A$3,"State","AL","Category",6,"Category2","Four-Year")</f>
        <v>0</v>
      </c>
      <c r="N11" s="181">
        <f>+GETPIVOTDATA("Undergrad Student Credit Hour  FTE - Old",'FTE Pivot for regular counts'!$A$2,"State","AL","Category2","Four-Year")</f>
        <v>110461.96666666666</v>
      </c>
      <c r="O11" s="166">
        <f>+GETPIVOTDATA("Sum of Old-HS % of Total",'Pivot-HS Student % of Undergrad'!$A$3,"State","AL","Category2","Group1")</f>
        <v>3.551448628321241E-3</v>
      </c>
    </row>
    <row r="12" spans="1:17" ht="15" customHeight="1">
      <c r="A12" s="4" t="s">
        <v>66</v>
      </c>
      <c r="B12" s="5">
        <f>+GETPIVOTDATA("Undergrad Student Credit Hour  FTE - Old",'FTE Pivot for regular counts'!$A$2,"State","AR","Category",1,"Category2","Four-Year")</f>
        <v>20712.566666666666</v>
      </c>
      <c r="C12" s="166">
        <f>+GETPIVOTDATA("Sum of Old-HS % of Total",'Pivot-HS Student % of Undergrad'!$A$3,"State","AR","Category",1,"Category2","Four-Year")</f>
        <v>7.0923127183658233E-3</v>
      </c>
      <c r="D12" s="181">
        <f>+GETPIVOTDATA("Undergrad Student Credit Hour  FTE - Old",'FTE Pivot for regular counts'!$A$2,"State","AR","Category",2,"Category2","Four-Year")</f>
        <v>7197.166666666667</v>
      </c>
      <c r="E12" s="166">
        <f>+GETPIVOTDATA("Sum of Old-HS % of Total",'Pivot-HS Student % of Undergrad'!$A$3,"State","AR","Category",2,"Category2","Four-Year")</f>
        <v>7.6516221661301898E-2</v>
      </c>
      <c r="F12" s="181">
        <f>+GETPIVOTDATA("Undergrad Student Credit Hour  FTE - Old",'FTE Pivot for regular counts'!$A$2,"State","AR","Category",3,"Category2","Four-Year")</f>
        <v>25647.833333333336</v>
      </c>
      <c r="G12" s="166">
        <f>+GETPIVOTDATA("Sum of Old-HS % of Total",'Pivot-HS Student % of Undergrad'!$A$3,"State","AR","Category",3,"Category2","Four-Year")</f>
        <v>2.1374125169767427E-2</v>
      </c>
      <c r="H12" s="181">
        <f>+GETPIVOTDATA("Undergrad Student Credit Hour  FTE - Old",'FTE Pivot for regular counts'!$A$2,"State","AR","Category",4,"Category2","Four-Year")</f>
        <v>5882.7666666666664</v>
      </c>
      <c r="I12" s="166">
        <f>+GETPIVOTDATA("Sum of Old-HS % of Total",'Pivot-HS Student % of Undergrad'!$A$3,"State","AR","Category",4,"Category2","Four-Year")</f>
        <v>1.0612920224610869E-2</v>
      </c>
      <c r="J12" s="181">
        <f>+GETPIVOTDATA("Undergrad Student Credit Hour  FTE - Old",'FTE Pivot for regular counts'!$A$2,"State","AR","Category",5,"Category2","Four-Year")</f>
        <v>2315.1999999999998</v>
      </c>
      <c r="K12" s="166">
        <f>+GETPIVOTDATA("Sum of Old-HS % of Total",'Pivot-HS Student % of Undergrad'!$A$3,"State","AR","Category",5,"Category2","Four-Year")</f>
        <v>8.0511402902557011E-2</v>
      </c>
      <c r="L12" s="181">
        <f>+GETPIVOTDATA("Undergrad Student Credit Hour  FTE - Old",'FTE Pivot for regular counts'!$A$2,"State","AR","Category",6,"Category2","Four-Year")</f>
        <v>8023.666666666667</v>
      </c>
      <c r="M12" s="166">
        <f>+GETPIVOTDATA("Sum of Old-HS % of Total",'Pivot-HS Student % of Undergrad'!$A$3,"State","AR","Category",6,"Category2","Four-Year")</f>
        <v>4.0924764239125916E-2</v>
      </c>
      <c r="N12" s="181">
        <f>+GETPIVOTDATA("Undergrad Student Credit Hour  FTE - Old",'FTE Pivot for regular counts'!$A$2,"State","AR","Category2","Four-Year")</f>
        <v>69779.199999999997</v>
      </c>
      <c r="O12" s="166">
        <f>+GETPIVOTDATA("Sum of Old-HS % of Total",'Pivot-HS Student % of Undergrad'!$A$3,"State","AR","Category2","Group1")</f>
        <v>2.6125263688892966E-2</v>
      </c>
    </row>
    <row r="13" spans="1:17" ht="15" customHeight="1">
      <c r="A13" s="1" t="s">
        <v>102</v>
      </c>
      <c r="B13" s="5">
        <f>+GETPIVOTDATA("Undergrad Student Credit Hour  FTE - Old",'FTE Pivot for regular counts'!$A$2,"State","DE","Category",1,"Category2","Four-Year")</f>
        <v>18452.366666666665</v>
      </c>
      <c r="C13" s="166">
        <f>+GETPIVOTDATA("Sum of Old-HS % of Total",'Pivot-HS Student % of Undergrad'!$A$3,"State","DE","Category",1,"Category2","Four-Year")</f>
        <v>0</v>
      </c>
      <c r="D13" s="181">
        <f>+GETPIVOTDATA("Undergrad Student Credit Hour  FTE - Old",'FTE Pivot for regular counts'!$A$2,"State","DE","Category",2,"Category2","Four-Year")</f>
        <v>0</v>
      </c>
      <c r="E13" s="166">
        <f>+GETPIVOTDATA("Sum of Old-HS % of Total",'Pivot-HS Student % of Undergrad'!$A$3,"State","DE","Category",2,"Category2","Four-Year")</f>
        <v>0</v>
      </c>
      <c r="F13" s="181">
        <f>+GETPIVOTDATA("Undergrad Student Credit Hour  FTE - Old",'FTE Pivot for regular counts'!$A$2,"State","DE","Category",3,"Category2","Four-Year")</f>
        <v>3852.4666666666667</v>
      </c>
      <c r="G13" s="166">
        <f>+GETPIVOTDATA("Sum of Old-HS % of Total",'Pivot-HS Student % of Undergrad'!$A$3,"State","DE","Category",3,"Category2","Four-Year")</f>
        <v>0</v>
      </c>
      <c r="H13" s="181">
        <f>+GETPIVOTDATA("Undergrad Student Credit Hour  FTE - Old",'FTE Pivot for regular counts'!$A$2,"State","DE","Category",4,"Category2","Four-Year")</f>
        <v>0</v>
      </c>
      <c r="I13" s="166">
        <f>+GETPIVOTDATA("Sum of Old-HS % of Total",'Pivot-HS Student % of Undergrad'!$A$3,"State","DE","Category",4,"Category2","Four-Year")</f>
        <v>0</v>
      </c>
      <c r="J13" s="181">
        <f>+GETPIVOTDATA("Undergrad Student Credit Hour  FTE - Old",'FTE Pivot for regular counts'!$A$2,"State","DE","Category",5,"Category2","Four-Year")</f>
        <v>0</v>
      </c>
      <c r="K13" s="166">
        <f>+GETPIVOTDATA("Sum of Old-HS % of Total",'Pivot-HS Student % of Undergrad'!$A$3,"State","DE","Category",5,"Category2","Four-Year")</f>
        <v>0</v>
      </c>
      <c r="L13" s="181">
        <f>+GETPIVOTDATA("Undergrad Student Credit Hour  FTE - Old",'FTE Pivot for regular counts'!$A$2,"State","DE","Category",6,"Category2","Four-Year")</f>
        <v>0</v>
      </c>
      <c r="M13" s="166">
        <f>+GETPIVOTDATA("Sum of Old-HS % of Total",'Pivot-HS Student % of Undergrad'!$A$3,"State","DE","Category",6,"Category2","Four-Year")</f>
        <v>0</v>
      </c>
      <c r="N13" s="181">
        <f>+GETPIVOTDATA("Undergrad Student Credit Hour  FTE - Old",'FTE Pivot for regular counts'!$A$2,"State","DE","Category2","Four-Year")</f>
        <v>22304.833333333332</v>
      </c>
      <c r="O13" s="166">
        <f>+GETPIVOTDATA("Sum of Old-HS % of Total",'Pivot-HS Student % of Undergrad'!$A$3,"State","DE","Category2","Group1")</f>
        <v>0</v>
      </c>
    </row>
    <row r="14" spans="1:17" ht="15" customHeight="1">
      <c r="A14" s="1" t="s">
        <v>67</v>
      </c>
      <c r="B14" s="5">
        <f>+GETPIVOTDATA("Undergrad Student Credit Hour  FTE - Old",'FTE Pivot for regular counts'!$A$2,"State","FL","Category",1,"Category2","Four-Year")</f>
        <v>200232.78333333333</v>
      </c>
      <c r="C14" s="166">
        <f>+GETPIVOTDATA("Sum of Old-HS % of Total",'Pivot-HS Student % of Undergrad'!$A$3,"State","FL","Category",1,"Category2","Four-Year")</f>
        <v>9.4505004050701984E-3</v>
      </c>
      <c r="D14" s="181">
        <f>+GETPIVOTDATA("Undergrad Student Credit Hour  FTE - Old",'FTE Pivot for regular counts'!$A$2,"State","FL","Category",2,"Category2","Four-Year")</f>
        <v>0</v>
      </c>
      <c r="E14" s="166">
        <f>+GETPIVOTDATA("Sum of Old-HS % of Total",'Pivot-HS Student % of Undergrad'!$A$3,"State","FL","Category",2,"Category2","Four-Year")</f>
        <v>0</v>
      </c>
      <c r="F14" s="181">
        <f>+GETPIVOTDATA("Undergrad Student Credit Hour  FTE - Old",'FTE Pivot for regular counts'!$A$2,"State","FL","Category",3,"Category2","Four-Year")</f>
        <v>29244.666666666668</v>
      </c>
      <c r="G14" s="166">
        <f>+GETPIVOTDATA("Sum of Old-HS % of Total",'Pivot-HS Student % of Undergrad'!$A$3,"State","FL","Category",3,"Category2","Four-Year")</f>
        <v>1.2868443248911482E-3</v>
      </c>
      <c r="H14" s="181">
        <f>+GETPIVOTDATA("Undergrad Student Credit Hour  FTE - Old",'FTE Pivot for regular counts'!$A$2,"State","FL","Category",4,"Category2","Four-Year")</f>
        <v>11217.1</v>
      </c>
      <c r="I14" s="166">
        <f>+GETPIVOTDATA("Sum of Old-HS % of Total",'Pivot-HS Student % of Undergrad'!$A$3,"State","FL","Category",4,"Category2","Four-Year")</f>
        <v>1.0044188486031743E-3</v>
      </c>
      <c r="J14" s="181">
        <f>+GETPIVOTDATA("Undergrad Student Credit Hour  FTE - Old",'FTE Pivot for regular counts'!$A$2,"State","FL","Category",5,"Category2","Four-Year")</f>
        <v>0</v>
      </c>
      <c r="K14" s="166">
        <f>+GETPIVOTDATA("Sum of Old-HS % of Total",'Pivot-HS Student % of Undergrad'!$A$3,"State","FL","Category",5,"Category2","Four-Year")</f>
        <v>0</v>
      </c>
      <c r="L14" s="181">
        <f>+GETPIVOTDATA("Undergrad Student Credit Hour  FTE - Old",'FTE Pivot for regular counts'!$A$2,"State","FL","Category",6,"Category2","Four-Year")</f>
        <v>921.33333333333337</v>
      </c>
      <c r="M14" s="166">
        <f>+GETPIVOTDATA("Sum of Old-HS % of Total",'Pivot-HS Student % of Undergrad'!$A$3,"State","FL","Category",6,"Category2","Four-Year")</f>
        <v>0</v>
      </c>
      <c r="N14" s="181">
        <f>+GETPIVOTDATA("Undergrad Student Credit Hour  FTE - Old",'FTE Pivot for regular counts'!$A$2,"State","FL","Category2","Four-Year")</f>
        <v>241615.88333333333</v>
      </c>
      <c r="O14" s="166">
        <f>+GETPIVOTDATA("Sum of Old-HS % of Total",'Pivot-HS Student % of Undergrad'!$A$3,"State","FL","Category2","Group1")</f>
        <v>8.064993577960115E-3</v>
      </c>
    </row>
    <row r="15" spans="1:17" ht="15" customHeight="1">
      <c r="B15" s="5"/>
      <c r="C15" s="166"/>
      <c r="D15" s="181"/>
      <c r="E15" s="166"/>
      <c r="F15" s="181"/>
      <c r="G15" s="166"/>
      <c r="H15" s="181"/>
      <c r="I15" s="166"/>
      <c r="J15" s="181"/>
      <c r="K15" s="166"/>
      <c r="L15" s="181"/>
      <c r="M15" s="166"/>
      <c r="N15" s="181"/>
      <c r="O15" s="166"/>
    </row>
    <row r="16" spans="1:17" ht="15" customHeight="1">
      <c r="A16" s="1" t="s">
        <v>68</v>
      </c>
      <c r="B16" s="5">
        <f>+GETPIVOTDATA("Undergrad Student Credit Hour  FTE - Old",'FTE Pivot for regular counts'!$A$2,"State","GA","Category",1,"Category2","Four-Year")</f>
        <v>47548.983333333337</v>
      </c>
      <c r="C16" s="166">
        <f>+GETPIVOTDATA("Sum of Old-HS % of Total",'Pivot-HS Student % of Undergrad'!$A$3,"State","GA","Category",1,"Category2","Four-Year")</f>
        <v>2.2425996489935465E-3</v>
      </c>
      <c r="D16" s="181">
        <f>+GETPIVOTDATA("Undergrad Student Credit Hour  FTE - Old",'FTE Pivot for regular counts'!$A$2,"State","GA","Category",2,"Category2","Four-Year")</f>
        <v>14295.033333333333</v>
      </c>
      <c r="E16" s="166">
        <f>+GETPIVOTDATA("Sum of Old-HS % of Total",'Pivot-HS Student % of Undergrad'!$A$3,"State","GA","Category",2,"Category2","Four-Year")</f>
        <v>7.457135461966977E-3</v>
      </c>
      <c r="F16" s="181">
        <f>+GETPIVOTDATA("Undergrad Student Credit Hour  FTE - Old",'FTE Pivot for regular counts'!$A$2,"State","GA","Category",3,"Category2","Four-Year")</f>
        <v>58807.5</v>
      </c>
      <c r="G16" s="166">
        <f>+GETPIVOTDATA("Sum of Old-HS % of Total",'Pivot-HS Student % of Undergrad'!$A$3,"State","GA","Category",3,"Category2","Four-Year")</f>
        <v>6.9446924286868175E-3</v>
      </c>
      <c r="H16" s="181">
        <f>+GETPIVOTDATA("Undergrad Student Credit Hour  FTE - Old",'FTE Pivot for regular counts'!$A$2,"State","GA","Category",4,"Category2","Four-Year")</f>
        <v>45456.700000000004</v>
      </c>
      <c r="I16" s="166">
        <f>+GETPIVOTDATA("Sum of Old-HS % of Total",'Pivot-HS Student % of Undergrad'!$A$3,"State","GA","Category",4,"Category2","Four-Year")</f>
        <v>1.3699483977792786E-2</v>
      </c>
      <c r="J16" s="181">
        <f>+GETPIVOTDATA("Undergrad Student Credit Hour  FTE - Old",'FTE Pivot for regular counts'!$A$2,"State","GA","Category",5,"Category2","Four-Year")</f>
        <v>6611.6333333333332</v>
      </c>
      <c r="K16" s="166">
        <f>+GETPIVOTDATA("Sum of Old-HS % of Total",'Pivot-HS Student % of Undergrad'!$A$3,"State","GA","Category",5,"Category2","Four-Year")</f>
        <v>8.9892058946604222E-3</v>
      </c>
      <c r="L16" s="181">
        <f>+GETPIVOTDATA("Undergrad Student Credit Hour  FTE - Old",'FTE Pivot for regular counts'!$A$2,"State","GA","Category",6,"Category2","Four-Year")</f>
        <v>18904.800000000003</v>
      </c>
      <c r="M16" s="166">
        <f>+GETPIVOTDATA("Sum of Old-HS % of Total",'Pivot-HS Student % of Undergrad'!$A$3,"State","GA","Category",6,"Category2","Four-Year")</f>
        <v>2.3826400349822974E-2</v>
      </c>
      <c r="N16" s="181">
        <f>+GETPIVOTDATA("Undergrad Student Credit Hour  FTE - Old",'FTE Pivot for regular counts'!$A$2,"State","GA","Category2","Four-Year")</f>
        <v>191624.65000000002</v>
      </c>
      <c r="O16" s="166">
        <f>+GETPIVOTDATA("Sum of Old-HS % of Total",'Pivot-HS Student % of Undergrad'!$A$3,"State","GA","Category2","Group1")</f>
        <v>9.1545285710023915E-3</v>
      </c>
    </row>
    <row r="17" spans="1:15" ht="15" customHeight="1">
      <c r="A17" s="1" t="s">
        <v>69</v>
      </c>
      <c r="B17" s="5">
        <f>+GETPIVOTDATA("Undergrad Student Credit Hour  FTE - Old",'FTE Pivot for regular counts'!$A$2,"State","KY","Category",1,"Category2","Four-Year")</f>
        <v>33828.266666666663</v>
      </c>
      <c r="C17" s="166">
        <f>+GETPIVOTDATA("Sum of Old-HS % of Total",'Pivot-HS Student % of Undergrad'!$A$3,"State","KY","Category",1,"Category2","Four-Year")</f>
        <v>1.6268446112127136E-3</v>
      </c>
      <c r="D17" s="181">
        <f>+GETPIVOTDATA("Undergrad Student Credit Hour  FTE - Old",'FTE Pivot for regular counts'!$A$2,"State","KY","Category",2,"Category2","Four-Year")</f>
        <v>0</v>
      </c>
      <c r="E17" s="166">
        <f>+GETPIVOTDATA("Sum of Old-HS % of Total",'Pivot-HS Student % of Undergrad'!$A$3,"State","KY","Category",2,"Category2","Four-Year")</f>
        <v>0</v>
      </c>
      <c r="F17" s="181">
        <f>+GETPIVOTDATA("Undergrad Student Credit Hour  FTE - Old",'FTE Pivot for regular counts'!$A$2,"State","KY","Category",3,"Category2","Four-Year")</f>
        <v>51913.733333333337</v>
      </c>
      <c r="G17" s="166">
        <f>+GETPIVOTDATA("Sum of Old-HS % of Total",'Pivot-HS Student % of Undergrad'!$A$3,"State","KY","Category",3,"Category2","Four-Year")</f>
        <v>3.0176985922800131E-2</v>
      </c>
      <c r="H17" s="181">
        <f>+GETPIVOTDATA("Undergrad Student Credit Hour  FTE - Old",'FTE Pivot for regular counts'!$A$2,"State","KY","Category",4,"Category2","Four-Year")</f>
        <v>1571.4333333333334</v>
      </c>
      <c r="I17" s="166">
        <f>+GETPIVOTDATA("Sum of Old-HS % of Total",'Pivot-HS Student % of Undergrad'!$A$3,"State","KY","Category",4,"Category2","Four-Year")</f>
        <v>3.1181723691746387E-2</v>
      </c>
      <c r="J17" s="181">
        <f>+GETPIVOTDATA("Undergrad Student Credit Hour  FTE - Old",'FTE Pivot for regular counts'!$A$2,"State","KY","Category",5,"Category2","Four-Year")</f>
        <v>0</v>
      </c>
      <c r="K17" s="166">
        <f>+GETPIVOTDATA("Sum of Old-HS % of Total",'Pivot-HS Student % of Undergrad'!$A$3,"State","KY","Category",5,"Category2","Four-Year")</f>
        <v>0</v>
      </c>
      <c r="L17" s="181">
        <f>+GETPIVOTDATA("Undergrad Student Credit Hour  FTE - Old",'FTE Pivot for regular counts'!$A$2,"State","KY","Category",6,"Category2","Four-Year")</f>
        <v>0</v>
      </c>
      <c r="M17" s="166">
        <f>+GETPIVOTDATA("Sum of Old-HS % of Total",'Pivot-HS Student % of Undergrad'!$A$3,"State","KY","Category",6,"Category2","Four-Year")</f>
        <v>0</v>
      </c>
      <c r="N17" s="181">
        <f>+GETPIVOTDATA("Undergrad Student Credit Hour  FTE - Old",'FTE Pivot for regular counts'!$A$2,"State","KY","Category2","Four-Year")</f>
        <v>87313.433333333334</v>
      </c>
      <c r="O17" s="166">
        <f>+GETPIVOTDATA("Sum of Old-HS % of Total",'Pivot-HS Student % of Undergrad'!$A$3,"State","KY","Category2","Group1")</f>
        <v>1.9133749178725075E-2</v>
      </c>
    </row>
    <row r="18" spans="1:15" ht="15" customHeight="1">
      <c r="A18" s="1" t="s">
        <v>70</v>
      </c>
      <c r="B18" s="5">
        <f>+GETPIVOTDATA("Undergrad Student Credit Hour  FTE - Old",'FTE Pivot for regular counts'!$A$2,"State","LA","Category",1,"Category2","Four-Year")</f>
        <v>24214.2</v>
      </c>
      <c r="C18" s="166">
        <f>+GETPIVOTDATA("Sum of Old-HS % of Total",'Pivot-HS Student % of Undergrad'!$A$3,"State","LA","Category",1,"Category2","Four-Year")</f>
        <v>6.2896977806411111E-3</v>
      </c>
      <c r="D18" s="181">
        <f>+GETPIVOTDATA("Undergrad Student Credit Hour  FTE - Old",'FTE Pivot for regular counts'!$A$2,"State","LA","Category",2,"Category2","Four-Year")</f>
        <v>27217.166666666664</v>
      </c>
      <c r="E18" s="166">
        <f>+GETPIVOTDATA("Sum of Old-HS % of Total",'Pivot-HS Student % of Undergrad'!$A$3,"State","LA","Category",2,"Category2","Four-Year")</f>
        <v>2.5011175544846085E-2</v>
      </c>
      <c r="F18" s="181">
        <f>+GETPIVOTDATA("Undergrad Student Credit Hour  FTE - Old",'FTE Pivot for regular counts'!$A$2,"State","LA","Category",3,"Category2","Four-Year")</f>
        <v>21852.633333333335</v>
      </c>
      <c r="G18" s="166">
        <f>+GETPIVOTDATA("Sum of Old-HS % of Total",'Pivot-HS Student % of Undergrad'!$A$3,"State","LA","Category",3,"Category2","Four-Year")</f>
        <v>4.6532912128057796E-2</v>
      </c>
      <c r="H18" s="181">
        <f>+GETPIVOTDATA("Undergrad Student Credit Hour  FTE - Old",'FTE Pivot for regular counts'!$A$2,"State","LA","Category",4,"Category2","Four-Year")</f>
        <v>24508.066666666669</v>
      </c>
      <c r="I18" s="166">
        <f>+GETPIVOTDATA("Sum of Old-HS % of Total",'Pivot-HS Student % of Undergrad'!$A$3,"State","LA","Category",4,"Category2","Four-Year")</f>
        <v>3.1052360991347068E-2</v>
      </c>
      <c r="J18" s="181">
        <f>+GETPIVOTDATA("Undergrad Student Credit Hour  FTE - Old",'FTE Pivot for regular counts'!$A$2,"State","LA","Category",5,"Category2","Four-Year")</f>
        <v>2169.0666666666666</v>
      </c>
      <c r="K18" s="166">
        <f>+GETPIVOTDATA("Sum of Old-HS % of Total",'Pivot-HS Student % of Undergrad'!$A$3,"State","LA","Category",5,"Category2","Four-Year")</f>
        <v>2.1068969756577328E-2</v>
      </c>
      <c r="L18" s="181">
        <f>+GETPIVOTDATA("Undergrad Student Credit Hour  FTE - Old",'FTE Pivot for regular counts'!$A$2,"State","LA","Category",6,"Category2","Four-Year")</f>
        <v>1845.5</v>
      </c>
      <c r="M18" s="166">
        <f>+GETPIVOTDATA("Sum of Old-HS % of Total",'Pivot-HS Student % of Undergrad'!$A$3,"State","LA","Category",6,"Category2","Four-Year")</f>
        <v>6.2078930732412177E-2</v>
      </c>
      <c r="N18" s="181">
        <f>+GETPIVOTDATA("Undergrad Student Credit Hour  FTE - Old",'FTE Pivot for regular counts'!$A$2,"State","LA","Category2","Four-Year")</f>
        <v>101806.63333333333</v>
      </c>
      <c r="O18" s="166">
        <f>+GETPIVOTDATA("Sum of Old-HS % of Total",'Pivot-HS Student % of Undergrad'!$A$3,"State","LA","Category2","Group1")</f>
        <v>2.7220230246948546E-2</v>
      </c>
    </row>
    <row r="19" spans="1:15" ht="15" customHeight="1">
      <c r="A19" s="1" t="s">
        <v>71</v>
      </c>
      <c r="B19" s="5">
        <f>+GETPIVOTDATA("Undergrad Student Credit Hour  FTE - Old",'FTE Pivot for regular counts'!$A$2,"State","MD","Category",1,"Category2","Four-Year")</f>
        <v>26712.033333333333</v>
      </c>
      <c r="C19" s="166">
        <f>+GETPIVOTDATA("Sum of Old-HS % of Total",'Pivot-HS Student % of Undergrad'!$A$3,"State","MD","Category",1,"Category2","Four-Year")</f>
        <v>0</v>
      </c>
      <c r="D19" s="181">
        <f>+GETPIVOTDATA("Undergrad Student Credit Hour  FTE - Old",'FTE Pivot for regular counts'!$A$2,"State","MD","Category",2,"Category2","Four-Year")</f>
        <v>16543.533333333333</v>
      </c>
      <c r="E19" s="166">
        <f>+GETPIVOTDATA("Sum of Old-HS % of Total",'Pivot-HS Student % of Undergrad'!$A$3,"State","MD","Category",2,"Category2","Four-Year")</f>
        <v>0</v>
      </c>
      <c r="F19" s="181">
        <f>+GETPIVOTDATA("Undergrad Student Credit Hour  FTE - Old",'FTE Pivot for regular counts'!$A$2,"State","MD","Category",3,"Category2","Four-Year")</f>
        <v>17942.599999999999</v>
      </c>
      <c r="G19" s="166">
        <f>+GETPIVOTDATA("Sum of Old-HS % of Total",'Pivot-HS Student % of Undergrad'!$A$3,"State","MD","Category",3,"Category2","Four-Year")</f>
        <v>0</v>
      </c>
      <c r="H19" s="181">
        <f>+GETPIVOTDATA("Undergrad Student Credit Hour  FTE - Old",'FTE Pivot for regular counts'!$A$2,"State","MD","Category",4,"Category2","Four-Year")</f>
        <v>22486.033333333333</v>
      </c>
      <c r="I19" s="166">
        <f>+GETPIVOTDATA("Sum of Old-HS % of Total",'Pivot-HS Student % of Undergrad'!$A$3,"State","MD","Category",4,"Category2","Four-Year")</f>
        <v>0</v>
      </c>
      <c r="J19" s="181">
        <f>+GETPIVOTDATA("Undergrad Student Credit Hour  FTE - Old",'FTE Pivot for regular counts'!$A$2,"State","MD","Category",5,"Category2","Four-Year")</f>
        <v>2408.3000000000002</v>
      </c>
      <c r="K19" s="166">
        <f>+GETPIVOTDATA("Sum of Old-HS % of Total",'Pivot-HS Student % of Undergrad'!$A$3,"State","MD","Category",5,"Category2","Four-Year")</f>
        <v>0</v>
      </c>
      <c r="L19" s="181">
        <f>+GETPIVOTDATA("Undergrad Student Credit Hour  FTE - Old",'FTE Pivot for regular counts'!$A$2,"State","MD","Category",6,"Category2","Four-Year")</f>
        <v>1804.6833333333334</v>
      </c>
      <c r="M19" s="166">
        <f>+GETPIVOTDATA("Sum of Old-HS % of Total",'Pivot-HS Student % of Undergrad'!$A$3,"State","MD","Category",6,"Category2","Four-Year")</f>
        <v>0</v>
      </c>
      <c r="N19" s="181">
        <f>+GETPIVOTDATA("Undergrad Student Credit Hour  FTE - Old",'FTE Pivot for regular counts'!$A$2,"State","MD","Category2","Four-Year")</f>
        <v>87897.183333333334</v>
      </c>
      <c r="O19" s="166">
        <f>+GETPIVOTDATA("Sum of Old-HS % of Total",'Pivot-HS Student % of Undergrad'!$A$3,"State","MD","Category2","Group1")</f>
        <v>0</v>
      </c>
    </row>
    <row r="20" spans="1:15" ht="15" customHeight="1">
      <c r="B20" s="5"/>
      <c r="C20" s="166"/>
      <c r="D20" s="181"/>
      <c r="E20" s="166"/>
      <c r="F20" s="181"/>
      <c r="G20" s="166"/>
      <c r="H20" s="181"/>
      <c r="I20" s="166"/>
      <c r="J20" s="181"/>
      <c r="K20" s="166"/>
      <c r="L20" s="181"/>
      <c r="M20" s="166"/>
      <c r="N20" s="181"/>
      <c r="O20" s="166"/>
    </row>
    <row r="21" spans="1:15" ht="15" customHeight="1">
      <c r="A21" s="1" t="s">
        <v>72</v>
      </c>
      <c r="B21" s="5">
        <f>+GETPIVOTDATA("Undergrad Student Credit Hour  FTE - Old",'FTE Pivot for regular counts'!$A$2,"State","MS","Category",1,"Category2","Four-Year")</f>
        <v>26569.1</v>
      </c>
      <c r="C21" s="166">
        <f>+GETPIVOTDATA("Sum of Old-HS % of Total",'Pivot-HS Student % of Undergrad'!$A$3,"State","MS","Category",1,"Category2","Four-Year")</f>
        <v>0</v>
      </c>
      <c r="D21" s="181">
        <f>+GETPIVOTDATA("Undergrad Student Credit Hour  FTE - Old",'FTE Pivot for regular counts'!$A$2,"State","MS","Category",2,"Category2","Four-Year")</f>
        <v>22512.7</v>
      </c>
      <c r="E21" s="166">
        <f>+GETPIVOTDATA("Sum of Old-HS % of Total",'Pivot-HS Student % of Undergrad'!$A$3,"State","MS","Category",2,"Category2","Four-Year")</f>
        <v>0</v>
      </c>
      <c r="F21" s="181">
        <f>+GETPIVOTDATA("Undergrad Student Credit Hour  FTE - Old",'FTE Pivot for regular counts'!$A$2,"State","MS","Category",3,"Category2","Four-Year")</f>
        <v>0</v>
      </c>
      <c r="G21" s="166">
        <f>+GETPIVOTDATA("Sum of Old-HS % of Total",'Pivot-HS Student % of Undergrad'!$A$3,"State","MS","Category",3,"Category2","Four-Year")</f>
        <v>0</v>
      </c>
      <c r="H21" s="181">
        <f>+GETPIVOTDATA("Undergrad Student Credit Hour  FTE - Old",'FTE Pivot for regular counts'!$A$2,"State","MS","Category",4,"Category2","Four-Year")</f>
        <v>6839.7000000000007</v>
      </c>
      <c r="I21" s="166">
        <f>+GETPIVOTDATA("Sum of Old-HS % of Total",'Pivot-HS Student % of Undergrad'!$A$3,"State","MS","Category",4,"Category2","Four-Year")</f>
        <v>0</v>
      </c>
      <c r="J21" s="181">
        <f>+GETPIVOTDATA("Undergrad Student Credit Hour  FTE - Old",'FTE Pivot for regular counts'!$A$2,"State","MS","Category",5,"Category2","Four-Year")</f>
        <v>2309.0666666666666</v>
      </c>
      <c r="K21" s="166">
        <f>+GETPIVOTDATA("Sum of Old-HS % of Total",'Pivot-HS Student % of Undergrad'!$A$3,"State","MS","Category",5,"Category2","Four-Year")</f>
        <v>0</v>
      </c>
      <c r="L21" s="181">
        <f>+GETPIVOTDATA("Undergrad Student Credit Hour  FTE - Old",'FTE Pivot for regular counts'!$A$2,"State","MS","Category",6,"Category2","Four-Year")</f>
        <v>0</v>
      </c>
      <c r="M21" s="166">
        <f>+GETPIVOTDATA("Sum of Old-HS % of Total",'Pivot-HS Student % of Undergrad'!$A$3,"State","MS","Category",6,"Category2","Four-Year")</f>
        <v>0</v>
      </c>
      <c r="N21" s="181">
        <f>+GETPIVOTDATA("Undergrad Student Credit Hour  FTE - Old",'FTE Pivot for regular counts'!$A$2,"State","MS","Category2","Four-Year")</f>
        <v>58230.566666666666</v>
      </c>
      <c r="O21" s="166">
        <f>+GETPIVOTDATA("Sum of Old-HS % of Total",'Pivot-HS Student % of Undergrad'!$A$3,"State","MS","Category2","Group1")</f>
        <v>0</v>
      </c>
    </row>
    <row r="22" spans="1:15" ht="15" customHeight="1">
      <c r="A22" s="1" t="s">
        <v>73</v>
      </c>
      <c r="B22" s="5">
        <f>+GETPIVOTDATA("Undergrad Student Credit Hour  FTE - Old",'FTE Pivot for regular counts'!$A$2,"State","NC","Category",1,"Category2","Four-Year")</f>
        <v>73978.5</v>
      </c>
      <c r="C22" s="166">
        <f>+GETPIVOTDATA("Sum of Old-HS % of Total",'Pivot-HS Student % of Undergrad'!$A$3,"State","NC","Category",1,"Category2","Four-Year")</f>
        <v>1.1606975900655821E-3</v>
      </c>
      <c r="D22" s="181">
        <f>+GETPIVOTDATA("Undergrad Student Credit Hour  FTE - Old",'FTE Pivot for regular counts'!$A$2,"State","NC","Category",2,"Category2","Four-Year")</f>
        <v>19896.900000000001</v>
      </c>
      <c r="E22" s="166">
        <f>+GETPIVOTDATA("Sum of Old-HS % of Total",'Pivot-HS Student % of Undergrad'!$A$3,"State","NC","Category",2,"Category2","Four-Year")</f>
        <v>4.4328513487025614E-3</v>
      </c>
      <c r="F22" s="181">
        <f>+GETPIVOTDATA("Undergrad Student Credit Hour  FTE - Old",'FTE Pivot for regular counts'!$A$2,"State","NC","Category",3,"Category2","Four-Year")</f>
        <v>51487.4</v>
      </c>
      <c r="G22" s="166">
        <f>+GETPIVOTDATA("Sum of Old-HS % of Total",'Pivot-HS Student % of Undergrad'!$A$3,"State","NC","Category",3,"Category2","Four-Year")</f>
        <v>3.9556603492634443E-3</v>
      </c>
      <c r="H22" s="181">
        <f>+GETPIVOTDATA("Undergrad Student Credit Hour  FTE - Old",'FTE Pivot for regular counts'!$A$2,"State","NC","Category",4,"Category2","Four-Year")</f>
        <v>4952.833333333333</v>
      </c>
      <c r="I22" s="166">
        <f>+GETPIVOTDATA("Sum of Old-HS % of Total",'Pivot-HS Student % of Undergrad'!$A$3,"State","NC","Category",4,"Category2","Four-Year")</f>
        <v>3.1624995793653465E-2</v>
      </c>
      <c r="J22" s="181">
        <f>+GETPIVOTDATA("Undergrad Student Credit Hour  FTE - Old",'FTE Pivot for regular counts'!$A$2,"State","NC","Category",5,"Category2","Four-Year")</f>
        <v>9566.1666666666679</v>
      </c>
      <c r="K22" s="166">
        <f>+GETPIVOTDATA("Sum of Old-HS % of Total",'Pivot-HS Student % of Undergrad'!$A$3,"State","NC","Category",5,"Category2","Four-Year")</f>
        <v>0</v>
      </c>
      <c r="L22" s="181">
        <f>+GETPIVOTDATA("Undergrad Student Credit Hour  FTE - Old",'FTE Pivot for regular counts'!$A$2,"State","NC","Category",6,"Category2","Four-Year")</f>
        <v>5391.9333333333334</v>
      </c>
      <c r="M22" s="166">
        <f>+GETPIVOTDATA("Sum of Old-HS % of Total",'Pivot-HS Student % of Undergrad'!$A$3,"State","NC","Category",6,"Category2","Four-Year")</f>
        <v>0</v>
      </c>
      <c r="N22" s="181">
        <f>+GETPIVOTDATA("Undergrad Student Credit Hour  FTE - Old",'FTE Pivot for regular counts'!$A$2,"State","NC","Category2","Four-Year")</f>
        <v>165273.73333333331</v>
      </c>
      <c r="O22" s="166">
        <f>+GETPIVOTDATA("Sum of Old-HS % of Total",'Pivot-HS Student % of Undergrad'!$A$3,"State","NC","Category2","Group1")</f>
        <v>3.2332219759865048E-3</v>
      </c>
    </row>
    <row r="23" spans="1:15" ht="15" customHeight="1">
      <c r="A23" s="1" t="s">
        <v>74</v>
      </c>
      <c r="B23" s="5">
        <f>+GETPIVOTDATA("Undergrad Student Credit Hour  FTE - Old",'FTE Pivot for regular counts'!$A$2,"State","OK","Category",1,"Category2","Four-Year")</f>
        <v>39377</v>
      </c>
      <c r="C23" s="166">
        <f>+GETPIVOTDATA("Sum of Old-HS % of Total",'Pivot-HS Student % of Undergrad'!$A$3,"State","OK","Category",1,"Category2","Four-Year")</f>
        <v>0</v>
      </c>
      <c r="D23" s="181">
        <f>+GETPIVOTDATA("Undergrad Student Credit Hour  FTE - Old",'FTE Pivot for regular counts'!$A$2,"State","OK","Category",2,"Category2","Four-Year")</f>
        <v>0</v>
      </c>
      <c r="E23" s="166">
        <f>+GETPIVOTDATA("Sum of Old-HS % of Total",'Pivot-HS Student % of Undergrad'!$A$3,"State","OK","Category",2,"Category2","Four-Year")</f>
        <v>0</v>
      </c>
      <c r="F23" s="181">
        <f>+GETPIVOTDATA("Undergrad Student Credit Hour  FTE - Old",'FTE Pivot for regular counts'!$A$2,"State","OK","Category",3,"Category2","Four-Year")</f>
        <v>18091.733333333334</v>
      </c>
      <c r="G23" s="166">
        <f>+GETPIVOTDATA("Sum of Old-HS % of Total",'Pivot-HS Student % of Undergrad'!$A$3,"State","OK","Category",3,"Category2","Four-Year")</f>
        <v>0</v>
      </c>
      <c r="H23" s="181">
        <f>+GETPIVOTDATA("Undergrad Student Credit Hour  FTE - Old",'FTE Pivot for regular counts'!$A$2,"State","OK","Category",4,"Category2","Four-Year")</f>
        <v>2988.5</v>
      </c>
      <c r="I23" s="166">
        <f>+GETPIVOTDATA("Sum of Old-HS % of Total",'Pivot-HS Student % of Undergrad'!$A$3,"State","OK","Category",4,"Category2","Four-Year")</f>
        <v>0</v>
      </c>
      <c r="J23" s="181">
        <f>+GETPIVOTDATA("Undergrad Student Credit Hour  FTE - Old",'FTE Pivot for regular counts'!$A$2,"State","OK","Category",5,"Category2","Four-Year")</f>
        <v>14784.466666666667</v>
      </c>
      <c r="K23" s="166">
        <f>+GETPIVOTDATA("Sum of Old-HS % of Total",'Pivot-HS Student % of Undergrad'!$A$3,"State","OK","Category",5,"Category2","Four-Year")</f>
        <v>0</v>
      </c>
      <c r="L23" s="181">
        <f>+GETPIVOTDATA("Undergrad Student Credit Hour  FTE - Old",'FTE Pivot for regular counts'!$A$2,"State","OK","Category",6,"Category2","Four-Year")</f>
        <v>4942.7999999999993</v>
      </c>
      <c r="M23" s="166">
        <f>+GETPIVOTDATA("Sum of Old-HS % of Total",'Pivot-HS Student % of Undergrad'!$A$3,"State","OK","Category",6,"Category2","Four-Year")</f>
        <v>0</v>
      </c>
      <c r="N23" s="181">
        <f>+GETPIVOTDATA("Undergrad Student Credit Hour  FTE - Old",'FTE Pivot for regular counts'!$A$2,"State","OK","Category2","Four-Year")</f>
        <v>80184.500000000015</v>
      </c>
      <c r="O23" s="166">
        <f>+GETPIVOTDATA("Sum of Old-HS % of Total",'Pivot-HS Student % of Undergrad'!$A$3,"State","OK","Category2","Group1")</f>
        <v>0</v>
      </c>
    </row>
    <row r="24" spans="1:15" ht="15" customHeight="1">
      <c r="A24" s="1" t="s">
        <v>75</v>
      </c>
      <c r="B24" s="5">
        <f>+GETPIVOTDATA("Undergrad Student Credit Hour  FTE - Old",'FTE Pivot for regular counts'!$A$2,"State","SC","Category",1,"Category2","Four-Year")</f>
        <v>41640.866666666669</v>
      </c>
      <c r="C24" s="206">
        <f>+GETPIVOTDATA("Sum of Old-HS % of Total",'Pivot-HS Student % of Undergrad'!$A$3,"State","SC","Category",1,"Category2","Four-Year")</f>
        <v>4.9230483515392729E-4</v>
      </c>
      <c r="D24" s="181">
        <f>+GETPIVOTDATA("Undergrad Student Credit Hour  FTE - Old",'FTE Pivot for regular counts'!$A$2,"State","SC","Category",2,"Category2","Four-Year")</f>
        <v>0</v>
      </c>
      <c r="E24" s="166">
        <f>+GETPIVOTDATA("Sum of Old-HS % of Total",'Pivot-HS Student % of Undergrad'!$A$3,"State","SC","Category",2,"Category2","Four-Year")</f>
        <v>0</v>
      </c>
      <c r="F24" s="181">
        <f>+GETPIVOTDATA("Undergrad Student Credit Hour  FTE - Old",'FTE Pivot for regular counts'!$A$2,"State","SC","Category",3,"Category2","Four-Year")</f>
        <v>18158.433333333334</v>
      </c>
      <c r="G24" s="166">
        <f>+GETPIVOTDATA("Sum of Old-HS % of Total",'Pivot-HS Student % of Undergrad'!$A$3,"State","SC","Category",3,"Category2","Four-Year")</f>
        <v>4.1418176215919315E-3</v>
      </c>
      <c r="H24" s="181">
        <f>+GETPIVOTDATA("Undergrad Student Credit Hour  FTE - Old",'FTE Pivot for regular counts'!$A$2,"State","SC","Category",4,"Category2","Four-Year")</f>
        <v>0</v>
      </c>
      <c r="I24" s="166">
        <f>+GETPIVOTDATA("Sum of Old-HS % of Total",'Pivot-HS Student % of Undergrad'!$A$3,"State","SC","Category",4,"Category2","Four-Year")</f>
        <v>0</v>
      </c>
      <c r="J24" s="181">
        <f>+GETPIVOTDATA("Undergrad Student Credit Hour  FTE - Old",'FTE Pivot for regular counts'!$A$2,"State","SC","Category",5,"Category2","Four-Year")</f>
        <v>14808.633333333333</v>
      </c>
      <c r="K24" s="166">
        <f>+GETPIVOTDATA("Sum of Old-HS % of Total",'Pivot-HS Student % of Undergrad'!$A$3,"State","SC","Category",5,"Category2","Four-Year")</f>
        <v>1.3405789657510324E-2</v>
      </c>
      <c r="L24" s="181">
        <f>+GETPIVOTDATA("Undergrad Student Credit Hour  FTE - Old",'FTE Pivot for regular counts'!$A$2,"State","SC","Category",6,"Category2","Four-Year")</f>
        <v>11971.666666666668</v>
      </c>
      <c r="M24" s="166">
        <f>+GETPIVOTDATA("Sum of Old-HS % of Total",'Pivot-HS Student % of Undergrad'!$A$3,"State","SC","Category",6,"Category2","Four-Year")</f>
        <v>8.286231379646387E-3</v>
      </c>
      <c r="N24" s="181">
        <f>+GETPIVOTDATA("Undergrad Student Credit Hour  FTE - Old",'FTE Pivot for regular counts'!$A$2,"State","SC","Category2","Four-Year")</f>
        <v>86579.6</v>
      </c>
      <c r="O24" s="166">
        <f>+GETPIVOTDATA("Sum of Old-HS % of Total",'Pivot-HS Student % of Undergrad'!$A$3,"State","SC","Category2","Group1")</f>
        <v>3.1347613035517855E-3</v>
      </c>
    </row>
    <row r="25" spans="1:15" ht="15" customHeight="1">
      <c r="B25" s="5"/>
      <c r="C25" s="206"/>
      <c r="D25" s="181"/>
      <c r="E25" s="166"/>
      <c r="F25" s="181"/>
      <c r="G25" s="166"/>
      <c r="H25" s="181"/>
      <c r="I25" s="166"/>
      <c r="J25" s="181"/>
      <c r="K25" s="166"/>
      <c r="L25" s="181"/>
      <c r="M25" s="166"/>
      <c r="N25" s="181"/>
      <c r="O25" s="166"/>
    </row>
    <row r="26" spans="1:15" ht="15" customHeight="1">
      <c r="A26" s="1" t="s">
        <v>76</v>
      </c>
      <c r="B26" s="5">
        <f>+GETPIVOTDATA("Undergrad Student Credit Hour  FTE - Old",'FTE Pivot for regular counts'!$A$2,"State","TN","Category",1,"Category2","Four-Year")</f>
        <v>33874.6</v>
      </c>
      <c r="C26" s="166">
        <f>+GETPIVOTDATA("Sum of Old-HS % of Total",'Pivot-HS Student % of Undergrad'!$A$3,"State","TN","Category",1,"Category2","Four-Year")</f>
        <v>0</v>
      </c>
      <c r="D26" s="181">
        <f>+GETPIVOTDATA("Undergrad Student Credit Hour  FTE - Old",'FTE Pivot for regular counts'!$A$2,"State","TN","Category",2,"Category2","Four-Year")</f>
        <v>16685.633333333331</v>
      </c>
      <c r="E26" s="166">
        <f>+GETPIVOTDATA("Sum of Old-HS % of Total",'Pivot-HS Student % of Undergrad'!$A$3,"State","TN","Category",2,"Category2","Four-Year")</f>
        <v>6.2054085704648012E-3</v>
      </c>
      <c r="F26" s="181">
        <f>+GETPIVOTDATA("Undergrad Student Credit Hour  FTE - Old",'FTE Pivot for regular counts'!$A$2,"State","TN","Category",3,"Category2","Four-Year")</f>
        <v>44816.46666666666</v>
      </c>
      <c r="G26" s="166">
        <f>+GETPIVOTDATA("Sum of Old-HS % of Total",'Pivot-HS Student % of Undergrad'!$A$3,"State","TN","Category",3,"Category2","Four-Year")</f>
        <v>2.915595011952452E-3</v>
      </c>
      <c r="H26" s="181">
        <f>+GETPIVOTDATA("Undergrad Student Credit Hour  FTE - Old",'FTE Pivot for regular counts'!$A$2,"State","TN","Category",4,"Category2","Four-Year")</f>
        <v>0</v>
      </c>
      <c r="I26" s="166">
        <f>+GETPIVOTDATA("Sum of Old-HS % of Total",'Pivot-HS Student % of Undergrad'!$A$3,"State","TN","Category",4,"Category2","Four-Year")</f>
        <v>0</v>
      </c>
      <c r="J26" s="181">
        <f>+GETPIVOTDATA("Undergrad Student Credit Hour  FTE - Old",'FTE Pivot for regular counts'!$A$2,"State","TN","Category",5,"Category2","Four-Year")</f>
        <v>6334.5666666666666</v>
      </c>
      <c r="K26" s="166">
        <f>+GETPIVOTDATA("Sum of Old-HS % of Total",'Pivot-HS Student % of Undergrad'!$A$3,"State","TN","Category",5,"Category2","Four-Year")</f>
        <v>1.2187100406762894E-2</v>
      </c>
      <c r="L26" s="181">
        <f>+GETPIVOTDATA("Undergrad Student Credit Hour  FTE - Old",'FTE Pivot for regular counts'!$A$2,"State","TN","Category",6,"Category2","Four-Year")</f>
        <v>0</v>
      </c>
      <c r="M26" s="166">
        <f>+GETPIVOTDATA("Sum of Old-HS % of Total",'Pivot-HS Student % of Undergrad'!$A$3,"State","TN","Category",6,"Category2","Four-Year")</f>
        <v>0</v>
      </c>
      <c r="N26" s="181">
        <f>+GETPIVOTDATA("Undergrad Student Credit Hour  FTE - Old",'FTE Pivot for regular counts'!$A$2,"State","TN","Category2","Four-Year")</f>
        <v>101711.26666666665</v>
      </c>
      <c r="O26" s="166">
        <f>+GETPIVOTDATA("Sum of Old-HS % of Total",'Pivot-HS Student % of Undergrad'!$A$3,"State","TN","Category2","Group1")</f>
        <v>4.4278015743414688E-3</v>
      </c>
    </row>
    <row r="27" spans="1:15" ht="15" customHeight="1">
      <c r="A27" s="1" t="s">
        <v>77</v>
      </c>
      <c r="B27" s="5">
        <f>+GETPIVOTDATA("Undergrad Student Credit Hour  FTE - Old",'FTE Pivot for regular counts'!$A$2,"State","TX","Category",1,"Category2","Four-Year")</f>
        <v>184310.2</v>
      </c>
      <c r="C27" s="206">
        <f>+GETPIVOTDATA("Sum of Old-HS % of Total",'Pivot-HS Student % of Undergrad'!$A$3,"State","TX","Category",1,"Category2","Four-Year")</f>
        <v>2.1973824563154942E-4</v>
      </c>
      <c r="D27" s="181">
        <f>+GETPIVOTDATA("Undergrad Student Credit Hour  FTE - Old",'FTE Pivot for regular counts'!$A$2,"State","TX","Category",2,"Category2","Four-Year")</f>
        <v>43722.7</v>
      </c>
      <c r="E27" s="166">
        <f>+GETPIVOTDATA("Sum of Old-HS % of Total",'Pivot-HS Student % of Undergrad'!$A$3,"State","TX","Category",2,"Category2","Four-Year")</f>
        <v>2.0492787499399624E-3</v>
      </c>
      <c r="F27" s="181">
        <f>+GETPIVOTDATA("Undergrad Student Credit Hour  FTE - Old",'FTE Pivot for regular counts'!$A$2,"State","TX","Category",3,"Category2","Four-Year")</f>
        <v>151652.26666666666</v>
      </c>
      <c r="G27" s="166">
        <f>+GETPIVOTDATA("Sum of Old-HS % of Total",'Pivot-HS Student % of Undergrad'!$A$3,"State","TX","Category",3,"Category2","Four-Year")</f>
        <v>1.0217014011000605E-2</v>
      </c>
      <c r="H27" s="181">
        <f>+GETPIVOTDATA("Undergrad Student Credit Hour  FTE - Old",'FTE Pivot for regular counts'!$A$2,"State","TX","Category",4,"Category2","Four-Year")</f>
        <v>4529.5</v>
      </c>
      <c r="I27" s="206">
        <f>+GETPIVOTDATA("Sum of Old-HS % of Total",'Pivot-HS Student % of Undergrad'!$A$3,"State","TX","Category",4,"Category2","Four-Year")</f>
        <v>0</v>
      </c>
      <c r="J27" s="181">
        <f>+GETPIVOTDATA("Undergrad Student Credit Hour  FTE - Old",'FTE Pivot for regular counts'!$A$2,"State","TX","Category",5,"Category2","Four-Year")</f>
        <v>12100.099999999999</v>
      </c>
      <c r="K27" s="166">
        <f>+GETPIVOTDATA("Sum of Old-HS % of Total",'Pivot-HS Student % of Undergrad'!$A$3,"State","TX","Category",5,"Category2","Four-Year")</f>
        <v>1.7575612322763173E-3</v>
      </c>
      <c r="L27" s="181">
        <f>+GETPIVOTDATA("Undergrad Student Credit Hour  FTE - Old",'FTE Pivot for regular counts'!$A$2,"State","TX","Category",6,"Category2","Four-Year")</f>
        <v>2017.3333333333333</v>
      </c>
      <c r="M27" s="166">
        <f>+GETPIVOTDATA("Sum of Old-HS % of Total",'Pivot-HS Student % of Undergrad'!$A$3,"State","TX","Category",6,"Category2","Four-Year")</f>
        <v>0</v>
      </c>
      <c r="N27" s="181">
        <f>+GETPIVOTDATA("Undergrad Student Credit Hour  FTE - Old",'FTE Pivot for regular counts'!$A$2,"State","TX","Category2","Four-Year")</f>
        <v>398332.1</v>
      </c>
      <c r="O27" s="166">
        <f>+GETPIVOTDATA("Sum of Old-HS % of Total",'Pivot-HS Student % of Undergrad'!$A$3,"State","TX","Category2","Group1")</f>
        <v>4.2698040152927674E-3</v>
      </c>
    </row>
    <row r="28" spans="1:15" ht="15" customHeight="1">
      <c r="A28" s="1" t="s">
        <v>78</v>
      </c>
      <c r="B28" s="5">
        <f>+GETPIVOTDATA("Undergrad Student Credit Hour  FTE - Old",'FTE Pivot for regular counts'!$A$2,"State","VA","Category",1,"Category2","Four-Year")</f>
        <v>101497.88333333333</v>
      </c>
      <c r="C28" s="166">
        <f>+GETPIVOTDATA("Sum of Old-HS % of Total",'Pivot-HS Student % of Undergrad'!$A$3,"State","VA","Category",1,"Category2","Four-Year")</f>
        <v>9.353889645974554E-3</v>
      </c>
      <c r="D28" s="181">
        <f>+GETPIVOTDATA("Undergrad Student Credit Hour  FTE - Old",'FTE Pivot for regular counts'!$A$2,"State","VA","Category",2,"Category2","Four-Year")</f>
        <v>6161.2266666666665</v>
      </c>
      <c r="E28" s="166">
        <f>+GETPIVOTDATA("Sum of Old-HS % of Total",'Pivot-HS Student % of Undergrad'!$A$3,"State","VA","Category",2,"Category2","Four-Year")</f>
        <v>0</v>
      </c>
      <c r="F28" s="181">
        <f>+GETPIVOTDATA("Undergrad Student Credit Hour  FTE - Old",'FTE Pivot for regular counts'!$A$2,"State","VA","Category",3,"Category2","Four-Year")</f>
        <v>45905.416666666664</v>
      </c>
      <c r="G28" s="166">
        <f>+GETPIVOTDATA("Sum of Old-HS % of Total",'Pivot-HS Student % of Undergrad'!$A$3,"State","VA","Category",3,"Category2","Four-Year")</f>
        <v>6.0370508200738842E-3</v>
      </c>
      <c r="H28" s="181">
        <f>+GETPIVOTDATA("Undergrad Student Credit Hour  FTE - Old",'FTE Pivot for regular counts'!$A$2,"State","VA","Category",4,"Category2","Four-Year")</f>
        <v>0</v>
      </c>
      <c r="I28" s="206">
        <f>+GETPIVOTDATA("Sum of Old-HS % of Total",'Pivot-HS Student % of Undergrad'!$A$3,"State","VA","Category",4,"Category2","Four-Year")</f>
        <v>0</v>
      </c>
      <c r="J28" s="181">
        <f>+GETPIVOTDATA("Undergrad Student Credit Hour  FTE - Old",'FTE Pivot for regular counts'!$A$2,"State","VA","Category",5,"Category2","Four-Year")</f>
        <v>4945.4666666666662</v>
      </c>
      <c r="K28" s="206">
        <f>+GETPIVOTDATA("Sum of Old-HS % of Total",'Pivot-HS Student % of Undergrad'!$A$3,"State","VA","Category",5,"Category2","Four-Year")</f>
        <v>0</v>
      </c>
      <c r="L28" s="181">
        <f>+GETPIVOTDATA("Undergrad Student Credit Hour  FTE - Old",'FTE Pivot for regular counts'!$A$2,"State","VA","Category",6,"Category2","Four-Year")</f>
        <v>1756.1666666666667</v>
      </c>
      <c r="M28" s="206">
        <f>+GETPIVOTDATA("Sum of Old-HS % of Total",'Pivot-HS Student % of Undergrad'!$A$3,"State","VA","Category",6,"Category2","Four-Year")</f>
        <v>6.7951029704849579E-3</v>
      </c>
      <c r="N28" s="181">
        <f>+GETPIVOTDATA("Undergrad Student Credit Hour  FTE - Old",'FTE Pivot for regular counts'!$A$2,"State","VA","Category2","Four-Year")</f>
        <v>160266.16</v>
      </c>
      <c r="O28" s="166">
        <f>+GETPIVOTDATA("Sum of Old-HS % of Total",'Pivot-HS Student % of Undergrad'!$A$3,"State","VA","Category2","Group1")</f>
        <v>7.7275618675000804E-3</v>
      </c>
    </row>
    <row r="29" spans="1:15" s="25" customFormat="1" ht="15" customHeight="1">
      <c r="A29" s="3" t="s">
        <v>79</v>
      </c>
      <c r="B29" s="6">
        <f>+GETPIVOTDATA("Undergrad Student Credit Hour  FTE - Old",'FTE Pivot for regular counts'!$A$2,"State","WV","Category",1,"Category2","Four-Year")</f>
        <v>22036.666666666668</v>
      </c>
      <c r="C29" s="167">
        <f>+GETPIVOTDATA("Sum of Old-HS % of Total",'Pivot-HS Student % of Undergrad'!$A$3,"State","WV","Category",1,"Category2","Four-Year")</f>
        <v>5.8190893964604447E-3</v>
      </c>
      <c r="D29" s="182">
        <f>+GETPIVOTDATA("Undergrad Student Credit Hour  FTE - Old",'FTE Pivot for regular counts'!$A$2,"State","WV","Category",2,"Category2","Four-Year")</f>
        <v>0</v>
      </c>
      <c r="E29" s="167">
        <f>+GETPIVOTDATA("Sum of Old-HS % of Total",'Pivot-HS Student % of Undergrad'!$A$3,"State","WV","Category",2,"Category2","Four-Year")</f>
        <v>0</v>
      </c>
      <c r="F29" s="182">
        <f>+GETPIVOTDATA("Undergrad Student Credit Hour  FTE - Old",'FTE Pivot for regular counts'!$A$2,"State","WV","Category",3,"Category2","Four-Year")</f>
        <v>8803.7999999999993</v>
      </c>
      <c r="G29" s="167">
        <f>+GETPIVOTDATA("Sum of Old-HS % of Total",'Pivot-HS Student % of Undergrad'!$A$3,"State","WV","Category",3,"Category2","Four-Year")</f>
        <v>1.7340996690822903E-2</v>
      </c>
      <c r="H29" s="182">
        <f>+GETPIVOTDATA("Undergrad Student Credit Hour  FTE - Old",'FTE Pivot for regular counts'!$A$2,"State","WV","Category",4,"Category2","Four-Year")</f>
        <v>0</v>
      </c>
      <c r="I29" s="167">
        <f>+GETPIVOTDATA("Sum of Old-HS % of Total",'Pivot-HS Student % of Undergrad'!$A$3,"State","WV","Category",4,"Category2","Four-Year")</f>
        <v>0</v>
      </c>
      <c r="J29" s="182">
        <f>+GETPIVOTDATA("Undergrad Student Credit Hour  FTE - Old",'FTE Pivot for regular counts'!$A$2,"State","WV","Category",5,"Category2","Four-Year")</f>
        <v>6950.2999999999993</v>
      </c>
      <c r="K29" s="471">
        <f>+GETPIVOTDATA("Sum of Old-HS % of Total",'Pivot-HS Student % of Undergrad'!$A$3,"State","WV","Category",5,"Category2","Four-Year")</f>
        <v>6.9541362722952004E-4</v>
      </c>
      <c r="L29" s="182">
        <f>+GETPIVOTDATA("Undergrad Student Credit Hour  FTE - Old",'FTE Pivot for regular counts'!$A$2,"State","WV","Category",6,"Category2","Four-Year")</f>
        <v>12964.349999999999</v>
      </c>
      <c r="M29" s="167">
        <f>+GETPIVOTDATA("Sum of Old-HS % of Total",'Pivot-HS Student % of Undergrad'!$A$3,"State","WV","Category",6,"Category2","Four-Year")</f>
        <v>2.8277545731178192E-2</v>
      </c>
      <c r="N29" s="182">
        <f>+GETPIVOTDATA("Undergrad Student Credit Hour  FTE - Old",'FTE Pivot for regular counts'!$A$2,"State","WV","Category2","Four-Year")</f>
        <v>50755.116666666661</v>
      </c>
      <c r="O29" s="167">
        <f>+GETPIVOTDATA("Sum of Old-HS % of Total",'Pivot-HS Student % of Undergrad'!$A$3,"State","WV","Category2","Group1")</f>
        <v>1.2852562976409274E-2</v>
      </c>
    </row>
    <row r="30" spans="1:15" ht="23.25" customHeight="1">
      <c r="A30" s="832" t="s">
        <v>982</v>
      </c>
      <c r="B30" s="833"/>
      <c r="C30" s="833"/>
      <c r="D30" s="833"/>
      <c r="E30" s="833"/>
      <c r="F30" s="833"/>
      <c r="G30" s="833"/>
      <c r="H30" s="833"/>
      <c r="I30" s="834"/>
      <c r="J30" s="834"/>
      <c r="K30" s="834"/>
      <c r="L30" s="834"/>
      <c r="M30" s="834"/>
      <c r="N30" s="834"/>
      <c r="O30" s="834"/>
    </row>
    <row r="31" spans="1:15">
      <c r="A31" s="49"/>
      <c r="B31" s="50"/>
      <c r="C31" s="50"/>
      <c r="D31" s="50"/>
      <c r="E31" s="50"/>
      <c r="F31" s="50"/>
      <c r="G31" s="50"/>
      <c r="H31" s="1"/>
      <c r="J31" s="123"/>
      <c r="K31" s="123"/>
      <c r="L31" s="123"/>
      <c r="M31" s="188"/>
      <c r="N31" s="48"/>
      <c r="O31" s="168" t="s">
        <v>975</v>
      </c>
    </row>
    <row r="32" spans="1:15" ht="18">
      <c r="A32" s="41" t="s">
        <v>164</v>
      </c>
      <c r="B32" s="43"/>
      <c r="C32" s="43"/>
      <c r="D32" s="43"/>
      <c r="E32" s="43"/>
      <c r="F32" s="51"/>
      <c r="G32" s="43"/>
      <c r="H32" s="109"/>
      <c r="I32" s="50"/>
      <c r="J32" s="123"/>
      <c r="K32" s="123"/>
      <c r="L32" s="123"/>
      <c r="M32" s="188"/>
      <c r="N32" s="48"/>
    </row>
    <row r="33" spans="1:14" ht="15.75">
      <c r="A33" s="43"/>
      <c r="B33" s="43"/>
      <c r="C33" s="43"/>
      <c r="D33" s="43"/>
      <c r="E33" s="43"/>
      <c r="F33" s="43"/>
      <c r="G33" s="43"/>
      <c r="H33" s="109"/>
      <c r="I33" s="50"/>
      <c r="J33" s="123"/>
      <c r="K33" s="123"/>
      <c r="L33" s="123"/>
      <c r="M33" s="188"/>
      <c r="N33" s="48"/>
    </row>
    <row r="34" spans="1:14" ht="15.75">
      <c r="A34" s="43" t="s">
        <v>33</v>
      </c>
      <c r="B34" s="43"/>
      <c r="C34" s="43"/>
      <c r="D34" s="43"/>
      <c r="E34" s="43"/>
      <c r="F34" s="43"/>
      <c r="G34" s="43"/>
      <c r="H34" s="109"/>
      <c r="I34" s="50"/>
      <c r="J34" s="123"/>
      <c r="K34" s="123"/>
      <c r="L34" s="123"/>
      <c r="M34" s="188"/>
      <c r="N34" s="48"/>
    </row>
    <row r="35" spans="1:14" ht="15.75">
      <c r="A35" s="109" t="s">
        <v>253</v>
      </c>
      <c r="B35" s="43"/>
      <c r="C35" s="43"/>
      <c r="D35" s="43"/>
      <c r="E35" s="43"/>
      <c r="F35" s="43"/>
      <c r="G35" s="43"/>
      <c r="H35" s="109"/>
    </row>
    <row r="37" spans="1:14" ht="15" customHeight="1">
      <c r="A37" s="52"/>
      <c r="B37" s="52" t="s">
        <v>62</v>
      </c>
      <c r="C37" s="52"/>
      <c r="D37" s="52"/>
      <c r="E37" s="52"/>
      <c r="F37" s="52"/>
      <c r="G37" s="52"/>
      <c r="H37" s="110"/>
    </row>
    <row r="38" spans="1:14" ht="15" customHeight="1">
      <c r="A38" s="53"/>
      <c r="B38" s="46">
        <v>1</v>
      </c>
      <c r="C38" s="46">
        <v>2</v>
      </c>
      <c r="D38" s="46">
        <v>3</v>
      </c>
      <c r="E38" s="46">
        <v>4</v>
      </c>
      <c r="F38" s="46">
        <v>5</v>
      </c>
      <c r="G38" s="54">
        <v>6</v>
      </c>
      <c r="H38" s="92" t="s">
        <v>30</v>
      </c>
    </row>
    <row r="39" spans="1:14" ht="15" customHeight="1">
      <c r="A39" s="1" t="s">
        <v>64</v>
      </c>
      <c r="B39" s="11">
        <f>+GETPIVOTDATA("Graduate FTE - Old",'FTE Pivot for regular counts'!$A$2,"Category",1,"Category2","Four-Year")</f>
        <v>224859.72500000001</v>
      </c>
      <c r="C39" s="11">
        <f>+GETPIVOTDATA("Graduate FTE - Old",'FTE Pivot for regular counts'!$A$2,"Category",2,"Category2","Four-Year")</f>
        <v>43353.854166666664</v>
      </c>
      <c r="D39" s="11">
        <f>+GETPIVOTDATA("Graduate FTE - Old",'FTE Pivot for regular counts'!$A$2,"Category",3,"Category2","Four-Year")</f>
        <v>86154.841666666674</v>
      </c>
      <c r="E39" s="11">
        <f>+GETPIVOTDATA("Graduate FTE - Old",'FTE Pivot for regular counts'!$A$2,"Category",4,"Category2","Four-Year")</f>
        <v>20414.395833333336</v>
      </c>
      <c r="F39" s="11">
        <f>+GETPIVOTDATA("Graduate FTE - Old",'FTE Pivot for regular counts'!$A$2,"Category",5,"Category2","Four-Year")</f>
        <v>8208.75</v>
      </c>
      <c r="G39" s="12">
        <f>+GETPIVOTDATA("Graduate FTE - Old",'FTE Pivot for regular counts'!$A$2,"Category",6,"Category2","Four-Year")</f>
        <v>945.875</v>
      </c>
      <c r="H39" s="111">
        <f>+GETPIVOTDATA("Graduate FTE - Old",'FTE Pivot for regular counts'!$A$2,"Category2","Four-Year")</f>
        <v>383937.44166666671</v>
      </c>
    </row>
    <row r="40" spans="1:14" ht="15" customHeight="1">
      <c r="B40" s="11"/>
      <c r="C40" s="11"/>
      <c r="D40" s="11"/>
      <c r="E40" s="11"/>
      <c r="F40" s="11"/>
      <c r="G40" s="12"/>
      <c r="H40" s="111"/>
    </row>
    <row r="41" spans="1:14" ht="15" customHeight="1">
      <c r="A41" s="1" t="s">
        <v>65</v>
      </c>
      <c r="B41" s="33">
        <f>+GETPIVOTDATA("Graduate FTE - Old",'FTE Pivot for regular counts'!$A$2,"State","AL","Category",1,"Category2","Four-Year")</f>
        <v>8058.375</v>
      </c>
      <c r="C41" s="33">
        <f>+GETPIVOTDATA("Graduate FTE - Old",'FTE Pivot for regular counts'!$A$2,"State","AL","Category",2,"Category2","Four-Year")</f>
        <v>2899.5833333333335</v>
      </c>
      <c r="D41" s="33">
        <f>+GETPIVOTDATA("Graduate FTE - Old",'FTE Pivot for regular counts'!$A$2,"State","AL","Category",3,"Category2","Four-Year")</f>
        <v>3786</v>
      </c>
      <c r="E41" s="33">
        <f>+GETPIVOTDATA("Graduate FTE - Old",'FTE Pivot for regular counts'!$A$2,"State","AL","Category",4,"Category2","Four-Year")</f>
        <v>1639.625</v>
      </c>
      <c r="F41" s="33">
        <f>+GETPIVOTDATA("Graduate FTE - Old",'FTE Pivot for regular counts'!$A$2,"State","AL","Category",5,"Category2","Four-Year")</f>
        <v>1657.75</v>
      </c>
      <c r="G41" s="12">
        <f>+GETPIVOTDATA("Graduate FTE - Old",'FTE Pivot for regular counts'!$A$2,"State","AL","Category",6,"Category2","Four-Year")</f>
        <v>0</v>
      </c>
      <c r="H41" s="112">
        <f>+GETPIVOTDATA("Graduate FTE - Old",'FTE Pivot for regular counts'!$A$2,"State","AL","Category2","Four-Year")</f>
        <v>18041.333333333336</v>
      </c>
    </row>
    <row r="42" spans="1:14" ht="15" customHeight="1">
      <c r="A42" s="4" t="s">
        <v>66</v>
      </c>
      <c r="B42" s="33">
        <f>+GETPIVOTDATA("Graduate FTE - Old",'FTE Pivot for regular counts'!$A$2,"State","AR","Category",1,"Category2","Four-Year")</f>
        <v>3313.9166666666665</v>
      </c>
      <c r="C42" s="33">
        <f>+GETPIVOTDATA("Graduate FTE - Old",'FTE Pivot for regular counts'!$A$2,"State","AR","Category",2,"Category2","Four-Year")</f>
        <v>1780.7083333333333</v>
      </c>
      <c r="D42" s="33">
        <f>+GETPIVOTDATA("Graduate FTE - Old",'FTE Pivot for regular counts'!$A$2,"State","AR","Category",3,"Category2","Four-Year")</f>
        <v>5225.125</v>
      </c>
      <c r="E42" s="33">
        <f>+GETPIVOTDATA("Graduate FTE - Old",'FTE Pivot for regular counts'!$A$2,"State","AR","Category",4,"Category2","Four-Year")</f>
        <v>665.875</v>
      </c>
      <c r="F42" s="33">
        <f>+GETPIVOTDATA("Graduate FTE - Old",'FTE Pivot for regular counts'!$A$2,"State","AR","Category",5,"Category2","Four-Year")</f>
        <v>141.95833333333334</v>
      </c>
      <c r="G42" s="12">
        <f>+GETPIVOTDATA("Graduate FTE - Old",'FTE Pivot for regular counts'!$A$2,"State","AR","Category",6,"Category2","Four-Year")</f>
        <v>62.666666666666664</v>
      </c>
      <c r="H42" s="112">
        <f>+GETPIVOTDATA("Graduate FTE - Old",'FTE Pivot for regular counts'!$A$2,"State","AR","Category2","Four-Year")</f>
        <v>11190.25</v>
      </c>
    </row>
    <row r="43" spans="1:14" ht="15" customHeight="1">
      <c r="A43" s="1" t="s">
        <v>102</v>
      </c>
      <c r="B43" s="33">
        <f>+GETPIVOTDATA("Graduate FTE - Old",'FTE Pivot for regular counts'!$A$2,"State","DE","Category",1,"Category2","Four-Year")</f>
        <v>2010.2083333333333</v>
      </c>
      <c r="C43" s="33">
        <f>+GETPIVOTDATA("Graduate FTE - Old",'FTE Pivot for regular counts'!$A$2,"State","DE","Category",2,"Category2","Four-Year")</f>
        <v>0</v>
      </c>
      <c r="D43" s="33">
        <f>+GETPIVOTDATA("Graduate FTE - Old",'FTE Pivot for regular counts'!$A$2,"State","DE","Category",3,"Category2","Four-Year")</f>
        <v>249.70833333333334</v>
      </c>
      <c r="E43" s="33">
        <f>+GETPIVOTDATA("Graduate FTE - Old",'FTE Pivot for regular counts'!$A$2,"State","DE","Category",4,"Category2","Four-Year")</f>
        <v>0</v>
      </c>
      <c r="F43" s="33">
        <f>+GETPIVOTDATA("Graduate FTE - Old",'FTE Pivot for regular counts'!$A$2,"State","DE","Category",5,"Category2","Four-Year")</f>
        <v>0</v>
      </c>
      <c r="G43" s="12">
        <f>+GETPIVOTDATA("Graduate FTE - Old",'FTE Pivot for regular counts'!$A$2,"State","DE","Category",6,"Category2","Four-Year")</f>
        <v>0</v>
      </c>
      <c r="H43" s="112">
        <f>+GETPIVOTDATA("Graduate FTE - Old",'FTE Pivot for regular counts'!$A$2,"State","DE","Category2","Four-Year")</f>
        <v>2259.9166666666665</v>
      </c>
      <c r="N43" s="94"/>
    </row>
    <row r="44" spans="1:14" ht="15" customHeight="1">
      <c r="A44" s="1" t="s">
        <v>67</v>
      </c>
      <c r="B44" s="33">
        <f>+GETPIVOTDATA("Graduate FTE - Old",'FTE Pivot for regular counts'!$A$2,"State","FL","Category",1,"Category2","Four-Year")</f>
        <v>51011.020833333328</v>
      </c>
      <c r="C44" s="33">
        <f>+GETPIVOTDATA("Graduate FTE - Old",'FTE Pivot for regular counts'!$A$2,"State","FL","Category",2,"Category2","Four-Year")</f>
        <v>0</v>
      </c>
      <c r="D44" s="33">
        <f>+GETPIVOTDATA("Graduate FTE - Old",'FTE Pivot for regular counts'!$A$2,"State","FL","Category",3,"Category2","Four-Year")</f>
        <v>4800.625</v>
      </c>
      <c r="E44" s="33">
        <f>+GETPIVOTDATA("Graduate FTE - Old",'FTE Pivot for regular counts'!$A$2,"State","FL","Category",4,"Category2","Four-Year")</f>
        <v>853.75</v>
      </c>
      <c r="F44" s="33">
        <f>+GETPIVOTDATA("Graduate FTE - Old",'FTE Pivot for regular counts'!$A$2,"State","FL","Category",5,"Category2","Four-Year")</f>
        <v>0</v>
      </c>
      <c r="G44" s="12">
        <f>+GETPIVOTDATA("Graduate FTE - Old",'FTE Pivot for regular counts'!$A$2,"State","FL","Category",6,"Category2","Four-Year")</f>
        <v>0</v>
      </c>
      <c r="H44" s="112">
        <f>+GETPIVOTDATA("Graduate FTE - Old",'FTE Pivot for regular counts'!$A$2,"State","FL","Category2","Four-Year")</f>
        <v>56665.395833333328</v>
      </c>
    </row>
    <row r="45" spans="1:14" ht="15" customHeight="1">
      <c r="B45" s="33"/>
      <c r="C45" s="33"/>
      <c r="D45" s="33"/>
      <c r="E45" s="33"/>
      <c r="F45" s="33"/>
      <c r="G45" s="12"/>
      <c r="H45" s="112"/>
    </row>
    <row r="46" spans="1:14" ht="15" customHeight="1">
      <c r="A46" s="1" t="s">
        <v>68</v>
      </c>
      <c r="B46" s="33">
        <f>+GETPIVOTDATA("Graduate FTE - Old",'FTE Pivot for regular counts'!$A$2,"State","GA","Category",1,"Category2","Four-Year")</f>
        <v>19717.916666666664</v>
      </c>
      <c r="C46" s="33">
        <f>+GETPIVOTDATA("Graduate FTE - Old",'FTE Pivot for regular counts'!$A$2,"State","GA","Category",2,"Category2","Four-Year")</f>
        <v>10114.416666666666</v>
      </c>
      <c r="D46" s="33">
        <f>+GETPIVOTDATA("Graduate FTE - Old",'FTE Pivot for regular counts'!$A$2,"State","GA","Category",3,"Category2","Four-Year")</f>
        <v>7104.5625</v>
      </c>
      <c r="E46" s="33">
        <f>+GETPIVOTDATA("Graduate FTE - Old",'FTE Pivot for regular counts'!$A$2,"State","GA","Category",4,"Category2","Four-Year")</f>
        <v>5490.541666666667</v>
      </c>
      <c r="F46" s="33">
        <f>+GETPIVOTDATA("Graduate FTE - Old",'FTE Pivot for regular counts'!$A$2,"State","GA","Category",5,"Category2","Four-Year")</f>
        <v>287.125</v>
      </c>
      <c r="G46" s="12">
        <f>+GETPIVOTDATA("Graduate FTE - Old",'FTE Pivot for regular counts'!$A$2,"State","GA","Category",6,"Category2","Four-Year")</f>
        <v>0</v>
      </c>
      <c r="H46" s="112">
        <f>+GETPIVOTDATA("Graduate FTE - Old",'FTE Pivot for regular counts'!$A$2,"State","GA","Category2","Four-Year")</f>
        <v>42714.562499999993</v>
      </c>
    </row>
    <row r="47" spans="1:14" ht="15" customHeight="1">
      <c r="A47" s="1" t="s">
        <v>69</v>
      </c>
      <c r="B47" s="33">
        <f>+GETPIVOTDATA("Graduate FTE - Old",'FTE Pivot for regular counts'!$A$2,"State","KY","Category",1,"Category2","Four-Year")</f>
        <v>6568.4583333333339</v>
      </c>
      <c r="C47" s="33">
        <f>+GETPIVOTDATA("Graduate FTE - Old",'FTE Pivot for regular counts'!$A$2,"State","KY","Category",2,"Category2","Four-Year")</f>
        <v>0</v>
      </c>
      <c r="D47" s="33">
        <f>+GETPIVOTDATA("Graduate FTE - Old",'FTE Pivot for regular counts'!$A$2,"State","KY","Category",3,"Category2","Four-Year")</f>
        <v>6836.5</v>
      </c>
      <c r="E47" s="33">
        <f>+GETPIVOTDATA("Graduate FTE - Old",'FTE Pivot for regular counts'!$A$2,"State","KY","Category",4,"Category2","Four-Year")</f>
        <v>84.208333333333329</v>
      </c>
      <c r="F47" s="33">
        <f>+GETPIVOTDATA("Graduate FTE - Old",'FTE Pivot for regular counts'!$A$2,"State","KY","Category",5,"Category2","Four-Year")</f>
        <v>0</v>
      </c>
      <c r="G47" s="12">
        <f>+GETPIVOTDATA("Graduate FTE - Old",'FTE Pivot for regular counts'!$A$2,"State","KY","Category",6,"Category2","Four-Year")</f>
        <v>0</v>
      </c>
      <c r="H47" s="112">
        <f>+GETPIVOTDATA("Graduate FTE - Old",'FTE Pivot for regular counts'!$A$2,"State","KY","Category2","Four-Year")</f>
        <v>13489.166666666668</v>
      </c>
    </row>
    <row r="48" spans="1:14" ht="15" customHeight="1">
      <c r="A48" s="1" t="s">
        <v>70</v>
      </c>
      <c r="B48" s="33">
        <f>+GETPIVOTDATA("Graduate FTE - Old",'FTE Pivot for regular counts'!$A$2,"State","LA","Category",1,"Category2","Four-Year")</f>
        <v>5452.833333333333</v>
      </c>
      <c r="C48" s="33">
        <f>+GETPIVOTDATA("Graduate FTE - Old",'FTE Pivot for regular counts'!$A$2,"State","LA","Category",2,"Category2","Four-Year")</f>
        <v>3755.875</v>
      </c>
      <c r="D48" s="33">
        <f>+GETPIVOTDATA("Graduate FTE - Old",'FTE Pivot for regular counts'!$A$2,"State","LA","Category",3,"Category2","Four-Year")</f>
        <v>3746.083333333333</v>
      </c>
      <c r="E48" s="33">
        <f>+GETPIVOTDATA("Graduate FTE - Old",'FTE Pivot for regular counts'!$A$2,"State","LA","Category",4,"Category2","Four-Year")</f>
        <v>2782.2083333333335</v>
      </c>
      <c r="F48" s="33">
        <f>+GETPIVOTDATA("Graduate FTE - Old",'FTE Pivot for regular counts'!$A$2,"State","LA","Category",5,"Category2","Four-Year")</f>
        <v>85.666666666666671</v>
      </c>
      <c r="G48" s="12">
        <f>+GETPIVOTDATA("Graduate FTE - Old",'FTE Pivot for regular counts'!$A$2,"State","LA","Category",6,"Category2","Four-Year")</f>
        <v>0</v>
      </c>
      <c r="H48" s="112">
        <f>+GETPIVOTDATA("Graduate FTE - Old",'FTE Pivot for regular counts'!$A$2,"State","LA","Category2","Four-Year")</f>
        <v>15822.666666666664</v>
      </c>
    </row>
    <row r="49" spans="1:10" ht="15" customHeight="1">
      <c r="A49" s="1" t="s">
        <v>71</v>
      </c>
      <c r="B49" s="33">
        <f>+GETPIVOTDATA("Graduate FTE - Old",'FTE Pivot for regular counts'!$A$2,"State","MD","Category",1,"Category2","Four-Year")</f>
        <v>6473.416666666667</v>
      </c>
      <c r="C49" s="33">
        <f>+GETPIVOTDATA("Graduate FTE - Old",'FTE Pivot for regular counts'!$A$2,"State","MD","Category",2,"Category2","Four-Year")</f>
        <v>2353.208333333333</v>
      </c>
      <c r="D49" s="33">
        <f>+GETPIVOTDATA("Graduate FTE - Old",'FTE Pivot for regular counts'!$A$2,"State","MD","Category",3,"Category2","Four-Year")</f>
        <v>2141.9791666666665</v>
      </c>
      <c r="E49" s="33">
        <f>+GETPIVOTDATA("Graduate FTE - Old",'FTE Pivot for regular counts'!$A$2,"State","MD","Category",4,"Category2","Four-Year")</f>
        <v>4787.6458333333339</v>
      </c>
      <c r="F49" s="33">
        <f>+GETPIVOTDATA("Graduate FTE - Old",'FTE Pivot for regular counts'!$A$2,"State","MD","Category",5,"Category2","Four-Year")</f>
        <v>241.375</v>
      </c>
      <c r="G49" s="12">
        <f>+GETPIVOTDATA("Graduate FTE - Old",'FTE Pivot for regular counts'!$A$2,"State","MD","Category",6,"Category2","Four-Year")</f>
        <v>57.583333333333336</v>
      </c>
      <c r="H49" s="112">
        <f>+GETPIVOTDATA("Graduate FTE - Old",'FTE Pivot for regular counts'!$A$2,"State","MD","Category2","Four-Year")</f>
        <v>16055.208333333334</v>
      </c>
    </row>
    <row r="50" spans="1:10" ht="15" customHeight="1">
      <c r="B50" s="33"/>
      <c r="C50" s="33"/>
      <c r="D50" s="33"/>
      <c r="E50" s="33"/>
      <c r="F50" s="33"/>
      <c r="G50" s="12"/>
      <c r="H50" s="112"/>
    </row>
    <row r="51" spans="1:10" ht="15" customHeight="1">
      <c r="A51" s="1" t="s">
        <v>72</v>
      </c>
      <c r="B51" s="33">
        <f>+GETPIVOTDATA("Graduate FTE - Old",'FTE Pivot for regular counts'!$A$2,"State","MS","Category",1,"Category2","Four-Year")</f>
        <v>4743.5</v>
      </c>
      <c r="C51" s="33">
        <f>+GETPIVOTDATA("Graduate FTE - Old",'FTE Pivot for regular counts'!$A$2,"State","MS","Category",2,"Category2","Four-Year")</f>
        <v>4123.625</v>
      </c>
      <c r="D51" s="33">
        <f>+GETPIVOTDATA("Graduate FTE - Old",'FTE Pivot for regular counts'!$A$2,"State","MS","Category",3,"Category2","Four-Year")</f>
        <v>0</v>
      </c>
      <c r="E51" s="33">
        <f>+GETPIVOTDATA("Graduate FTE - Old",'FTE Pivot for regular counts'!$A$2,"State","MS","Category",4,"Category2","Four-Year")</f>
        <v>1799.1666666666667</v>
      </c>
      <c r="F51" s="33">
        <f>+GETPIVOTDATA("Graduate FTE - Old",'FTE Pivot for regular counts'!$A$2,"State","MS","Category",5,"Category2","Four-Year")</f>
        <v>172.79166666666666</v>
      </c>
      <c r="G51" s="12">
        <f>+GETPIVOTDATA("Graduate FTE - Old",'FTE Pivot for regular counts'!$A$2,"State","MS","Category",6,"Category2","Four-Year")</f>
        <v>0</v>
      </c>
      <c r="H51" s="112">
        <f>+GETPIVOTDATA("Graduate FTE - Old",'FTE Pivot for regular counts'!$A$2,"State","MS","Category2","Four-Year")</f>
        <v>10839.083333333332</v>
      </c>
    </row>
    <row r="52" spans="1:10" ht="15" customHeight="1">
      <c r="A52" s="1" t="s">
        <v>73</v>
      </c>
      <c r="B52" s="33">
        <f>+GETPIVOTDATA("Graduate FTE - Old",'FTE Pivot for regular counts'!$A$2,"State","NC","Category",1,"Category2","Four-Year")</f>
        <v>19368.541666666668</v>
      </c>
      <c r="C52" s="33">
        <f>+GETPIVOTDATA("Graduate FTE - Old",'FTE Pivot for regular counts'!$A$2,"State","NC","Category",2,"Category2","Four-Year")</f>
        <v>3381.375</v>
      </c>
      <c r="D52" s="33">
        <f>+GETPIVOTDATA("Graduate FTE - Old",'FTE Pivot for regular counts'!$A$2,"State","NC","Category",3,"Category2","Four-Year")</f>
        <v>6623.0833333333339</v>
      </c>
      <c r="E52" s="33">
        <f>+GETPIVOTDATA("Graduate FTE - Old",'FTE Pivot for regular counts'!$A$2,"State","NC","Category",4,"Category2","Four-Year")</f>
        <v>484.04166666666669</v>
      </c>
      <c r="F52" s="33">
        <f>+GETPIVOTDATA("Graduate FTE - Old",'FTE Pivot for regular counts'!$A$2,"State","NC","Category",5,"Category2","Four-Year")</f>
        <v>981.79166666666674</v>
      </c>
      <c r="G52" s="12">
        <f>+GETPIVOTDATA("Graduate FTE - Old",'FTE Pivot for regular counts'!$A$2,"State","NC","Category",6,"Category2","Four-Year")</f>
        <v>59.5</v>
      </c>
      <c r="H52" s="112">
        <f>+GETPIVOTDATA("Graduate FTE - Old",'FTE Pivot for regular counts'!$A$2,"State","NC","Category2","Four-Year")</f>
        <v>30898.333333333336</v>
      </c>
    </row>
    <row r="53" spans="1:10" ht="15" customHeight="1">
      <c r="A53" s="1" t="s">
        <v>74</v>
      </c>
      <c r="B53" s="33">
        <f>+GETPIVOTDATA("Graduate FTE - Old",'FTE Pivot for regular counts'!$A$2,"State","OK","Category",1,"Category2","Four-Year")</f>
        <v>0</v>
      </c>
      <c r="C53" s="33">
        <f>+GETPIVOTDATA("Graduate FTE - Old",'FTE Pivot for regular counts'!$A$2,"State","OK","Category",2,"Category2","Four-Year")</f>
        <v>0</v>
      </c>
      <c r="D53" s="33">
        <f>+GETPIVOTDATA("Graduate FTE - Old",'FTE Pivot for regular counts'!$A$2,"State","OK","Category",3,"Category2","Four-Year")</f>
        <v>1986.6666666666665</v>
      </c>
      <c r="E53" s="33">
        <f>+GETPIVOTDATA("Graduate FTE - Old",'FTE Pivot for regular counts'!$A$2,"State","OK","Category",4,"Category2","Four-Year")</f>
        <v>242.625</v>
      </c>
      <c r="F53" s="33">
        <f>+GETPIVOTDATA("Graduate FTE - Old",'FTE Pivot for regular counts'!$A$2,"State","OK","Category",5,"Category2","Four-Year")</f>
        <v>1758.2916666666665</v>
      </c>
      <c r="G53" s="12">
        <f>+GETPIVOTDATA("Graduate FTE - Old",'FTE Pivot for regular counts'!$A$2,"State","OK","Category",6,"Category2","Four-Year")</f>
        <v>3.125</v>
      </c>
      <c r="H53" s="112">
        <f>+GETPIVOTDATA("Graduate FTE - Old",'FTE Pivot for regular counts'!$A$2,"State","OK","Category2","Four-Year")</f>
        <v>3990.708333333333</v>
      </c>
    </row>
    <row r="54" spans="1:10" ht="15" customHeight="1">
      <c r="A54" s="1" t="s">
        <v>75</v>
      </c>
      <c r="B54" s="33">
        <f>+GETPIVOTDATA("Graduate FTE - Old",'FTE Pivot for regular counts'!$A$2,"State","SC","Category",1,"Category2","Four-Year")</f>
        <v>8595.0833333333339</v>
      </c>
      <c r="C54" s="33">
        <f>+GETPIVOTDATA("Graduate FTE - Old",'FTE Pivot for regular counts'!$A$2,"State","SC","Category",2,"Category2","Four-Year")</f>
        <v>0</v>
      </c>
      <c r="D54" s="33">
        <f>+GETPIVOTDATA("Graduate FTE - Old",'FTE Pivot for regular counts'!$A$2,"State","SC","Category",3,"Category2","Four-Year")</f>
        <v>1918.875</v>
      </c>
      <c r="E54" s="33">
        <f>+GETPIVOTDATA("Graduate FTE - Old",'FTE Pivot for regular counts'!$A$2,"State","SC","Category",4,"Category2","Four-Year")</f>
        <v>0</v>
      </c>
      <c r="F54" s="33">
        <f>+GETPIVOTDATA("Graduate FTE - Old",'FTE Pivot for regular counts'!$A$2,"State","SC","Category",5,"Category2","Four-Year")</f>
        <v>1118.4166666666667</v>
      </c>
      <c r="G54" s="12">
        <f>+GETPIVOTDATA("Graduate FTE - Old",'FTE Pivot for regular counts'!$A$2,"State","SC","Category",6,"Category2","Four-Year")</f>
        <v>278.5</v>
      </c>
      <c r="H54" s="112">
        <f>+GETPIVOTDATA("Graduate FTE - Old",'FTE Pivot for regular counts'!$A$2,"State","SC","Category2","Four-Year")</f>
        <v>11910.875</v>
      </c>
    </row>
    <row r="55" spans="1:10" ht="15" customHeight="1">
      <c r="B55" s="33"/>
      <c r="C55" s="33"/>
      <c r="D55" s="33"/>
      <c r="E55" s="33"/>
      <c r="F55" s="33"/>
      <c r="G55" s="12"/>
      <c r="H55" s="112"/>
    </row>
    <row r="56" spans="1:10" ht="15" customHeight="1">
      <c r="A56" s="1" t="s">
        <v>76</v>
      </c>
      <c r="B56" s="33">
        <f>+GETPIVOTDATA("Graduate FTE - Old",'FTE Pivot for regular counts'!$A$2,"State","TN","Category",1,"Category2","Four-Year")</f>
        <v>7737.4166666666661</v>
      </c>
      <c r="C56" s="33">
        <f>+GETPIVOTDATA("Graduate FTE - Old",'FTE Pivot for regular counts'!$A$2,"State","TN","Category",2,"Category2","Four-Year")</f>
        <v>3367.25</v>
      </c>
      <c r="D56" s="33">
        <f>+GETPIVOTDATA("Graduate FTE - Old",'FTE Pivot for regular counts'!$A$2,"State","TN","Category",3,"Category2","Four-Year")</f>
        <v>4180.5416666666661</v>
      </c>
      <c r="E56" s="33">
        <f>+GETPIVOTDATA("Graduate FTE - Old",'FTE Pivot for regular counts'!$A$2,"State","TN","Category",4,"Category2","Four-Year")</f>
        <v>0</v>
      </c>
      <c r="F56" s="33">
        <f>+GETPIVOTDATA("Graduate FTE - Old",'FTE Pivot for regular counts'!$A$2,"State","TN","Category",5,"Category2","Four-Year")</f>
        <v>245.25</v>
      </c>
      <c r="G56" s="12">
        <f>+GETPIVOTDATA("Graduate FTE - Old",'FTE Pivot for regular counts'!$A$2,"State","TN","Category",6,"Category2","Four-Year")</f>
        <v>0</v>
      </c>
      <c r="H56" s="112">
        <f>+GETPIVOTDATA("Graduate FTE - Old",'FTE Pivot for regular counts'!$A$2,"State","TN","Category2","Four-Year")</f>
        <v>15530.458333333332</v>
      </c>
    </row>
    <row r="57" spans="1:10" ht="15" customHeight="1">
      <c r="A57" s="1" t="s">
        <v>77</v>
      </c>
      <c r="B57" s="33">
        <f>+GETPIVOTDATA("Graduate FTE - Old",'FTE Pivot for regular counts'!$A$2,"State","TX","Category",1,"Category2","Four-Year")</f>
        <v>48326.625</v>
      </c>
      <c r="C57" s="33">
        <f>+GETPIVOTDATA("Graduate FTE - Old",'FTE Pivot for regular counts'!$A$2,"State","TX","Category",2,"Category2","Four-Year")</f>
        <v>9267.75</v>
      </c>
      <c r="D57" s="33">
        <f>+GETPIVOTDATA("Graduate FTE - Old",'FTE Pivot for regular counts'!$A$2,"State","TX","Category",3,"Category2","Four-Year")</f>
        <v>31112.041666666668</v>
      </c>
      <c r="E57" s="33">
        <f>+GETPIVOTDATA("Graduate FTE - Old",'FTE Pivot for regular counts'!$A$2,"State","TX","Category",4,"Category2","Four-Year")</f>
        <v>1584.7083333333333</v>
      </c>
      <c r="F57" s="33">
        <f>+GETPIVOTDATA("Graduate FTE - Old",'FTE Pivot for regular counts'!$A$2,"State","TX","Category",5,"Category2","Four-Year")</f>
        <v>1057.2083333333333</v>
      </c>
      <c r="G57" s="12">
        <f>+GETPIVOTDATA("Graduate FTE - Old",'FTE Pivot for regular counts'!$A$2,"State","TX","Category",6,"Category2","Four-Year")</f>
        <v>86.916666666666671</v>
      </c>
      <c r="H57" s="112">
        <f>+GETPIVOTDATA("Graduate FTE - Old",'FTE Pivot for regular counts'!$A$2,"State","TX","Category2","Four-Year")</f>
        <v>91435.25</v>
      </c>
    </row>
    <row r="58" spans="1:10" ht="15" customHeight="1">
      <c r="A58" s="1" t="s">
        <v>78</v>
      </c>
      <c r="B58" s="33">
        <f>+GETPIVOTDATA("Graduate FTE - Old",'FTE Pivot for regular counts'!$A$2,"State","VA","Category",1,"Category2","Four-Year")</f>
        <v>28940.204166666666</v>
      </c>
      <c r="C58" s="33">
        <f>+GETPIVOTDATA("Graduate FTE - Old",'FTE Pivot for regular counts'!$A$2,"State","VA","Category",2,"Category2","Four-Year")</f>
        <v>2310.0625</v>
      </c>
      <c r="D58" s="33">
        <f>+GETPIVOTDATA("Graduate FTE - Old",'FTE Pivot for regular counts'!$A$2,"State","VA","Category",3,"Category2","Four-Year")</f>
        <v>3828.7583333333332</v>
      </c>
      <c r="E58" s="33">
        <f>+GETPIVOTDATA("Graduate FTE - Old",'FTE Pivot for regular counts'!$A$2,"State","VA","Category",4,"Category2","Four-Year")</f>
        <v>0</v>
      </c>
      <c r="F58" s="33">
        <f>+GETPIVOTDATA("Graduate FTE - Old",'FTE Pivot for regular counts'!$A$2,"State","VA","Category",5,"Category2","Four-Year")</f>
        <v>141.41666666666666</v>
      </c>
      <c r="G58" s="12">
        <f>+GETPIVOTDATA("Graduate FTE - Old",'FTE Pivot for regular counts'!$A$2,"State","VA","Category",6,"Category2","Four-Year")</f>
        <v>0</v>
      </c>
      <c r="H58" s="112">
        <f>+GETPIVOTDATA("Graduate FTE - Old",'FTE Pivot for regular counts'!$A$2,"State","VA","Category2","Four-Year")</f>
        <v>35220.441666666666</v>
      </c>
    </row>
    <row r="59" spans="1:10" ht="15" customHeight="1">
      <c r="A59" s="3" t="s">
        <v>79</v>
      </c>
      <c r="B59" s="13">
        <f>+GETPIVOTDATA("Graduate FTE - Old",'FTE Pivot for regular counts'!$A$2,"State","WV","Category",1,"Category2","Four-Year")</f>
        <v>4542.208333333333</v>
      </c>
      <c r="C59" s="13">
        <f>+GETPIVOTDATA("Graduate FTE - Old",'FTE Pivot for regular counts'!$A$2,"State","WV","Category",2,"Category2","Four-Year")</f>
        <v>0</v>
      </c>
      <c r="D59" s="13">
        <f>+GETPIVOTDATA("Graduate FTE - Old",'FTE Pivot for regular counts'!$A$2,"State","WV","Category",3,"Category2","Four-Year")</f>
        <v>2614.2916666666665</v>
      </c>
      <c r="E59" s="13">
        <f>+GETPIVOTDATA("Graduate FTE - Old",'FTE Pivot for regular counts'!$A$2,"State","WV","Category",4,"Category2","Four-Year")</f>
        <v>0</v>
      </c>
      <c r="F59" s="13">
        <f>+GETPIVOTDATA("Graduate FTE - Old",'FTE Pivot for regular counts'!$A$2,"State","WV","Category",5,"Category2","Four-Year")</f>
        <v>319.70833333333331</v>
      </c>
      <c r="G59" s="14">
        <f>+GETPIVOTDATA("Graduate FTE - Old",'FTE Pivot for regular counts'!$A$2,"State","WV","Category",6,"Category2","Four-Year")</f>
        <v>397.58333333333337</v>
      </c>
      <c r="H59" s="113">
        <f>+GETPIVOTDATA("Graduate FTE - Old",'FTE Pivot for regular counts'!$A$2,"State","WV","Category2","Four-Year")</f>
        <v>7873.7916666666661</v>
      </c>
    </row>
    <row r="60" spans="1:10" ht="37.5" customHeight="1">
      <c r="A60" s="832" t="s">
        <v>983</v>
      </c>
      <c r="B60" s="840"/>
      <c r="C60" s="840"/>
      <c r="D60" s="840"/>
      <c r="E60" s="840"/>
      <c r="F60" s="840"/>
      <c r="G60" s="840"/>
      <c r="H60" s="840"/>
    </row>
    <row r="61" spans="1:10">
      <c r="A61" s="49"/>
      <c r="B61" s="50"/>
      <c r="C61" s="50"/>
      <c r="D61" s="50"/>
      <c r="E61" s="50"/>
      <c r="F61" s="50"/>
      <c r="G61" s="50"/>
      <c r="H61" s="168" t="s">
        <v>975</v>
      </c>
    </row>
    <row r="62" spans="1:10">
      <c r="A62" s="49"/>
      <c r="B62" s="50"/>
      <c r="C62" s="50"/>
      <c r="D62" s="50"/>
      <c r="E62" s="50"/>
      <c r="F62" s="50"/>
      <c r="G62" s="50"/>
      <c r="H62" s="168"/>
    </row>
    <row r="63" spans="1:10" ht="18">
      <c r="A63" s="41" t="s">
        <v>165</v>
      </c>
      <c r="B63" s="41"/>
      <c r="C63" s="41"/>
      <c r="D63" s="41"/>
      <c r="E63" s="41"/>
      <c r="F63" s="41"/>
      <c r="G63" s="41"/>
      <c r="H63" s="114"/>
      <c r="J63" s="223"/>
    </row>
    <row r="64" spans="1:10" ht="15.75">
      <c r="A64" s="55"/>
      <c r="B64" s="43"/>
      <c r="C64" s="43"/>
      <c r="D64" s="43"/>
      <c r="E64" s="43"/>
      <c r="F64" s="43"/>
      <c r="G64" s="43"/>
      <c r="H64" s="109"/>
    </row>
    <row r="65" spans="1:8" ht="15.75">
      <c r="A65" s="43" t="s">
        <v>36</v>
      </c>
      <c r="B65" s="43"/>
      <c r="C65" s="43"/>
      <c r="D65" s="43"/>
      <c r="E65" s="43"/>
      <c r="F65" s="43"/>
      <c r="G65" s="43"/>
      <c r="H65" s="109"/>
    </row>
    <row r="66" spans="1:8" ht="15.75">
      <c r="A66" s="109" t="s">
        <v>253</v>
      </c>
      <c r="B66" s="43"/>
      <c r="C66" s="43"/>
      <c r="D66" s="43"/>
      <c r="E66" s="43"/>
      <c r="F66" s="43"/>
      <c r="G66" s="43"/>
      <c r="H66" s="109"/>
    </row>
    <row r="67" spans="1:8" ht="15.75">
      <c r="A67" s="43"/>
      <c r="B67" s="43"/>
      <c r="C67" s="43"/>
      <c r="D67" s="43"/>
      <c r="E67" s="43"/>
      <c r="F67" s="43"/>
      <c r="G67" s="43"/>
      <c r="H67" s="109"/>
    </row>
    <row r="68" spans="1:8" ht="15" customHeight="1">
      <c r="A68" s="52"/>
      <c r="B68" s="52" t="s">
        <v>62</v>
      </c>
      <c r="C68" s="52"/>
      <c r="D68" s="52"/>
      <c r="E68" s="52"/>
      <c r="F68" s="52"/>
      <c r="G68" s="52"/>
      <c r="H68" s="110"/>
    </row>
    <row r="69" spans="1:8" ht="15" customHeight="1">
      <c r="A69" s="53"/>
      <c r="B69" s="46">
        <v>1</v>
      </c>
      <c r="C69" s="46">
        <v>2</v>
      </c>
      <c r="D69" s="46">
        <v>3</v>
      </c>
      <c r="E69" s="46">
        <v>4</v>
      </c>
      <c r="F69" s="46">
        <v>5</v>
      </c>
      <c r="G69" s="54">
        <v>6</v>
      </c>
      <c r="H69" s="92" t="s">
        <v>30</v>
      </c>
    </row>
    <row r="70" spans="1:8" ht="15" customHeight="1">
      <c r="A70" s="1" t="s">
        <v>64</v>
      </c>
      <c r="B70" s="11">
        <f>+'OLD Tables'!B9+'OLD Tables'!B39</f>
        <v>1167992.5083333333</v>
      </c>
      <c r="C70" s="11">
        <f>+'OLD Tables'!D9+'OLD Tables'!C39</f>
        <v>231299.48083333328</v>
      </c>
      <c r="D70" s="11">
        <f>+'OLD Tables'!F9+'OLD Tables'!D39</f>
        <v>662625.09166666679</v>
      </c>
      <c r="E70" s="11">
        <f>+'OLD Tables'!H9+'OLD Tables'!E39</f>
        <v>164513.4291666667</v>
      </c>
      <c r="F70" s="11">
        <f>+'OLD Tables'!J9+'OLD Tables'!F39</f>
        <v>97707.949999999983</v>
      </c>
      <c r="G70" s="12">
        <f>+'OLD Tables'!L9+'OLD Tables'!G39</f>
        <v>73935.808333333349</v>
      </c>
      <c r="H70" s="111">
        <f>+'OLD Tables'!N9+'OLD Tables'!H39</f>
        <v>2398074.2683333331</v>
      </c>
    </row>
    <row r="71" spans="1:8" ht="15" customHeight="1">
      <c r="B71" s="11"/>
      <c r="C71" s="11"/>
      <c r="D71" s="11"/>
      <c r="E71" s="11"/>
      <c r="F71" s="11"/>
      <c r="G71" s="12"/>
      <c r="H71" s="111"/>
    </row>
    <row r="72" spans="1:8" ht="15" customHeight="1">
      <c r="A72" s="1" t="s">
        <v>65</v>
      </c>
      <c r="B72" s="33">
        <f>+'OLD Tables'!B11+'OLD Tables'!B41</f>
        <v>56205.141666666663</v>
      </c>
      <c r="C72" s="33">
        <f>+'OLD Tables'!D11+'OLD Tables'!C41</f>
        <v>16613.150000000001</v>
      </c>
      <c r="D72" s="33">
        <f>+'OLD Tables'!F11+'OLD Tables'!D41</f>
        <v>32079.299999999996</v>
      </c>
      <c r="E72" s="33">
        <f>+'OLD Tables'!H11+'OLD Tables'!E41</f>
        <v>15306.025</v>
      </c>
      <c r="F72" s="33">
        <f>+'OLD Tables'!J11+'OLD Tables'!F41</f>
        <v>5853.9833333333336</v>
      </c>
      <c r="G72" s="12">
        <f>+'OLD Tables'!L11+'OLD Tables'!G41</f>
        <v>2445.6999999999998</v>
      </c>
      <c r="H72" s="112">
        <f>+'OLD Tables'!N11+'OLD Tables'!H41</f>
        <v>128503.29999999999</v>
      </c>
    </row>
    <row r="73" spans="1:8" ht="15" customHeight="1">
      <c r="A73" s="4" t="s">
        <v>66</v>
      </c>
      <c r="B73" s="33">
        <f>+'OLD Tables'!B12+'OLD Tables'!B42</f>
        <v>24026.483333333334</v>
      </c>
      <c r="C73" s="33">
        <f>+'OLD Tables'!D12+'OLD Tables'!C42</f>
        <v>8977.875</v>
      </c>
      <c r="D73" s="33">
        <f>+'OLD Tables'!F12+'OLD Tables'!D42</f>
        <v>30872.958333333336</v>
      </c>
      <c r="E73" s="33">
        <f>+'OLD Tables'!H12+'OLD Tables'!E42</f>
        <v>6548.6416666666664</v>
      </c>
      <c r="F73" s="33">
        <f>+'OLD Tables'!J12+'OLD Tables'!F42</f>
        <v>2457.1583333333333</v>
      </c>
      <c r="G73" s="12">
        <f>+'OLD Tables'!L12+'OLD Tables'!G42</f>
        <v>8086.3333333333339</v>
      </c>
      <c r="H73" s="112">
        <f>+'OLD Tables'!N12+'OLD Tables'!H42</f>
        <v>80969.45</v>
      </c>
    </row>
    <row r="74" spans="1:8" ht="15" customHeight="1">
      <c r="A74" s="1" t="s">
        <v>102</v>
      </c>
      <c r="B74" s="33">
        <f>+'OLD Tables'!B13+'OLD Tables'!B43</f>
        <v>20462.574999999997</v>
      </c>
      <c r="C74" s="33">
        <f>+'OLD Tables'!D13+'OLD Tables'!C43</f>
        <v>0</v>
      </c>
      <c r="D74" s="33">
        <f>+'OLD Tables'!F13+'OLD Tables'!D43</f>
        <v>4102.1750000000002</v>
      </c>
      <c r="E74" s="1">
        <f>+'OLD Tables'!H13+'OLD Tables'!E43</f>
        <v>0</v>
      </c>
      <c r="F74" s="33">
        <f>+'OLD Tables'!J13+'OLD Tables'!F43</f>
        <v>0</v>
      </c>
      <c r="G74" s="12">
        <f>+'OLD Tables'!L13+'OLD Tables'!G43</f>
        <v>0</v>
      </c>
      <c r="H74" s="1">
        <f>+'OLD Tables'!N13+'OLD Tables'!H43</f>
        <v>24564.75</v>
      </c>
    </row>
    <row r="75" spans="1:8" ht="15" customHeight="1">
      <c r="A75" s="1" t="s">
        <v>67</v>
      </c>
      <c r="B75" s="33">
        <f>+'OLD Tables'!B14+'OLD Tables'!B44</f>
        <v>251243.80416666664</v>
      </c>
      <c r="C75" s="33">
        <f>+'OLD Tables'!D14+'OLD Tables'!C44</f>
        <v>0</v>
      </c>
      <c r="D75" s="33">
        <f>+'OLD Tables'!F14+'OLD Tables'!D44</f>
        <v>34045.291666666672</v>
      </c>
      <c r="E75" s="33">
        <f>+'OLD Tables'!H14+'OLD Tables'!E44</f>
        <v>12070.85</v>
      </c>
      <c r="F75" s="33">
        <f>+'OLD Tables'!J14+'OLD Tables'!F44</f>
        <v>0</v>
      </c>
      <c r="G75" s="12">
        <f>+'OLD Tables'!L14+'OLD Tables'!G44</f>
        <v>921.33333333333337</v>
      </c>
      <c r="H75" s="112">
        <f>+'OLD Tables'!N14+'OLD Tables'!H44</f>
        <v>298281.27916666667</v>
      </c>
    </row>
    <row r="76" spans="1:8" ht="15" customHeight="1">
      <c r="B76" s="33"/>
      <c r="C76" s="33"/>
      <c r="D76" s="33"/>
      <c r="E76" s="33"/>
      <c r="F76" s="33"/>
      <c r="G76" s="12"/>
      <c r="H76" s="112"/>
    </row>
    <row r="77" spans="1:8" ht="15" customHeight="1">
      <c r="A77" s="1" t="s">
        <v>68</v>
      </c>
      <c r="B77" s="33">
        <f>+'OLD Tables'!B16+'OLD Tables'!B46</f>
        <v>67266.899999999994</v>
      </c>
      <c r="C77" s="33">
        <f>+'OLD Tables'!D16+'OLD Tables'!C46</f>
        <v>24409.449999999997</v>
      </c>
      <c r="D77" s="33">
        <f>+'OLD Tables'!F16+'OLD Tables'!D46</f>
        <v>65912.0625</v>
      </c>
      <c r="E77" s="33">
        <f>+'OLD Tables'!H16+'OLD Tables'!E46</f>
        <v>50947.241666666669</v>
      </c>
      <c r="F77" s="33">
        <f>+'OLD Tables'!J16+'OLD Tables'!F46</f>
        <v>6898.7583333333332</v>
      </c>
      <c r="G77" s="12">
        <f>+'OLD Tables'!L16+'OLD Tables'!G46</f>
        <v>18904.800000000003</v>
      </c>
      <c r="H77" s="112">
        <f>+'OLD Tables'!N16+'OLD Tables'!H46</f>
        <v>234339.21250000002</v>
      </c>
    </row>
    <row r="78" spans="1:8" ht="15" customHeight="1">
      <c r="A78" s="1" t="s">
        <v>69</v>
      </c>
      <c r="B78" s="33">
        <f>+'OLD Tables'!B17+'OLD Tables'!B47</f>
        <v>40396.724999999999</v>
      </c>
      <c r="C78" s="33">
        <f>+'OLD Tables'!D17+'OLD Tables'!C47</f>
        <v>0</v>
      </c>
      <c r="D78" s="33">
        <f>+'OLD Tables'!F17+'OLD Tables'!D47</f>
        <v>58750.233333333337</v>
      </c>
      <c r="E78" s="33">
        <f>+'OLD Tables'!H17+'OLD Tables'!E47</f>
        <v>1655.6416666666667</v>
      </c>
      <c r="F78" s="33">
        <f>+'OLD Tables'!J17+'OLD Tables'!F47</f>
        <v>0</v>
      </c>
      <c r="G78" s="12">
        <f>+'OLD Tables'!L17+'OLD Tables'!G47</f>
        <v>0</v>
      </c>
      <c r="H78" s="112">
        <f>+'OLD Tables'!N17+'OLD Tables'!H47</f>
        <v>100802.6</v>
      </c>
    </row>
    <row r="79" spans="1:8" ht="15" customHeight="1">
      <c r="A79" s="1" t="s">
        <v>70</v>
      </c>
      <c r="B79" s="33">
        <f>+'OLD Tables'!B18+'OLD Tables'!B48</f>
        <v>29667.033333333333</v>
      </c>
      <c r="C79" s="33">
        <f>+'OLD Tables'!D18+'OLD Tables'!C48</f>
        <v>30973.041666666664</v>
      </c>
      <c r="D79" s="33">
        <f>+'OLD Tables'!F18+'OLD Tables'!D48</f>
        <v>25598.716666666667</v>
      </c>
      <c r="E79" s="33">
        <f>+'OLD Tables'!H18+'OLD Tables'!E48</f>
        <v>27290.275000000001</v>
      </c>
      <c r="F79" s="33">
        <f>+'OLD Tables'!J18+'OLD Tables'!F48</f>
        <v>2254.7333333333331</v>
      </c>
      <c r="G79" s="12">
        <f>+'OLD Tables'!L18+'OLD Tables'!G48</f>
        <v>1845.5</v>
      </c>
      <c r="H79" s="112">
        <f>+'OLD Tables'!N18+'OLD Tables'!H48</f>
        <v>117629.29999999999</v>
      </c>
    </row>
    <row r="80" spans="1:8" ht="15" customHeight="1">
      <c r="A80" s="1" t="s">
        <v>71</v>
      </c>
      <c r="B80" s="33">
        <f>+'OLD Tables'!B19+'OLD Tables'!B49</f>
        <v>33185.449999999997</v>
      </c>
      <c r="C80" s="33">
        <f>+'OLD Tables'!D19+'OLD Tables'!C49</f>
        <v>18896.741666666665</v>
      </c>
      <c r="D80" s="33">
        <f>+'OLD Tables'!F19+'OLD Tables'!D49</f>
        <v>20084.579166666666</v>
      </c>
      <c r="E80" s="33">
        <f>+'OLD Tables'!H19+'OLD Tables'!E49</f>
        <v>27273.679166666669</v>
      </c>
      <c r="F80" s="33">
        <f>+'OLD Tables'!J19+'OLD Tables'!F49</f>
        <v>2649.6750000000002</v>
      </c>
      <c r="G80" s="12">
        <f>+'OLD Tables'!L19+'OLD Tables'!G49</f>
        <v>1862.2666666666667</v>
      </c>
      <c r="H80" s="112">
        <f>+'OLD Tables'!N19+'OLD Tables'!H49</f>
        <v>103952.39166666666</v>
      </c>
    </row>
    <row r="81" spans="1:13" ht="15" customHeight="1">
      <c r="B81" s="33"/>
      <c r="C81" s="33"/>
      <c r="D81" s="33"/>
      <c r="E81" s="33"/>
      <c r="F81" s="33"/>
      <c r="G81" s="12"/>
      <c r="H81" s="112"/>
    </row>
    <row r="82" spans="1:13" ht="15" customHeight="1">
      <c r="A82" s="1" t="s">
        <v>72</v>
      </c>
      <c r="B82" s="33">
        <f>+'OLD Tables'!B21+'OLD Tables'!B51</f>
        <v>31312.6</v>
      </c>
      <c r="C82" s="33">
        <f>+'OLD Tables'!D21+'OLD Tables'!C51</f>
        <v>26636.325000000001</v>
      </c>
      <c r="D82" s="33">
        <f>+'OLD Tables'!F21+'OLD Tables'!D51</f>
        <v>0</v>
      </c>
      <c r="E82" s="33">
        <f>+'OLD Tables'!H21+'OLD Tables'!E51</f>
        <v>8638.8666666666668</v>
      </c>
      <c r="F82" s="33">
        <f>+'OLD Tables'!J21+'OLD Tables'!F51</f>
        <v>2481.8583333333331</v>
      </c>
      <c r="G82" s="12">
        <f>+'OLD Tables'!L21+'OLD Tables'!G51</f>
        <v>0</v>
      </c>
      <c r="H82" s="112">
        <f>+'OLD Tables'!N21+'OLD Tables'!H51</f>
        <v>69069.649999999994</v>
      </c>
    </row>
    <row r="83" spans="1:13" ht="15" customHeight="1">
      <c r="A83" s="1" t="s">
        <v>73</v>
      </c>
      <c r="B83" s="33">
        <f>+'OLD Tables'!B22+'OLD Tables'!B52</f>
        <v>93347.041666666672</v>
      </c>
      <c r="C83" s="33">
        <f>+'OLD Tables'!D22+'OLD Tables'!C52</f>
        <v>23278.275000000001</v>
      </c>
      <c r="D83" s="33">
        <f>+'OLD Tables'!F22+'OLD Tables'!D52</f>
        <v>58110.483333333337</v>
      </c>
      <c r="E83" s="33">
        <f>+'OLD Tables'!H22+'OLD Tables'!E52</f>
        <v>5436.875</v>
      </c>
      <c r="F83" s="33">
        <f>+'OLD Tables'!J22+'OLD Tables'!F52</f>
        <v>10547.958333333334</v>
      </c>
      <c r="G83" s="12">
        <f>+'OLD Tables'!L22+'OLD Tables'!G52</f>
        <v>5451.4333333333334</v>
      </c>
      <c r="H83" s="112">
        <f>+'OLD Tables'!N22+'OLD Tables'!H52</f>
        <v>196172.06666666665</v>
      </c>
    </row>
    <row r="84" spans="1:13" ht="15" customHeight="1">
      <c r="A84" s="1" t="s">
        <v>74</v>
      </c>
      <c r="B84" s="33">
        <f>+'OLD Tables'!B23+'OLD Tables'!B53</f>
        <v>39377</v>
      </c>
      <c r="C84" s="33">
        <f>+'OLD Tables'!D23+'OLD Tables'!C53</f>
        <v>0</v>
      </c>
      <c r="D84" s="33">
        <f>+'OLD Tables'!F23+'OLD Tables'!D53</f>
        <v>20078.400000000001</v>
      </c>
      <c r="E84" s="33">
        <f>+'OLD Tables'!H23+'OLD Tables'!E53</f>
        <v>3231.125</v>
      </c>
      <c r="F84" s="33">
        <f>+'OLD Tables'!J23+'OLD Tables'!F53</f>
        <v>16542.758333333335</v>
      </c>
      <c r="G84" s="12">
        <f>+'OLD Tables'!L23+'OLD Tables'!G53</f>
        <v>4945.9249999999993</v>
      </c>
      <c r="H84" s="112">
        <f>+'OLD Tables'!N23+'OLD Tables'!H53</f>
        <v>84175.208333333343</v>
      </c>
    </row>
    <row r="85" spans="1:13" ht="15" customHeight="1">
      <c r="A85" s="1" t="s">
        <v>75</v>
      </c>
      <c r="B85" s="33">
        <f>+'OLD Tables'!B24+'OLD Tables'!B54</f>
        <v>50235.950000000004</v>
      </c>
      <c r="C85" s="33">
        <f>+'OLD Tables'!D24+'OLD Tables'!C54</f>
        <v>0</v>
      </c>
      <c r="D85" s="33">
        <f>+'OLD Tables'!F24+'OLD Tables'!D54</f>
        <v>20077.308333333334</v>
      </c>
      <c r="E85" s="33">
        <f>+'OLD Tables'!H24+'OLD Tables'!E54</f>
        <v>0</v>
      </c>
      <c r="F85" s="33">
        <f>+'OLD Tables'!J24+'OLD Tables'!F54</f>
        <v>15927.05</v>
      </c>
      <c r="G85" s="12">
        <f>+'OLD Tables'!L24+'OLD Tables'!G54</f>
        <v>12250.166666666668</v>
      </c>
      <c r="H85" s="112">
        <f>+'OLD Tables'!N24+'OLD Tables'!H54</f>
        <v>98490.475000000006</v>
      </c>
    </row>
    <row r="86" spans="1:13" ht="15" customHeight="1">
      <c r="B86" s="33"/>
      <c r="C86" s="33"/>
      <c r="D86" s="33"/>
      <c r="E86" s="33"/>
      <c r="F86" s="33"/>
      <c r="G86" s="12"/>
      <c r="H86" s="112"/>
    </row>
    <row r="87" spans="1:13" ht="15" customHeight="1">
      <c r="A87" s="1" t="s">
        <v>76</v>
      </c>
      <c r="B87" s="33">
        <f>+'OLD Tables'!B26+'OLD Tables'!B56</f>
        <v>41612.016666666663</v>
      </c>
      <c r="C87" s="33">
        <f>+'OLD Tables'!D26+'OLD Tables'!C56</f>
        <v>20052.883333333331</v>
      </c>
      <c r="D87" s="33">
        <f>+'OLD Tables'!F26+'OLD Tables'!D56</f>
        <v>48997.008333333324</v>
      </c>
      <c r="E87" s="33">
        <f>+'OLD Tables'!H26+'OLD Tables'!E56</f>
        <v>0</v>
      </c>
      <c r="F87" s="33">
        <f>+'OLD Tables'!J26+'OLD Tables'!F56</f>
        <v>6579.8166666666666</v>
      </c>
      <c r="G87" s="12">
        <f>+'OLD Tables'!L26+'OLD Tables'!G56</f>
        <v>0</v>
      </c>
      <c r="H87" s="112">
        <f>+'OLD Tables'!N26+'OLD Tables'!H56</f>
        <v>117241.72499999998</v>
      </c>
    </row>
    <row r="88" spans="1:13" ht="15" customHeight="1">
      <c r="A88" s="1" t="s">
        <v>77</v>
      </c>
      <c r="B88" s="33">
        <f>+'OLD Tables'!B27+'OLD Tables'!B57</f>
        <v>232636.82500000001</v>
      </c>
      <c r="C88" s="33">
        <f>+'OLD Tables'!D27+'OLD Tables'!C57</f>
        <v>52990.45</v>
      </c>
      <c r="D88" s="33">
        <f>+'OLD Tables'!F27+'OLD Tables'!D57</f>
        <v>182764.30833333332</v>
      </c>
      <c r="E88" s="33">
        <f>+'OLD Tables'!H27+'OLD Tables'!E57</f>
        <v>6114.208333333333</v>
      </c>
      <c r="F88" s="33">
        <f>+'OLD Tables'!J27+'OLD Tables'!F57</f>
        <v>13157.308333333332</v>
      </c>
      <c r="G88" s="12">
        <f>+'OLD Tables'!L27+'OLD Tables'!G57</f>
        <v>2104.25</v>
      </c>
      <c r="H88" s="112">
        <f>+'OLD Tables'!N27+'OLD Tables'!H57</f>
        <v>489767.35</v>
      </c>
    </row>
    <row r="89" spans="1:13" ht="15" customHeight="1">
      <c r="A89" s="1" t="s">
        <v>78</v>
      </c>
      <c r="B89" s="33">
        <f>+'OLD Tables'!B28+'OLD Tables'!B58</f>
        <v>130438.08749999999</v>
      </c>
      <c r="C89" s="33">
        <f>+'OLD Tables'!D28+'OLD Tables'!C58</f>
        <v>8471.2891666666656</v>
      </c>
      <c r="D89" s="33">
        <f>+'OLD Tables'!F28+'OLD Tables'!D58</f>
        <v>49734.174999999996</v>
      </c>
      <c r="E89" s="33">
        <f>+'OLD Tables'!H28+'OLD Tables'!E58</f>
        <v>0</v>
      </c>
      <c r="F89" s="33">
        <f>+'OLD Tables'!J28+'OLD Tables'!F58</f>
        <v>5086.8833333333332</v>
      </c>
      <c r="G89" s="12">
        <f>+'OLD Tables'!L28+'OLD Tables'!G58</f>
        <v>1756.1666666666667</v>
      </c>
      <c r="H89" s="112">
        <f>+'OLD Tables'!N28+'OLD Tables'!H58</f>
        <v>195486.60166666668</v>
      </c>
    </row>
    <row r="90" spans="1:13" ht="15" customHeight="1">
      <c r="A90" s="3" t="s">
        <v>79</v>
      </c>
      <c r="B90" s="13">
        <f>+'OLD Tables'!B29+'OLD Tables'!B59</f>
        <v>26578.875</v>
      </c>
      <c r="C90" s="13">
        <f>+'OLD Tables'!D29+'OLD Tables'!C59</f>
        <v>0</v>
      </c>
      <c r="D90" s="13">
        <f>+'OLD Tables'!F29+'OLD Tables'!D59</f>
        <v>11418.091666666665</v>
      </c>
      <c r="E90" s="13">
        <f>+'OLD Tables'!H29+'OLD Tables'!E59</f>
        <v>0</v>
      </c>
      <c r="F90" s="13">
        <f>+'OLD Tables'!J29+'OLD Tables'!F59</f>
        <v>7270.0083333333323</v>
      </c>
      <c r="G90" s="14">
        <f>+'OLD Tables'!L29+'OLD Tables'!G59</f>
        <v>13361.933333333332</v>
      </c>
      <c r="H90" s="113">
        <f>+'OLD Tables'!N29+'OLD Tables'!H59</f>
        <v>58628.908333333326</v>
      </c>
    </row>
    <row r="91" spans="1:13" ht="51.75" customHeight="1">
      <c r="A91" s="832" t="s">
        <v>984</v>
      </c>
      <c r="B91" s="840"/>
      <c r="C91" s="840"/>
      <c r="D91" s="840"/>
      <c r="E91" s="840"/>
      <c r="F91" s="840"/>
      <c r="G91" s="840"/>
      <c r="H91" s="840"/>
    </row>
    <row r="92" spans="1:13">
      <c r="A92" s="49"/>
      <c r="B92" s="50"/>
      <c r="C92" s="50"/>
      <c r="D92" s="50"/>
      <c r="E92" s="50"/>
      <c r="F92" s="50"/>
      <c r="G92" s="50"/>
      <c r="H92" s="168" t="s">
        <v>975</v>
      </c>
    </row>
    <row r="93" spans="1:13" ht="18">
      <c r="A93" s="835" t="s">
        <v>166</v>
      </c>
      <c r="B93" s="835"/>
      <c r="C93" s="835"/>
      <c r="D93" s="835"/>
      <c r="E93" s="835"/>
      <c r="F93" s="835"/>
      <c r="G93" s="835"/>
      <c r="H93" s="835"/>
      <c r="I93" s="835"/>
      <c r="J93" s="835"/>
      <c r="K93" s="261"/>
      <c r="L93" s="261"/>
      <c r="M93" s="177"/>
    </row>
    <row r="94" spans="1:13" ht="15.75">
      <c r="A94" s="21"/>
      <c r="B94" s="21"/>
      <c r="C94" s="21"/>
      <c r="D94" s="21"/>
      <c r="E94" s="21"/>
      <c r="F94" s="21"/>
      <c r="G94" s="21"/>
      <c r="H94" s="104"/>
      <c r="I94" s="21"/>
      <c r="J94" s="104"/>
      <c r="K94" s="104"/>
      <c r="L94" s="104"/>
      <c r="M94" s="193"/>
    </row>
    <row r="95" spans="1:13" ht="15.75">
      <c r="A95" s="836" t="s">
        <v>34</v>
      </c>
      <c r="B95" s="836"/>
      <c r="C95" s="836"/>
      <c r="D95" s="836"/>
      <c r="E95" s="836"/>
      <c r="F95" s="836"/>
      <c r="G95" s="836"/>
      <c r="H95" s="836"/>
      <c r="I95" s="836"/>
      <c r="J95" s="836"/>
      <c r="K95" s="262"/>
      <c r="L95" s="262"/>
      <c r="M95" s="194"/>
    </row>
    <row r="96" spans="1:13" ht="15.75">
      <c r="A96" s="837" t="s">
        <v>254</v>
      </c>
      <c r="B96" s="837"/>
      <c r="C96" s="837"/>
      <c r="D96" s="837"/>
      <c r="E96" s="837"/>
      <c r="F96" s="837"/>
      <c r="G96" s="837"/>
      <c r="H96" s="837"/>
      <c r="I96" s="837"/>
      <c r="J96" s="837"/>
      <c r="K96" s="262"/>
      <c r="L96" s="262"/>
      <c r="M96" s="194"/>
    </row>
    <row r="97" spans="1:13">
      <c r="B97" s="2"/>
      <c r="C97" s="2"/>
      <c r="D97" s="2"/>
      <c r="E97" s="2"/>
      <c r="F97" s="2"/>
      <c r="G97" s="2"/>
      <c r="H97" s="106"/>
      <c r="I97" s="2"/>
      <c r="J97" s="106"/>
      <c r="K97" s="106"/>
      <c r="L97" s="106"/>
      <c r="M97" s="186"/>
    </row>
    <row r="98" spans="1:13" ht="15" customHeight="1">
      <c r="A98" s="44"/>
      <c r="B98" s="56" t="s">
        <v>63</v>
      </c>
      <c r="C98" s="56"/>
      <c r="D98" s="27"/>
      <c r="E98" s="27"/>
      <c r="F98" s="28"/>
      <c r="G98" s="57" t="s">
        <v>45</v>
      </c>
      <c r="H98" s="90"/>
      <c r="I98" s="91"/>
      <c r="J98" s="169" t="s">
        <v>28</v>
      </c>
      <c r="K98" s="169" t="s">
        <v>28</v>
      </c>
      <c r="L98" s="223"/>
      <c r="M98" s="169"/>
    </row>
    <row r="99" spans="1:13" ht="24">
      <c r="A99" s="45"/>
      <c r="B99" s="58" t="s">
        <v>140</v>
      </c>
      <c r="C99" s="46">
        <v>1</v>
      </c>
      <c r="D99" s="46">
        <v>2</v>
      </c>
      <c r="E99" s="46">
        <v>3</v>
      </c>
      <c r="F99" s="59" t="s">
        <v>30</v>
      </c>
      <c r="G99" s="60">
        <v>1</v>
      </c>
      <c r="H99" s="93">
        <v>2</v>
      </c>
      <c r="I99" s="92" t="s">
        <v>30</v>
      </c>
      <c r="J99" s="122"/>
      <c r="K99" s="122"/>
      <c r="L99" s="122"/>
      <c r="M99" s="122"/>
    </row>
    <row r="100" spans="1:13" ht="15" customHeight="1">
      <c r="A100" s="1" t="s">
        <v>64</v>
      </c>
      <c r="B100" s="5">
        <f>+GETPIVOTDATA("Undergrad Student Credit Hour  FTE - Old",'FTE Pivot for regular counts'!$A$2,"Category","7","Category2","Two-Year")</f>
        <v>306032.2</v>
      </c>
      <c r="C100" s="15">
        <f>+GETPIVOTDATA("Undergrad Student Credit Hour  FTE - Old",'FTE Pivot for regular counts'!$A$2,"Category","8","Category2","Two-Year")</f>
        <v>821314.8666666667</v>
      </c>
      <c r="D100" s="5">
        <f>+GETPIVOTDATA("Undergrad Student Credit Hour  FTE - Old",'FTE Pivot for regular counts'!$A$2,"Category","9","Category2","Two-Year")</f>
        <v>398617.8666666667</v>
      </c>
      <c r="E100" s="5">
        <f>+GETPIVOTDATA("Undergrad Student Credit Hour  FTE - Old",'FTE Pivot for regular counts'!$A$2,"Category","10","Category2","Two-Year")</f>
        <v>118674.02999999998</v>
      </c>
      <c r="F100" s="23">
        <f>+GETPIVOTDATA("Undergrad Student Credit Hour  FTE - Old",'FTE Pivot for regular counts'!$A$2,"Category2","Two-Year")</f>
        <v>1644638.9633333331</v>
      </c>
      <c r="G100" s="18">
        <f>+GETPIVOTDATA("Undergrad Student Credit Hour  FTE - Old",'FTE Pivot for regular counts'!$A$2,"Category","12","Category2","Technical")</f>
        <v>88194.566666666666</v>
      </c>
      <c r="H100" s="102">
        <f>+GETPIVOTDATA("Undergrad Student Credit Hour  FTE - Old",'FTE Pivot for regular counts'!$A$2,"Category","13","Category2","Technical")</f>
        <v>1908.1999999999998</v>
      </c>
      <c r="I100" s="4">
        <f>+GETPIVOTDATA("Undergrad Student Credit Hour  FTE - Old",'FTE Pivot for regular counts'!$A$2,"Category2","Technical")</f>
        <v>90102.766666666663</v>
      </c>
      <c r="J100" s="73"/>
    </row>
    <row r="101" spans="1:13" ht="15" customHeight="1">
      <c r="B101" s="5"/>
      <c r="C101" s="15"/>
      <c r="D101" s="5"/>
      <c r="E101" s="5"/>
      <c r="F101" s="23"/>
      <c r="G101" s="18"/>
      <c r="H101" s="102"/>
      <c r="I101" s="4"/>
      <c r="J101" s="73"/>
    </row>
    <row r="102" spans="1:13" ht="15" customHeight="1">
      <c r="A102" s="1" t="s">
        <v>65</v>
      </c>
      <c r="B102" s="5">
        <f>+GETPIVOTDATA("Undergrad Student Credit Hour  FTE - Old",'FTE Pivot for regular counts'!$A$2,"State","AL","Category","7","Category2","Two-Year")</f>
        <v>0</v>
      </c>
      <c r="C102" s="15">
        <f>+GETPIVOTDATA("Undergrad Student Credit Hour  FTE - Old",'FTE Pivot for regular counts'!$A$2,"State","AL","Category","8","Category2","Two-Year")</f>
        <v>13491.366666666667</v>
      </c>
      <c r="D102" s="5">
        <f>+GETPIVOTDATA("Undergrad Student Credit Hour  FTE - Old",'FTE Pivot for regular counts'!$A$2,"State","AL","Category","9","Category2","Two-Year")</f>
        <v>38473.533333333333</v>
      </c>
      <c r="E102" s="5">
        <f>+GETPIVOTDATA("Undergrad Student Credit Hour  FTE - Old",'FTE Pivot for regular counts'!$A$2,"State","AL","Category","10","Category2","Two-Year")</f>
        <v>9679</v>
      </c>
      <c r="F102" s="23">
        <f>+GETPIVOTDATA("Undergrad Student Credit Hour  FTE - Old",'FTE Pivot for regular counts'!$A$2,"State","AL","Category2","Two-Year")</f>
        <v>61643.9</v>
      </c>
      <c r="G102" s="18">
        <f>+GETPIVOTDATA("Undergrad Student Credit Hour  FTE - Old",'FTE Pivot for regular counts'!$A$2,"State","AL","Category","12","Category2","Technical")</f>
        <v>1159.8</v>
      </c>
      <c r="H102" s="102">
        <f>+GETPIVOTDATA("Undergrad Student Credit Hour  FTE - Old",'FTE Pivot for regular counts'!$A$2,"State","AL","Category","13","Category2","Technical")</f>
        <v>1908.1999999999998</v>
      </c>
      <c r="I102" s="4">
        <f>+GETPIVOTDATA("Undergrad Student Credit Hour  FTE - Old",'FTE Pivot for regular counts'!$A$2,"State","AL","Category2","Technical")</f>
        <v>3068</v>
      </c>
      <c r="J102" s="73"/>
    </row>
    <row r="103" spans="1:13" ht="15" customHeight="1">
      <c r="A103" s="4" t="s">
        <v>66</v>
      </c>
      <c r="B103" s="15">
        <f>+GETPIVOTDATA("Undergrad Student Credit Hour  FTE - Old",'FTE Pivot for regular counts'!$A$2,"State","AR","Category","7","Category2","Two-Year")</f>
        <v>0</v>
      </c>
      <c r="C103" s="15">
        <f>+GETPIVOTDATA("Undergrad Student Credit Hour  FTE - Old",'FTE Pivot for regular counts'!$A$2,"State","AR","Category","8","Category2","Two-Year")</f>
        <v>12110.966666666667</v>
      </c>
      <c r="D103" s="15">
        <f>+GETPIVOTDATA("Undergrad Student Credit Hour  FTE - Old",'FTE Pivot for regular counts'!$A$2,"State","AR","Category","9","Category2","Two-Year")</f>
        <v>5105.6333333333332</v>
      </c>
      <c r="E103" s="15">
        <f>+GETPIVOTDATA("Undergrad Student Credit Hour  FTE - Old",'FTE Pivot for regular counts'!$A$2,"State","AR","Category","10","Category2","Two-Year")</f>
        <v>20364.599999999999</v>
      </c>
      <c r="F103" s="23">
        <f>+GETPIVOTDATA("Undergrad Student Credit Hour  FTE - Old",'FTE Pivot for regular counts'!$A$2,"State","AR","Category2","Two-Year")</f>
        <v>37581.199999999997</v>
      </c>
      <c r="G103" s="18">
        <f>+GETPIVOTDATA("Undergrad Student Credit Hour  FTE - Old",'FTE Pivot for regular counts'!$A$2,"State","AR","Category","12","Category2","Technical")</f>
        <v>0</v>
      </c>
      <c r="H103" s="102">
        <f>+GETPIVOTDATA("Undergrad Student Credit Hour  FTE - Old",'FTE Pivot for regular counts'!$A$2,"State","AR","Category","13","Category2","Technical")</f>
        <v>0</v>
      </c>
      <c r="I103" s="73">
        <f>+GETPIVOTDATA("Undergrad Student Credit Hour  FTE - Old",'FTE Pivot for regular counts'!$A$2,"State","AR","Category2","Technical")</f>
        <v>0</v>
      </c>
      <c r="J103" s="73"/>
      <c r="K103" s="73"/>
      <c r="L103" s="73"/>
    </row>
    <row r="104" spans="1:13" ht="15" customHeight="1">
      <c r="A104" s="1" t="s">
        <v>102</v>
      </c>
      <c r="B104" s="15">
        <f>+GETPIVOTDATA("Undergrad Student Credit Hour  FTE - Old",'FTE Pivot for regular counts'!$A$2,"State","DE","Category","7","Category2","Two-Year")</f>
        <v>0</v>
      </c>
      <c r="C104" s="15">
        <f>+GETPIVOTDATA("Undergrad Student Credit Hour  FTE - Old",'FTE Pivot for regular counts'!$A$2,"State","DE","Category","8","Category2","Two-Year")</f>
        <v>0</v>
      </c>
      <c r="D104" s="15">
        <f>+GETPIVOTDATA("Undergrad Student Credit Hour  FTE - Old",'FTE Pivot for regular counts'!$A$2,"State","DE","Category","9","Category2","Two-Year")</f>
        <v>9913.6</v>
      </c>
      <c r="E104" s="15">
        <f>+GETPIVOTDATA("Undergrad Student Credit Hour  FTE - Old",'FTE Pivot for regular counts'!$A$2,"State","DE","Category","10","Category2","Two-Year")</f>
        <v>0</v>
      </c>
      <c r="F104" s="23">
        <f>+GETPIVOTDATA("Undergrad Student Credit Hour  FTE - Old",'FTE Pivot for regular counts'!$A$2,"State","DE","Category2","Two-Year")</f>
        <v>9913.6</v>
      </c>
      <c r="G104" s="18">
        <f>+GETPIVOTDATA("Undergrad Student Credit Hour  FTE - Old",'FTE Pivot for regular counts'!$A$2,"State","DE","Category","12","Category2","Technical")</f>
        <v>0</v>
      </c>
      <c r="H104" s="102">
        <f>+GETPIVOTDATA("Undergrad Student Credit Hour  FTE - Old",'FTE Pivot for regular counts'!$A$2,"State","DE","Category","13","Category2","Technical")</f>
        <v>0</v>
      </c>
      <c r="I104" s="73">
        <f>+GETPIVOTDATA("Undergrad Student Credit Hour  FTE - Old",'FTE Pivot for regular counts'!$A$2,"State","DE","Category2","Technical")</f>
        <v>0</v>
      </c>
      <c r="J104" s="73"/>
      <c r="K104" s="73"/>
      <c r="L104" s="73"/>
    </row>
    <row r="105" spans="1:13" ht="15" customHeight="1">
      <c r="A105" s="1" t="s">
        <v>67</v>
      </c>
      <c r="B105" s="15">
        <f>+GETPIVOTDATA("Undergrad Student Credit Hour  FTE - Old",'FTE Pivot for regular counts'!$A$2,"State","FL","Category","7","Category2","Two-Year")</f>
        <v>263723.26666666666</v>
      </c>
      <c r="C105" s="15">
        <f>+GETPIVOTDATA("Undergrad Student Credit Hour  FTE - Old",'FTE Pivot for regular counts'!$A$2,"State","FL","Category","8","Category2","Two-Year")</f>
        <v>45839.833333333336</v>
      </c>
      <c r="D105" s="15">
        <f>+GETPIVOTDATA("Undergrad Student Credit Hour  FTE - Old",'FTE Pivot for regular counts'!$A$2,"State","FL","Category","9","Category2","Two-Year")</f>
        <v>6120</v>
      </c>
      <c r="E105" s="15">
        <f>+GETPIVOTDATA("Undergrad Student Credit Hour  FTE - Old",'FTE Pivot for regular counts'!$A$2,"State","FL","Category","10","Category2","Two-Year")</f>
        <v>1409.6666666666665</v>
      </c>
      <c r="F105" s="23">
        <f>+GETPIVOTDATA("Undergrad Student Credit Hour  FTE - Old",'FTE Pivot for regular counts'!$A$2,"State","FL","Category2","Two-Year")</f>
        <v>317092.76666666666</v>
      </c>
      <c r="G105" s="18">
        <f>+GETPIVOTDATA("Undergrad Student Credit Hour  FTE - Old",'FTE Pivot for regular counts'!$A$2,"State","FL","Category","12","Category2","Technical")</f>
        <v>0</v>
      </c>
      <c r="H105" s="102">
        <f>+GETPIVOTDATA("Undergrad Student Credit Hour  FTE - Old",'FTE Pivot for regular counts'!$A$2,"State","FL","Category","13","Category2","Technical")</f>
        <v>0</v>
      </c>
      <c r="I105" s="73">
        <f>+GETPIVOTDATA("Undergrad Student Credit Hour  FTE - Old",'FTE Pivot for regular counts'!$A$2,"State","FL","Category2","Technical")</f>
        <v>0</v>
      </c>
      <c r="J105" s="73"/>
      <c r="K105" s="73"/>
      <c r="L105" s="73"/>
    </row>
    <row r="106" spans="1:13" ht="15" customHeight="1">
      <c r="B106" s="15"/>
      <c r="C106" s="15"/>
      <c r="D106" s="15"/>
      <c r="E106" s="15"/>
      <c r="F106" s="23"/>
      <c r="G106" s="18"/>
      <c r="H106" s="102"/>
      <c r="I106" s="73"/>
      <c r="J106" s="73"/>
      <c r="K106" s="73"/>
      <c r="L106" s="73"/>
    </row>
    <row r="107" spans="1:13" ht="15" customHeight="1">
      <c r="A107" s="1" t="s">
        <v>68</v>
      </c>
      <c r="B107" s="15">
        <f>+GETPIVOTDATA("Undergrad Student Credit Hour  FTE - Old",'FTE Pivot for regular counts'!$A$2,"State","GA","Category","7","Category2","Two-Year")</f>
        <v>8365.9000000000015</v>
      </c>
      <c r="C107" s="15">
        <f>+GETPIVOTDATA("Undergrad Student Credit Hour  FTE - Old",'FTE Pivot for regular counts'!$A$2,"State","GA","Category","8","Category2","Two-Year")</f>
        <v>15378.033333333333</v>
      </c>
      <c r="D107" s="15">
        <f>+GETPIVOTDATA("Undergrad Student Credit Hour  FTE - Old",'FTE Pivot for regular counts'!$A$2,"State","GA","Category","9","Category2","Two-Year")</f>
        <v>17123.050000000003</v>
      </c>
      <c r="E107" s="15">
        <f>+GETPIVOTDATA("Undergrad Student Credit Hour  FTE - Old",'FTE Pivot for regular counts'!$A$2,"State","GA","Category","10","Category2","Two-Year")</f>
        <v>0</v>
      </c>
      <c r="F107" s="23">
        <f>+GETPIVOTDATA("Undergrad Student Credit Hour  FTE - Old",'FTE Pivot for regular counts'!$A$2,"State","GA","Category2","Two-Year")</f>
        <v>40866.983333333337</v>
      </c>
      <c r="G107" s="18">
        <f>+GETPIVOTDATA("Undergrad Student Credit Hour  FTE - Old",'FTE Pivot for regular counts'!$A$2,"State","GA","Category","12","Category2","Technical")</f>
        <v>71686.516666666663</v>
      </c>
      <c r="H107" s="102">
        <f>+GETPIVOTDATA("Undergrad Student Credit Hour  FTE - Old",'FTE Pivot for regular counts'!$A$2,"State","GA","Category","13","Category2","Technical")</f>
        <v>0</v>
      </c>
      <c r="I107" s="73">
        <f>+GETPIVOTDATA("Undergrad Student Credit Hour  FTE - Old",'FTE Pivot for regular counts'!$A$2,"State","GA","Category2","Technical")</f>
        <v>71686.516666666663</v>
      </c>
      <c r="J107" s="73"/>
      <c r="K107" s="73"/>
      <c r="L107" s="73"/>
    </row>
    <row r="108" spans="1:13" ht="15" customHeight="1">
      <c r="A108" s="1" t="s">
        <v>69</v>
      </c>
      <c r="B108" s="15">
        <f>+GETPIVOTDATA("Undergrad Student Credit Hour  FTE - Old",'FTE Pivot for regular counts'!$A$2,"State","KY","Category","7","Category2","Two-Year")</f>
        <v>0</v>
      </c>
      <c r="C108" s="15">
        <f>+GETPIVOTDATA("Undergrad Student Credit Hour  FTE - Old",'FTE Pivot for regular counts'!$A$2,"State","KY","Category","8","Category2","Two-Year")</f>
        <v>14732.5</v>
      </c>
      <c r="D108" s="15">
        <f>+GETPIVOTDATA("Undergrad Student Credit Hour  FTE - Old",'FTE Pivot for regular counts'!$A$2,"State","KY","Category","9","Category2","Two-Year")</f>
        <v>30483.166666666668</v>
      </c>
      <c r="E108" s="15">
        <f>+GETPIVOTDATA("Undergrad Student Credit Hour  FTE - Old",'FTE Pivot for regular counts'!$A$2,"State","KY","Category","10","Category2","Two-Year")</f>
        <v>1128.7666666666667</v>
      </c>
      <c r="F108" s="23">
        <f>+GETPIVOTDATA("Undergrad Student Credit Hour  FTE - Old",'FTE Pivot for regular counts'!$A$2,"State","KY","Category2","Two-Year")</f>
        <v>46344.433333333342</v>
      </c>
      <c r="G108" s="18">
        <f>+GETPIVOTDATA("Undergrad Student Credit Hour  FTE - Old",'FTE Pivot for regular counts'!$A$2,"State","KY","Category","12","Category2","Technical")</f>
        <v>5098.7333333333336</v>
      </c>
      <c r="H108" s="102">
        <f>+GETPIVOTDATA("Undergrad Student Credit Hour  FTE - Old",'FTE Pivot for regular counts'!$A$2,"State","KY","Category","13","Category2","Technical")</f>
        <v>0</v>
      </c>
      <c r="I108" s="73">
        <f>+GETPIVOTDATA("Undergrad Student Credit Hour  FTE - Old",'FTE Pivot for regular counts'!$A$2,"State","KY","Category2","Technical")</f>
        <v>5098.7333333333336</v>
      </c>
      <c r="J108" s="73"/>
      <c r="K108" s="73"/>
      <c r="L108" s="73"/>
    </row>
    <row r="109" spans="1:13" ht="15" customHeight="1">
      <c r="A109" s="1" t="s">
        <v>70</v>
      </c>
      <c r="B109" s="15">
        <f>+GETPIVOTDATA("Undergrad Student Credit Hour  FTE - Old",'FTE Pivot for regular counts'!$A$2,"State","LA","Category","7","Category2","Two-Year")</f>
        <v>0</v>
      </c>
      <c r="C109" s="15">
        <f>+GETPIVOTDATA("Undergrad Student Credit Hour  FTE - Old",'FTE Pivot for regular counts'!$A$2,"State","LA","Category","8","Category2","Two-Year")</f>
        <v>24773.98333333333</v>
      </c>
      <c r="D109" s="15">
        <f>+GETPIVOTDATA("Undergrad Student Credit Hour  FTE - Old",'FTE Pivot for regular counts'!$A$2,"State","LA","Category","9","Category2","Two-Year")</f>
        <v>9220.5333333333328</v>
      </c>
      <c r="E109" s="15">
        <f>+GETPIVOTDATA("Undergrad Student Credit Hour  FTE - Old",'FTE Pivot for regular counts'!$A$2,"State","LA","Category","10","Category2","Two-Year")</f>
        <v>4599.7333333333336</v>
      </c>
      <c r="F109" s="23">
        <f>+GETPIVOTDATA("Undergrad Student Credit Hour  FTE - Old",'FTE Pivot for regular counts'!$A$2,"State","LA","Category2","Two-Year")</f>
        <v>38594.25</v>
      </c>
      <c r="G109" s="18">
        <f>+GETPIVOTDATA("Undergrad Student Credit Hour  FTE - Old",'FTE Pivot for regular counts'!$A$2,"State","LA","Category","12","Category2","Technical")</f>
        <v>10249.516666666666</v>
      </c>
      <c r="H109" s="102">
        <f>+GETPIVOTDATA("Undergrad Student Credit Hour  FTE - Old",'FTE Pivot for regular counts'!$A$2,"State","LA","Category","13","Category2","Technical")</f>
        <v>0</v>
      </c>
      <c r="I109" s="73">
        <f>+GETPIVOTDATA("Undergrad Student Credit Hour  FTE - Old",'FTE Pivot for regular counts'!$A$2,"State","LA","Category2","Technical")</f>
        <v>10249.516666666666</v>
      </c>
      <c r="J109" s="73"/>
      <c r="K109" s="73"/>
      <c r="L109" s="73"/>
    </row>
    <row r="110" spans="1:13" ht="15" customHeight="1">
      <c r="A110" s="1" t="s">
        <v>71</v>
      </c>
      <c r="B110" s="15">
        <f>+GETPIVOTDATA("Undergrad Student Credit Hour  FTE - Old",'FTE Pivot for regular counts'!$A$2,"State","MD","Category","7","Category2","Two-Year")</f>
        <v>0</v>
      </c>
      <c r="C110" s="15">
        <f>+GETPIVOTDATA("Undergrad Student Credit Hour  FTE - Old",'FTE Pivot for regular counts'!$A$2,"State","MD","Category","8","Category2","Two-Year")</f>
        <v>71035.849999999991</v>
      </c>
      <c r="D110" s="15">
        <f>+GETPIVOTDATA("Undergrad Student Credit Hour  FTE - Old",'FTE Pivot for regular counts'!$A$2,"State","MD","Category","9","Category2","Two-Year")</f>
        <v>20908.283333333333</v>
      </c>
      <c r="E110" s="15">
        <f>+GETPIVOTDATA("Undergrad Student Credit Hour  FTE - Old",'FTE Pivot for regular counts'!$A$2,"State","MD","Category","10","Category2","Two-Year")</f>
        <v>3669.2</v>
      </c>
      <c r="F110" s="23">
        <f>+GETPIVOTDATA("Undergrad Student Credit Hour  FTE - Old",'FTE Pivot for regular counts'!$A$2,"State","MD","Category2","Two-Year")</f>
        <v>95613.333333333328</v>
      </c>
      <c r="G110" s="18">
        <f>+GETPIVOTDATA("Undergrad Student Credit Hour  FTE - Old",'FTE Pivot for regular counts'!$A$2,"State","MD","Category","12","Category2","Technical")</f>
        <v>0</v>
      </c>
      <c r="H110" s="102">
        <f>+GETPIVOTDATA("Undergrad Student Credit Hour  FTE - Old",'FTE Pivot for regular counts'!$A$2,"State","MD","Category","13","Category2","Technical")</f>
        <v>0</v>
      </c>
      <c r="I110" s="73">
        <f>+GETPIVOTDATA("Undergrad Student Credit Hour  FTE - Old",'FTE Pivot for regular counts'!$A$2,"State","MD","Category2","Technical")</f>
        <v>0</v>
      </c>
      <c r="J110" s="73"/>
      <c r="K110" s="73"/>
      <c r="L110" s="73"/>
    </row>
    <row r="111" spans="1:13" ht="15" customHeight="1">
      <c r="B111" s="15"/>
      <c r="C111" s="15"/>
      <c r="D111" s="15"/>
      <c r="E111" s="15"/>
      <c r="F111" s="23"/>
      <c r="G111" s="18"/>
      <c r="H111" s="102"/>
      <c r="I111" s="73"/>
      <c r="J111" s="73"/>
      <c r="K111" s="73"/>
      <c r="L111" s="73"/>
    </row>
    <row r="112" spans="1:13" ht="15" customHeight="1">
      <c r="A112" s="1" t="s">
        <v>72</v>
      </c>
      <c r="B112" s="15">
        <f>+GETPIVOTDATA("Undergrad Student Credit Hour  FTE - Old",'FTE Pivot for regular counts'!$A$2,"State","MS","Category","7","Category2","Two-Year")</f>
        <v>0</v>
      </c>
      <c r="C112" s="15">
        <f>+GETPIVOTDATA("Undergrad Student Credit Hour  FTE - Old",'FTE Pivot for regular counts'!$A$2,"State","MS","Category","8","Category2","Two-Year")</f>
        <v>30403.76666666667</v>
      </c>
      <c r="D112" s="15">
        <f>+GETPIVOTDATA("Undergrad Student Credit Hour  FTE - Old",'FTE Pivot for regular counts'!$A$2,"State","MS","Category","9","Category2","Two-Year")</f>
        <v>31313.133333333331</v>
      </c>
      <c r="E112" s="15">
        <f>+GETPIVOTDATA("Undergrad Student Credit Hour  FTE - Old",'FTE Pivot for regular counts'!$A$2,"State","MS","Category","10","Category2","Two-Year")</f>
        <v>3614.5</v>
      </c>
      <c r="F112" s="23">
        <f>+GETPIVOTDATA("Undergrad Student Credit Hour  FTE - Old",'FTE Pivot for regular counts'!$A$2,"State","MS","Category2","Two-Year")</f>
        <v>65331.4</v>
      </c>
      <c r="G112" s="18">
        <f>+GETPIVOTDATA("Undergrad Student Credit Hour  FTE - Old",'FTE Pivot for regular counts'!$A$2,"State","MS","Category","12","Category2","Technical")</f>
        <v>0</v>
      </c>
      <c r="H112" s="102">
        <f>+GETPIVOTDATA("Undergrad Student Credit Hour  FTE - Old",'FTE Pivot for regular counts'!$A$2,"State","MS","Category","13","Category2","Technical")</f>
        <v>0</v>
      </c>
      <c r="I112" s="73">
        <f>+GETPIVOTDATA("Undergrad Student Credit Hour  FTE - Old",'FTE Pivot for regular counts'!$A$2,"State","MS","Category2","Technical")</f>
        <v>0</v>
      </c>
      <c r="J112" s="73"/>
      <c r="K112" s="73"/>
      <c r="L112" s="73"/>
    </row>
    <row r="113" spans="1:13" ht="15" customHeight="1">
      <c r="A113" s="1" t="s">
        <v>73</v>
      </c>
      <c r="B113" s="15">
        <f>+GETPIVOTDATA("Undergrad Student Credit Hour  FTE - Old",'FTE Pivot for regular counts'!$A$2,"State","NC","Category","7","Category2","Two-Year")</f>
        <v>0</v>
      </c>
      <c r="C113" s="15">
        <f>+GETPIVOTDATA("Undergrad Student Credit Hour  FTE - Old",'FTE Pivot for regular counts'!$A$2,"State","NC","Category","8","Category2","Two-Year")</f>
        <v>75999.666666666657</v>
      </c>
      <c r="D113" s="15">
        <f>+GETPIVOTDATA("Undergrad Student Credit Hour  FTE - Old",'FTE Pivot for regular counts'!$A$2,"State","NC","Category","9","Category2","Two-Year")</f>
        <v>59540.900000000016</v>
      </c>
      <c r="E113" s="15">
        <f>+GETPIVOTDATA("Undergrad Student Credit Hour  FTE - Old",'FTE Pivot for regular counts'!$A$2,"State","NC","Category","10","Category2","Two-Year")</f>
        <v>23352.100000000002</v>
      </c>
      <c r="F113" s="23">
        <f>+GETPIVOTDATA("Undergrad Student Credit Hour  FTE - Old",'FTE Pivot for regular counts'!$A$2,"State","NC","Category2","Two-Year")</f>
        <v>158892.66666666669</v>
      </c>
      <c r="G113" s="18">
        <f>+GETPIVOTDATA("Undergrad Student Credit Hour  FTE - Old",'FTE Pivot for regular counts'!$A$2,"State","NC","Category","12","Category2","Technical")</f>
        <v>0</v>
      </c>
      <c r="H113" s="102">
        <f>+GETPIVOTDATA("Undergrad Student Credit Hour  FTE - Old",'FTE Pivot for regular counts'!$A$2,"State","NC","Category","13","Category2","Technical")</f>
        <v>0</v>
      </c>
      <c r="I113" s="73">
        <f>+GETPIVOTDATA("Undergrad Student Credit Hour  FTE - Old",'FTE Pivot for regular counts'!$A$2,"State","NC","Category2","Technical")</f>
        <v>0</v>
      </c>
      <c r="J113" s="73"/>
      <c r="K113" s="73"/>
      <c r="L113" s="73"/>
    </row>
    <row r="114" spans="1:13" ht="15" customHeight="1">
      <c r="A114" s="1" t="s">
        <v>74</v>
      </c>
      <c r="B114" s="15">
        <f>+GETPIVOTDATA("Undergrad Student Credit Hour  FTE - Old",'FTE Pivot for regular counts'!$A$2,"State","OK","Category","7","Category2","Two-Year")</f>
        <v>7513</v>
      </c>
      <c r="C114" s="15">
        <f>+GETPIVOTDATA("Undergrad Student Credit Hour  FTE - Old",'FTE Pivot for regular counts'!$A$2,"State","OK","Category","8","Category2","Two-Year")</f>
        <v>19723.266666666666</v>
      </c>
      <c r="D114" s="15">
        <f>+GETPIVOTDATA("Undergrad Student Credit Hour  FTE - Old",'FTE Pivot for regular counts'!$A$2,"State","OK","Category","9","Category2","Two-Year")</f>
        <v>7471.5</v>
      </c>
      <c r="E114" s="15">
        <f>+GETPIVOTDATA("Undergrad Student Credit Hour  FTE - Old",'FTE Pivot for regular counts'!$A$2,"State","OK","Category","10","Category2","Two-Year")</f>
        <v>12007.933333333334</v>
      </c>
      <c r="F114" s="23">
        <f>+GETPIVOTDATA("Undergrad Student Credit Hour  FTE - Old",'FTE Pivot for regular counts'!$A$2,"State","OK","Category2","Two-Year")</f>
        <v>46715.7</v>
      </c>
      <c r="G114" s="18">
        <f>+GETPIVOTDATA("Undergrad Student Credit Hour  FTE - Old",'FTE Pivot for regular counts'!$A$2,"State","OK","Category","12","Category2","Technical")</f>
        <v>0</v>
      </c>
      <c r="H114" s="102">
        <f>+GETPIVOTDATA("Undergrad Student Credit Hour  FTE - Old",'FTE Pivot for regular counts'!$A$2,"State","OK","Category","13","Category2","Technical")</f>
        <v>0</v>
      </c>
      <c r="I114" s="73">
        <f>+GETPIVOTDATA("Undergrad Student Credit Hour  FTE - Old",'FTE Pivot for regular counts'!$A$2,"State","OK","Category2","Technical")</f>
        <v>0</v>
      </c>
      <c r="J114" s="73"/>
      <c r="K114" s="73"/>
      <c r="L114" s="73"/>
    </row>
    <row r="115" spans="1:13" ht="15" customHeight="1">
      <c r="A115" s="1" t="s">
        <v>75</v>
      </c>
      <c r="B115" s="15">
        <f>+GETPIVOTDATA("Undergrad Student Credit Hour  FTE - Old",'FTE Pivot for regular counts'!$A$2,"State","SC","Category","7","Category2","Two-Year")</f>
        <v>0</v>
      </c>
      <c r="C115" s="15">
        <f>+GETPIVOTDATA("Undergrad Student Credit Hour  FTE - Old",'FTE Pivot for regular counts'!$A$2,"State","SC","Category","8","Category2","Two-Year")</f>
        <v>52973.4</v>
      </c>
      <c r="D115" s="15">
        <f>+GETPIVOTDATA("Undergrad Student Credit Hour  FTE - Old",'FTE Pivot for regular counts'!$A$2,"State","SC","Category","9","Category2","Two-Year")</f>
        <v>15147.366666666667</v>
      </c>
      <c r="E115" s="15">
        <f>+GETPIVOTDATA("Undergrad Student Credit Hour  FTE - Old",'FTE Pivot for regular counts'!$A$2,"State","SC","Category","10","Category2","Two-Year")</f>
        <v>8085.833333333333</v>
      </c>
      <c r="F115" s="23">
        <f>+GETPIVOTDATA("Undergrad Student Credit Hour  FTE - Old",'FTE Pivot for regular counts'!$A$2,"State","SC","Category2","Two-Year")</f>
        <v>76206.599999999991</v>
      </c>
      <c r="G115" s="18">
        <f>+GETPIVOTDATA("Undergrad Student Credit Hour  FTE - Old",'FTE Pivot for regular counts'!$A$2,"State","SC","Category","12","Category2","Technical")</f>
        <v>0</v>
      </c>
      <c r="H115" s="102">
        <f>+GETPIVOTDATA("Undergrad Student Credit Hour  FTE - Old",'FTE Pivot for regular counts'!$A$2,"State","SC","Category","13","Category2","Technical")</f>
        <v>0</v>
      </c>
      <c r="I115" s="73">
        <f>+GETPIVOTDATA("Undergrad Student Credit Hour  FTE - Old",'FTE Pivot for regular counts'!$A$2,"State","SC","Category2","Technical")</f>
        <v>0</v>
      </c>
      <c r="J115" s="73"/>
      <c r="K115" s="73"/>
      <c r="L115" s="73"/>
    </row>
    <row r="116" spans="1:13" ht="15" customHeight="1">
      <c r="B116" s="15"/>
      <c r="C116" s="15"/>
      <c r="D116" s="15"/>
      <c r="E116" s="15"/>
      <c r="F116" s="23"/>
      <c r="G116" s="18"/>
      <c r="H116" s="102"/>
      <c r="I116" s="73"/>
      <c r="J116" s="73"/>
      <c r="K116" s="73"/>
      <c r="L116" s="73"/>
    </row>
    <row r="117" spans="1:13" ht="15" customHeight="1">
      <c r="A117" s="1" t="s">
        <v>76</v>
      </c>
      <c r="B117" s="15">
        <f>+GETPIVOTDATA("Undergrad Student Credit Hour  FTE - Old",'FTE Pivot for regular counts'!$A$2,"State","TN","Category","7","Category2","Two-Year")</f>
        <v>0</v>
      </c>
      <c r="C117" s="15">
        <f>+GETPIVOTDATA("Undergrad Student Credit Hour  FTE - Old",'FTE Pivot for regular counts'!$A$2,"State","TN","Category","8","Category2","Two-Year")</f>
        <v>31617.699999999997</v>
      </c>
      <c r="D117" s="15">
        <f>+GETPIVOTDATA("Undergrad Student Credit Hour  FTE - Old",'FTE Pivot for regular counts'!$A$2,"State","TN","Category","9","Category2","Two-Year")</f>
        <v>25256.799999999996</v>
      </c>
      <c r="E117" s="15">
        <f>+GETPIVOTDATA("Undergrad Student Credit Hour  FTE - Old",'FTE Pivot for regular counts'!$A$2,"State","TN","Category","10","Category2","Two-Year")</f>
        <v>0</v>
      </c>
      <c r="F117" s="23">
        <f>+GETPIVOTDATA("Undergrad Student Credit Hour  FTE - Old",'FTE Pivot for regular counts'!$A$2,"State","TN","Category2","Two-Year")</f>
        <v>56874.499999999993</v>
      </c>
      <c r="G117" s="18">
        <f>+GETPIVOTDATA("Undergrad Student Credit Hour  FTE - Old",'FTE Pivot for regular counts'!$A$2,"State","TN","Category","12","Category2","Technical")</f>
        <v>0</v>
      </c>
      <c r="H117" s="102">
        <f>+GETPIVOTDATA("Undergrad Student Credit Hour  FTE - Old",'FTE Pivot for regular counts'!$A$2,"State","TN","Category","13","Category2","Technical")</f>
        <v>0</v>
      </c>
      <c r="I117" s="73">
        <f>+GETPIVOTDATA("Undergrad Student Credit Hour  FTE - Old",'FTE Pivot for regular counts'!$A$2,"State","TN","Category2","Technical")</f>
        <v>0</v>
      </c>
      <c r="J117" s="73"/>
      <c r="K117" s="73"/>
      <c r="L117" s="73"/>
    </row>
    <row r="118" spans="1:13" ht="15" customHeight="1">
      <c r="A118" s="1" t="s">
        <v>77</v>
      </c>
      <c r="B118" s="15">
        <f>+GETPIVOTDATA("Undergrad Student Credit Hour  FTE - Old",'FTE Pivot for regular counts'!$A$2,"State","TX","Category","7","Category2","Two-Year")</f>
        <v>25108.5</v>
      </c>
      <c r="C118" s="15">
        <f>+GETPIVOTDATA("Undergrad Student Credit Hour  FTE - Old",'FTE Pivot for regular counts'!$A$2,"State","TX","Category","8","Category2","Two-Year")</f>
        <v>338152.83333333331</v>
      </c>
      <c r="D118" s="15">
        <f>+GETPIVOTDATA("Undergrad Student Credit Hour  FTE - Old",'FTE Pivot for regular counts'!$A$2,"State","TX","Category","9","Category2","Two-Year")</f>
        <v>84003.4</v>
      </c>
      <c r="E118" s="15">
        <f>+GETPIVOTDATA("Undergrad Student Credit Hour  FTE - Old",'FTE Pivot for regular counts'!$A$2,"State","TX","Category","10","Category2","Two-Year")</f>
        <v>12103.299999999997</v>
      </c>
      <c r="F118" s="23">
        <f>+GETPIVOTDATA("Undergrad Student Credit Hour  FTE - Old",'FTE Pivot for regular counts'!$A$2,"State","TX","Category2","Two-Year")</f>
        <v>459368.03333333327</v>
      </c>
      <c r="G118" s="18">
        <f>+GETPIVOTDATA("Undergrad Student Credit Hour  FTE - Old",'FTE Pivot for regular counts'!$A$2,"State","TX","Category","12","Category2","Technical")</f>
        <v>0</v>
      </c>
      <c r="H118" s="102">
        <f>+GETPIVOTDATA("Undergrad Student Credit Hour  FTE - Old",'FTE Pivot for regular counts'!$A$2,"State","TX","Category","13","Category2","Technical")</f>
        <v>0</v>
      </c>
      <c r="I118" s="73">
        <f>+GETPIVOTDATA("Undergrad Student Credit Hour  FTE - Old",'FTE Pivot for regular counts'!$A$2,"State","TX","Category2","Technical")</f>
        <v>0</v>
      </c>
      <c r="J118" s="73"/>
      <c r="K118" s="73"/>
      <c r="L118" s="73"/>
    </row>
    <row r="119" spans="1:13" ht="15" customHeight="1">
      <c r="A119" s="1" t="s">
        <v>78</v>
      </c>
      <c r="B119" s="15">
        <f>+GETPIVOTDATA("Undergrad Student Credit Hour  FTE - Old",'FTE Pivot for regular counts'!$A$2,"State","VA","Category","7","Category2","Two-Year")</f>
        <v>0</v>
      </c>
      <c r="C119" s="15">
        <f>+GETPIVOTDATA("Undergrad Student Credit Hour  FTE - Old",'FTE Pivot for regular counts'!$A$2,"State","VA","Category","8","Category2","Two-Year")</f>
        <v>75081.7</v>
      </c>
      <c r="D119" s="15">
        <f>+GETPIVOTDATA("Undergrad Student Credit Hour  FTE - Old",'FTE Pivot for regular counts'!$A$2,"State","VA","Category","9","Category2","Two-Year")</f>
        <v>35035.166666666664</v>
      </c>
      <c r="E119" s="15">
        <f>+GETPIVOTDATA("Undergrad Student Credit Hour  FTE - Old",'FTE Pivot for regular counts'!$A$2,"State","VA","Category","10","Category2","Two-Year")</f>
        <v>10146.466666666665</v>
      </c>
      <c r="F119" s="23">
        <f>+GETPIVOTDATA("Undergrad Student Credit Hour  FTE - Old",'FTE Pivot for regular counts'!$A$2,"State","VA","Category2","Two-Year")</f>
        <v>120263.33333333333</v>
      </c>
      <c r="G119" s="18">
        <f>+GETPIVOTDATA("Undergrad Student Credit Hour  FTE - Old",'FTE Pivot for regular counts'!$A$2,"State","VA","Category","12","Category2","Technical")</f>
        <v>0</v>
      </c>
      <c r="H119" s="102">
        <f>+GETPIVOTDATA("Undergrad Student Credit Hour  FTE - Old",'FTE Pivot for regular counts'!$A$2,"State","VA","Category","13","Category2","Technical")</f>
        <v>0</v>
      </c>
      <c r="I119" s="73">
        <f>+GETPIVOTDATA("Undergrad Student Credit Hour  FTE - Old",'FTE Pivot for regular counts'!$A$2,"State","VA","Category2","Technical")</f>
        <v>0</v>
      </c>
      <c r="J119" s="73"/>
      <c r="K119" s="73"/>
      <c r="L119" s="73"/>
    </row>
    <row r="120" spans="1:13" ht="15" customHeight="1">
      <c r="A120" s="3" t="s">
        <v>79</v>
      </c>
      <c r="B120" s="6">
        <f>+GETPIVOTDATA("Undergrad Student Credit Hour  FTE - Old",'FTE Pivot for regular counts'!$A$2,"State","WV","Category","7","Category2","Two-Year")</f>
        <v>1321.5333333333333</v>
      </c>
      <c r="C120" s="6">
        <f>+GETPIVOTDATA("Undergrad Student Credit Hour  FTE - Old",'FTE Pivot for regular counts'!$A$2,"State","WV","Category","8","Category2","Two-Year")</f>
        <v>0</v>
      </c>
      <c r="D120" s="6">
        <f>+GETPIVOTDATA("Undergrad Student Credit Hour  FTE - Old",'FTE Pivot for regular counts'!$A$2,"State","WV","Category","9","Category2","Two-Year")</f>
        <v>3501.8</v>
      </c>
      <c r="E120" s="6">
        <f>+GETPIVOTDATA("Undergrad Student Credit Hour  FTE - Old",'FTE Pivot for regular counts'!$A$2,"State","WV","Category","10","Category2","Two-Year")</f>
        <v>8512.9299999999985</v>
      </c>
      <c r="F120" s="24">
        <f>+GETPIVOTDATA("Undergrad Student Credit Hour  FTE - Old",'FTE Pivot for regular counts'!$A$2,"State","WV","Category2","Two-Year")</f>
        <v>13336.263333333332</v>
      </c>
      <c r="G120" s="19">
        <f>+GETPIVOTDATA("Undergrad Student Credit Hour  FTE - Old",'FTE Pivot for regular counts'!$A$2,"State","WV","Category","12","Category2","Technical")</f>
        <v>0</v>
      </c>
      <c r="H120" s="115">
        <f>+GETPIVOTDATA("Undergrad Student Credit Hour  FTE - Old",'FTE Pivot for regular counts'!$A$2,"State","WV","Category","13","Category2","Technical")</f>
        <v>0</v>
      </c>
      <c r="I120" s="83">
        <f>+GETPIVOTDATA("Undergrad Student Credit Hour  FTE - Old",'FTE Pivot for regular counts'!$A$2,"State","WV","Category2","Technical")</f>
        <v>0</v>
      </c>
      <c r="J120" s="73"/>
      <c r="K120" s="73"/>
      <c r="L120" s="73"/>
    </row>
    <row r="121" spans="1:13" ht="38.25" customHeight="1">
      <c r="A121" s="831" t="s">
        <v>982</v>
      </c>
      <c r="B121" s="831"/>
      <c r="C121" s="831"/>
      <c r="D121" s="831"/>
      <c r="E121" s="831"/>
      <c r="F121" s="831"/>
      <c r="G121" s="831"/>
      <c r="H121" s="831"/>
      <c r="I121" s="831"/>
      <c r="J121" s="414"/>
      <c r="K121" s="260"/>
      <c r="L121" s="260"/>
      <c r="M121" s="195"/>
    </row>
    <row r="122" spans="1:13">
      <c r="J122" s="168" t="s">
        <v>975</v>
      </c>
      <c r="K122" s="168"/>
      <c r="L122" s="168"/>
      <c r="M122" s="196"/>
    </row>
    <row r="123" spans="1:13" ht="18">
      <c r="A123" s="835" t="s">
        <v>167</v>
      </c>
      <c r="B123" s="835"/>
      <c r="C123" s="835"/>
      <c r="D123" s="835"/>
      <c r="E123" s="835"/>
      <c r="F123" s="835"/>
      <c r="G123" s="835"/>
      <c r="H123" s="835"/>
      <c r="I123" s="835"/>
      <c r="J123" s="835"/>
      <c r="K123" s="261"/>
      <c r="L123" s="261"/>
      <c r="M123" s="177"/>
    </row>
    <row r="124" spans="1:13" ht="15.75">
      <c r="A124" s="77"/>
      <c r="B124" s="17"/>
      <c r="C124" s="43"/>
      <c r="D124" s="55"/>
      <c r="E124" s="17"/>
      <c r="F124" s="17"/>
      <c r="G124" s="17"/>
      <c r="H124" s="116"/>
      <c r="I124" s="17"/>
      <c r="J124" s="116"/>
      <c r="K124" s="116"/>
      <c r="L124" s="116"/>
    </row>
    <row r="125" spans="1:13" ht="15.75">
      <c r="A125" s="836" t="s">
        <v>35</v>
      </c>
      <c r="B125" s="836"/>
      <c r="C125" s="836"/>
      <c r="D125" s="836"/>
      <c r="E125" s="836"/>
      <c r="F125" s="836"/>
      <c r="G125" s="836"/>
      <c r="H125" s="836"/>
      <c r="I125" s="836"/>
      <c r="J125" s="836"/>
      <c r="K125" s="262"/>
      <c r="L125" s="262"/>
    </row>
    <row r="126" spans="1:13" ht="15.75">
      <c r="A126" s="837" t="s">
        <v>254</v>
      </c>
      <c r="B126" s="837"/>
      <c r="C126" s="837"/>
      <c r="D126" s="837"/>
      <c r="E126" s="837"/>
      <c r="F126" s="837"/>
      <c r="G126" s="837"/>
      <c r="H126" s="837"/>
      <c r="I126" s="837"/>
      <c r="J126" s="837"/>
      <c r="K126" s="262"/>
      <c r="L126" s="262"/>
    </row>
    <row r="127" spans="1:13">
      <c r="A127" s="22"/>
      <c r="B127" s="22"/>
      <c r="C127" s="22"/>
      <c r="D127" s="22"/>
      <c r="E127" s="22"/>
      <c r="F127" s="22"/>
      <c r="G127" s="22"/>
      <c r="H127" s="105"/>
      <c r="I127" s="22"/>
      <c r="J127" s="105"/>
      <c r="K127" s="105"/>
      <c r="L127" s="105"/>
    </row>
    <row r="128" spans="1:13">
      <c r="A128" s="61"/>
      <c r="B128" s="56" t="s">
        <v>63</v>
      </c>
      <c r="C128" s="56"/>
      <c r="D128" s="27"/>
      <c r="E128" s="27"/>
      <c r="F128" s="27"/>
      <c r="G128" s="57" t="s">
        <v>45</v>
      </c>
      <c r="H128" s="90"/>
      <c r="I128" s="91"/>
      <c r="J128" s="169" t="s">
        <v>28</v>
      </c>
      <c r="K128" s="169" t="s">
        <v>28</v>
      </c>
      <c r="L128" s="169"/>
    </row>
    <row r="129" spans="1:12" ht="24">
      <c r="A129" s="45"/>
      <c r="B129" s="58" t="s">
        <v>140</v>
      </c>
      <c r="C129" s="46">
        <v>1</v>
      </c>
      <c r="D129" s="46">
        <v>2</v>
      </c>
      <c r="E129" s="46">
        <v>3</v>
      </c>
      <c r="F129" s="46" t="s">
        <v>30</v>
      </c>
      <c r="G129" s="60">
        <v>1</v>
      </c>
      <c r="H129" s="93">
        <v>2</v>
      </c>
      <c r="I129" s="92" t="s">
        <v>30</v>
      </c>
      <c r="J129" s="122"/>
      <c r="K129" s="122"/>
      <c r="L129" s="122"/>
    </row>
    <row r="130" spans="1:12" ht="15" customHeight="1">
      <c r="A130" s="1" t="s">
        <v>64</v>
      </c>
      <c r="B130" s="7">
        <f>+GETPIVOTDATA(" Undergrad Contact Hour FTE - Old",'FTE Pivot for regular counts'!$A$2,"Category","7","Category2","Two-Year")</f>
        <v>17641.624444444446</v>
      </c>
      <c r="C130" s="7">
        <f>+GETPIVOTDATA(" Undergrad Contact Hour FTE - Old",'FTE Pivot for regular counts'!$A$2,"Category","8","Category2","Two-Year")</f>
        <v>28164.647777777776</v>
      </c>
      <c r="D130" s="7">
        <f>+GETPIVOTDATA(" Undergrad Contact Hour FTE - Old",'FTE Pivot for regular counts'!$A$2,"Category","9","Category2","Two-Year")</f>
        <v>21287.156666666669</v>
      </c>
      <c r="E130" s="7">
        <f>+GETPIVOTDATA(" Undergrad Contact Hour FTE - Old",'FTE Pivot for regular counts'!$A$2,"Category","10","Category2","Two-Year")</f>
        <v>8952.6066666666648</v>
      </c>
      <c r="F130" s="8">
        <f>+GETPIVOTDATA(" Undergrad Contact Hour FTE - Old",'FTE Pivot for regular counts'!$A$2,"Category2","Two-Year")</f>
        <v>76046.035555555558</v>
      </c>
      <c r="G130" s="7">
        <f>+GETPIVOTDATA(" Undergrad Contact Hour FTE - Old",'FTE Pivot for regular counts'!$A$2,"Category","12","Category2","Technical")</f>
        <v>5904.1132333333335</v>
      </c>
      <c r="H130" s="117">
        <f>+GETPIVOTDATA(" Undergrad Contact Hour FTE - Old",'FTE Pivot for regular counts'!$A$2,"Category","13","Category2","Technical")</f>
        <v>25112.060677777776</v>
      </c>
      <c r="I130" s="117">
        <f>+GETPIVOTDATA(" Undergrad Contact Hour FTE - Old",'FTE Pivot for regular counts'!$A$2,"Category2","Technical")</f>
        <v>31016.173911111109</v>
      </c>
      <c r="J130" s="118"/>
      <c r="K130" s="117"/>
      <c r="L130" s="117"/>
    </row>
    <row r="131" spans="1:12" ht="15" customHeight="1">
      <c r="B131" s="7"/>
      <c r="C131" s="32"/>
      <c r="D131" s="32"/>
      <c r="G131" s="31"/>
      <c r="I131" s="4"/>
      <c r="J131" s="73"/>
    </row>
    <row r="132" spans="1:12" ht="15" customHeight="1">
      <c r="A132" s="1" t="s">
        <v>65</v>
      </c>
      <c r="B132" s="7">
        <f>+GETPIVOTDATA(" Undergrad Contact Hour FTE - Old",'FTE Pivot for regular counts'!$A$2,"State","AL","Category","7","Category2","Two-Year")</f>
        <v>0</v>
      </c>
      <c r="C132" s="7">
        <f>+GETPIVOTDATA(" Undergrad Contact Hour FTE - Old",'FTE Pivot for regular counts'!$A$2,"State","AL","Category","8","Category2","Two-Year")</f>
        <v>0</v>
      </c>
      <c r="D132" s="7">
        <f>+GETPIVOTDATA(" Undergrad Contact Hour FTE - Old",'FTE Pivot for regular counts'!$A$2,"State","AL","Category","9","Category2","Two-Year")</f>
        <v>0</v>
      </c>
      <c r="E132" s="7">
        <f>+GETPIVOTDATA(" Undergrad Contact Hour FTE - Old",'FTE Pivot for regular counts'!$A$2,"State","AL","Category","10","Category2","Two-Year")</f>
        <v>0</v>
      </c>
      <c r="F132" s="8">
        <f>+GETPIVOTDATA(" Undergrad Contact Hour FTE - Old",'FTE Pivot for regular counts'!$A$2,"State","AL","Category2","Two-Year")</f>
        <v>0</v>
      </c>
      <c r="G132" s="7">
        <f>+GETPIVOTDATA(" Undergrad Contact Hour FTE - Old",'FTE Pivot for regular counts'!$A$2,"State","AL","Category","12","Category2","Technical")</f>
        <v>0</v>
      </c>
      <c r="H132" s="117">
        <f>+GETPIVOTDATA(" Undergrad Contact Hour FTE - Old",'FTE Pivot for regular counts'!$A$2,"State","AL","Category","13","Category2","Technical")</f>
        <v>0</v>
      </c>
      <c r="I132" s="117">
        <f>+GETPIVOTDATA(" Undergrad Contact Hour FTE - Old",'FTE Pivot for regular counts'!$A$2,"State","AL","Category2","Technical")</f>
        <v>0</v>
      </c>
      <c r="J132" s="118"/>
      <c r="K132" s="117"/>
      <c r="L132" s="117"/>
    </row>
    <row r="133" spans="1:12" ht="15" customHeight="1">
      <c r="A133" s="1" t="s">
        <v>66</v>
      </c>
      <c r="B133" s="32">
        <f>+GETPIVOTDATA(" Undergrad Contact Hour FTE - Old",'FTE Pivot for regular counts'!$A$2,"State","AR","Category","7","Category2","Two-Year")</f>
        <v>0</v>
      </c>
      <c r="C133" s="32">
        <f>+GETPIVOTDATA(" Undergrad Contact Hour FTE - Old",'FTE Pivot for regular counts'!$A$2,"State","AR","Category","8","Category2","Two-Year")</f>
        <v>0</v>
      </c>
      <c r="D133" s="32">
        <f>+GETPIVOTDATA(" Undergrad Contact Hour FTE - Old",'FTE Pivot for regular counts'!$A$2,"State","AR","Category","9","Category2","Two-Year")</f>
        <v>0</v>
      </c>
      <c r="E133" s="32">
        <f>+GETPIVOTDATA(" Undergrad Contact Hour FTE - Old",'FTE Pivot for regular counts'!$A$2,"State","AR","Category","10","Category2","Two-Year")</f>
        <v>0</v>
      </c>
      <c r="F133" s="8">
        <f>+GETPIVOTDATA(" Undergrad Contact Hour FTE - Old",'FTE Pivot for regular counts'!$A$2,"State","AR","Category2","Two-Year")</f>
        <v>0</v>
      </c>
      <c r="G133" s="32">
        <f>+GETPIVOTDATA(" Undergrad Contact Hour FTE - Old",'FTE Pivot for regular counts'!$A$2,"State","AR","Category","12","Category2","Technical")</f>
        <v>0</v>
      </c>
      <c r="H133" s="118">
        <f>+GETPIVOTDATA(" Undergrad Contact Hour FTE - Old",'FTE Pivot for regular counts'!$A$2,"State","AR","Category","13","Category2","Technical")</f>
        <v>0</v>
      </c>
      <c r="I133" s="118">
        <f>+GETPIVOTDATA(" Undergrad Contact Hour FTE - Old",'FTE Pivot for regular counts'!$A$2,"State","AR","Category2","Technical")</f>
        <v>0</v>
      </c>
      <c r="J133" s="118"/>
      <c r="K133" s="118"/>
      <c r="L133" s="118"/>
    </row>
    <row r="134" spans="1:12" ht="15" customHeight="1">
      <c r="A134" s="1" t="s">
        <v>102</v>
      </c>
      <c r="B134" s="32">
        <f>+GETPIVOTDATA(" Undergrad Contact Hour FTE - Old",'FTE Pivot for regular counts'!$A$2,"State","DE","Category","7","Category2","Two-Year")</f>
        <v>0</v>
      </c>
      <c r="C134" s="32">
        <f>+GETPIVOTDATA(" Undergrad Contact Hour FTE - Old",'FTE Pivot for regular counts'!$A$2,"State","DE","Category","8","Category2","Two-Year")</f>
        <v>0</v>
      </c>
      <c r="D134" s="32">
        <f>+GETPIVOTDATA(" Undergrad Contact Hour FTE - Old",'FTE Pivot for regular counts'!$A$2,"State","DE","Category","9","Category2","Two-Year")</f>
        <v>0</v>
      </c>
      <c r="E134" s="32">
        <f>+GETPIVOTDATA(" Undergrad Contact Hour FTE - Old",'FTE Pivot for regular counts'!$A$2,"State","DE","Category","10","Category2","Two-Year")</f>
        <v>0</v>
      </c>
      <c r="F134" s="8">
        <f>+GETPIVOTDATA(" Undergrad Contact Hour FTE - Old",'FTE Pivot for regular counts'!$A$2,"State","DE","Category2","Two-Year")</f>
        <v>0</v>
      </c>
      <c r="G134" s="32">
        <f>+GETPIVOTDATA(" Undergrad Contact Hour FTE - Old",'FTE Pivot for regular counts'!$A$2,"State","DE","Category","12","Category2","Technical")</f>
        <v>0</v>
      </c>
      <c r="H134" s="118">
        <f>+GETPIVOTDATA(" Undergrad Contact Hour FTE - Old",'FTE Pivot for regular counts'!$A$2,"State","DE","Category","13","Category2","Technical")</f>
        <v>0</v>
      </c>
      <c r="I134" s="118">
        <f>+GETPIVOTDATA(" Undergrad Contact Hour FTE - Old",'FTE Pivot for regular counts'!$A$2,"State","DE","Category2","Technical")</f>
        <v>0</v>
      </c>
      <c r="J134" s="118"/>
      <c r="K134" s="118"/>
      <c r="L134" s="118"/>
    </row>
    <row r="135" spans="1:12" ht="15" customHeight="1">
      <c r="A135" s="1" t="s">
        <v>67</v>
      </c>
      <c r="B135" s="32">
        <f>+GETPIVOTDATA(" Undergrad Contact Hour FTE - Old",'FTE Pivot for regular counts'!$A$2,"State","FL","Category","7","Category2","Two-Year")</f>
        <v>16526.211111111112</v>
      </c>
      <c r="C135" s="32">
        <f>+GETPIVOTDATA(" Undergrad Contact Hour FTE - Old",'FTE Pivot for regular counts'!$A$2,"State","FL","Category","8","Category2","Two-Year")</f>
        <v>3246.0144444444445</v>
      </c>
      <c r="D135" s="32">
        <f>+GETPIVOTDATA(" Undergrad Contact Hour FTE - Old",'FTE Pivot for regular counts'!$A$2,"State","FL","Category","9","Category2","Two-Year")</f>
        <v>926.08888888888896</v>
      </c>
      <c r="E135" s="32">
        <f>+GETPIVOTDATA(" Undergrad Contact Hour FTE - Old",'FTE Pivot for regular counts'!$A$2,"State","FL","Category","10","Category2","Two-Year")</f>
        <v>115.72555555555556</v>
      </c>
      <c r="F135" s="8">
        <f>+GETPIVOTDATA(" Undergrad Contact Hour FTE - Old",'FTE Pivot for regular counts'!$A$2,"State","FL","Category2","Two-Year")</f>
        <v>20814.04</v>
      </c>
      <c r="G135" s="32">
        <f>+GETPIVOTDATA(" Undergrad Contact Hour FTE - Old",'FTE Pivot for regular counts'!$A$2,"State","FL","Category","12","Category2","Technical")</f>
        <v>0</v>
      </c>
      <c r="H135" s="118">
        <f>+GETPIVOTDATA(" Undergrad Contact Hour FTE - Old",'FTE Pivot for regular counts'!$A$2,"State","FL","Category","13","Category2","Technical")</f>
        <v>0</v>
      </c>
      <c r="I135" s="118">
        <f>+GETPIVOTDATA(" Undergrad Contact Hour FTE - Old",'FTE Pivot for regular counts'!$A$2,"State","FL","Category2","Technical")</f>
        <v>0</v>
      </c>
      <c r="J135" s="118"/>
      <c r="K135" s="118"/>
      <c r="L135" s="118"/>
    </row>
    <row r="136" spans="1:12" ht="15" customHeight="1">
      <c r="B136" s="32"/>
      <c r="C136" s="32"/>
      <c r="D136" s="32"/>
      <c r="E136" s="32"/>
      <c r="F136" s="8"/>
      <c r="G136" s="32"/>
      <c r="H136" s="118"/>
      <c r="I136" s="118"/>
      <c r="J136" s="118"/>
      <c r="K136" s="118"/>
      <c r="L136" s="118"/>
    </row>
    <row r="137" spans="1:12" ht="15" customHeight="1">
      <c r="A137" s="1" t="s">
        <v>68</v>
      </c>
      <c r="B137" s="32">
        <f>+GETPIVOTDATA(" Undergrad Contact Hour FTE - Old",'FTE Pivot for regular counts'!$A$2,"State","GA","Category","7","Category2","Two-Year")</f>
        <v>0</v>
      </c>
      <c r="C137" s="32">
        <f>+GETPIVOTDATA(" Undergrad Contact Hour FTE - Old",'FTE Pivot for regular counts'!$A$2,"State","GA","Category","8","Category2","Two-Year")</f>
        <v>0</v>
      </c>
      <c r="D137" s="32">
        <f>+GETPIVOTDATA(" Undergrad Contact Hour FTE - Old",'FTE Pivot for regular counts'!$A$2,"State","GA","Category","9","Category2","Two-Year")</f>
        <v>0</v>
      </c>
      <c r="E137" s="32">
        <f>+GETPIVOTDATA(" Undergrad Contact Hour FTE - Old",'FTE Pivot for regular counts'!$A$2,"State","GA","Category","10","Category2","Two-Year")</f>
        <v>0</v>
      </c>
      <c r="F137" s="8">
        <f>+GETPIVOTDATA(" Undergrad Contact Hour FTE - Old",'FTE Pivot for regular counts'!$A$2,"State","GA","Category2","Two-Year")</f>
        <v>0</v>
      </c>
      <c r="G137" s="32">
        <f>+GETPIVOTDATA(" Undergrad Contact Hour FTE - Old",'FTE Pivot for regular counts'!$A$2,"State","GA","Category","12","Category2","Technical")</f>
        <v>0</v>
      </c>
      <c r="H137" s="118">
        <f>+GETPIVOTDATA(" Undergrad Contact Hour FTE - Old",'FTE Pivot for regular counts'!$A$2,"State","GA","Category","13","Category2","Technical")</f>
        <v>0</v>
      </c>
      <c r="I137" s="118">
        <f>+GETPIVOTDATA(" Undergrad Contact Hour FTE - Old",'FTE Pivot for regular counts'!$A$2,"State","GA","Category2","Technical")</f>
        <v>0</v>
      </c>
      <c r="J137" s="118"/>
      <c r="K137" s="118"/>
      <c r="L137" s="118"/>
    </row>
    <row r="138" spans="1:12" ht="15" customHeight="1">
      <c r="A138" s="1" t="s">
        <v>69</v>
      </c>
      <c r="B138" s="32">
        <f>+GETPIVOTDATA(" Undergrad Contact Hour FTE - Old",'FTE Pivot for regular counts'!$A$2,"State","KY","Category","7","Category2","Two-Year")</f>
        <v>0</v>
      </c>
      <c r="C138" s="32">
        <f>+GETPIVOTDATA(" Undergrad Contact Hour FTE - Old",'FTE Pivot for regular counts'!$A$2,"State","KY","Category","8","Category2","Two-Year")</f>
        <v>0</v>
      </c>
      <c r="D138" s="32">
        <f>+GETPIVOTDATA(" Undergrad Contact Hour FTE - Old",'FTE Pivot for regular counts'!$A$2,"State","KY","Category","9","Category2","Two-Year")</f>
        <v>0</v>
      </c>
      <c r="E138" s="32">
        <f>+GETPIVOTDATA(" Undergrad Contact Hour FTE - Old",'FTE Pivot for regular counts'!$A$2,"State","KY","Category","10","Category2","Two-Year")</f>
        <v>0</v>
      </c>
      <c r="F138" s="8">
        <f>+GETPIVOTDATA(" Undergrad Contact Hour FTE - Old",'FTE Pivot for regular counts'!$A$2,"State","KY","Category2","Two-Year")</f>
        <v>0</v>
      </c>
      <c r="G138" s="32">
        <f>+GETPIVOTDATA(" Undergrad Contact Hour FTE - Old",'FTE Pivot for regular counts'!$A$2,"State","KY","Category","12","Category2","Technical")</f>
        <v>0</v>
      </c>
      <c r="H138" s="118">
        <f>+GETPIVOTDATA(" Undergrad Contact Hour FTE - Old",'FTE Pivot for regular counts'!$A$2,"State","KY","Category","13","Category2","Technical")</f>
        <v>0</v>
      </c>
      <c r="I138" s="118">
        <f>+GETPIVOTDATA(" Undergrad Contact Hour FTE - Old",'FTE Pivot for regular counts'!$A$2,"State","KY","Category2","Technical")</f>
        <v>0</v>
      </c>
      <c r="J138" s="118"/>
      <c r="K138" s="118"/>
      <c r="L138" s="118"/>
    </row>
    <row r="139" spans="1:12" ht="15" customHeight="1">
      <c r="A139" s="1" t="s">
        <v>70</v>
      </c>
      <c r="B139" s="32">
        <f>+GETPIVOTDATA(" Undergrad Contact Hour FTE - Old",'FTE Pivot for regular counts'!$A$2,"State","LA","Category","7","Category2","Two-Year")</f>
        <v>0</v>
      </c>
      <c r="C139" s="32">
        <f>+GETPIVOTDATA(" Undergrad Contact Hour FTE - Old",'FTE Pivot for regular counts'!$A$2,"State","LA","Category","8","Category2","Two-Year")</f>
        <v>0</v>
      </c>
      <c r="D139" s="472">
        <f>+GETPIVOTDATA(" Undergrad Contact Hour FTE - Old",'FTE Pivot for regular counts'!$A$2,"State","LA","Category","9","Category2","Two-Year")</f>
        <v>0</v>
      </c>
      <c r="E139" s="32">
        <f>+GETPIVOTDATA(" Undergrad Contact Hour FTE - Old",'FTE Pivot for regular counts'!$A$2,"State","LA","Category","10","Category2","Two-Year")</f>
        <v>0</v>
      </c>
      <c r="F139" s="473">
        <f>+GETPIVOTDATA(" Undergrad Contact Hour FTE - Old",'FTE Pivot for regular counts'!$A$2,"State","LA","Category2","Two-Year")</f>
        <v>0</v>
      </c>
      <c r="G139" s="32">
        <f>+GETPIVOTDATA(" Undergrad Contact Hour FTE - Old",'FTE Pivot for regular counts'!$A$2,"State","LA","Category","12","Category2","Technical")</f>
        <v>117.355</v>
      </c>
      <c r="H139" s="118">
        <f>+GETPIVOTDATA(" Undergrad Contact Hour FTE - Old",'FTE Pivot for regular counts'!$A$2,"State","LA","Category","13","Category2","Technical")</f>
        <v>0</v>
      </c>
      <c r="I139" s="118">
        <f>+GETPIVOTDATA(" Undergrad Contact Hour FTE - Old",'FTE Pivot for regular counts'!$A$2,"State","LA","Category2","Technical")</f>
        <v>117.355</v>
      </c>
      <c r="J139" s="118"/>
      <c r="K139" s="118"/>
      <c r="L139" s="118"/>
    </row>
    <row r="140" spans="1:12" ht="15" customHeight="1">
      <c r="A140" s="1" t="s">
        <v>71</v>
      </c>
      <c r="B140" s="32">
        <f>+GETPIVOTDATA(" Undergrad Contact Hour FTE - Old",'FTE Pivot for regular counts'!$A$2,"State","MD","Category","7","Category2","Two-Year")</f>
        <v>0</v>
      </c>
      <c r="C140" s="32">
        <f>+GETPIVOTDATA(" Undergrad Contact Hour FTE - Old",'FTE Pivot for regular counts'!$A$2,"State","MD","Category","8","Category2","Two-Year")</f>
        <v>0</v>
      </c>
      <c r="D140" s="32">
        <f>+GETPIVOTDATA(" Undergrad Contact Hour FTE - Old",'FTE Pivot for regular counts'!$A$2,"State","MD","Category","9","Category2","Two-Year")</f>
        <v>0</v>
      </c>
      <c r="E140" s="32">
        <f>+GETPIVOTDATA(" Undergrad Contact Hour FTE - Old",'FTE Pivot for regular counts'!$A$2,"State","MD","Category","10","Category2","Two-Year")</f>
        <v>0</v>
      </c>
      <c r="F140" s="8">
        <f>+GETPIVOTDATA(" Undergrad Contact Hour FTE - Old",'FTE Pivot for regular counts'!$A$2,"State","MD","Category2","Two-Year")</f>
        <v>0</v>
      </c>
      <c r="G140" s="32">
        <f>+GETPIVOTDATA(" Undergrad Contact Hour FTE - Old",'FTE Pivot for regular counts'!$A$2,"State","MD","Category","12","Category2","Technical")</f>
        <v>0</v>
      </c>
      <c r="H140" s="118">
        <f>+GETPIVOTDATA(" Undergrad Contact Hour FTE - Old",'FTE Pivot for regular counts'!$A$2,"State","MD","Category","13","Category2","Technical")</f>
        <v>0</v>
      </c>
      <c r="I140" s="118">
        <f>+GETPIVOTDATA(" Undergrad Contact Hour FTE - Old",'FTE Pivot for regular counts'!$A$2,"State","MD","Category2","Technical")</f>
        <v>0</v>
      </c>
      <c r="J140" s="118"/>
      <c r="K140" s="118"/>
      <c r="L140" s="118"/>
    </row>
    <row r="141" spans="1:12" ht="15" customHeight="1">
      <c r="B141" s="32"/>
      <c r="C141" s="32"/>
      <c r="D141" s="32"/>
      <c r="E141" s="32"/>
      <c r="F141" s="8"/>
      <c r="G141" s="32"/>
      <c r="H141" s="118"/>
      <c r="I141" s="118"/>
      <c r="J141" s="118"/>
      <c r="K141" s="118"/>
      <c r="L141" s="118"/>
    </row>
    <row r="142" spans="1:12" ht="15" customHeight="1">
      <c r="A142" s="1" t="s">
        <v>72</v>
      </c>
      <c r="B142" s="32">
        <f>+GETPIVOTDATA(" Undergrad Contact Hour FTE - Old",'FTE Pivot for regular counts'!$A$2,"State","MS","Category","7","Category2","Two-Year")</f>
        <v>0</v>
      </c>
      <c r="C142" s="32">
        <f>+GETPIVOTDATA(" Undergrad Contact Hour FTE - Old",'FTE Pivot for regular counts'!$A$2,"State","MS","Category","8","Category2","Two-Year")</f>
        <v>0</v>
      </c>
      <c r="D142" s="32">
        <f>+GETPIVOTDATA(" Undergrad Contact Hour FTE - Old",'FTE Pivot for regular counts'!$A$2,"State","MS","Category","9","Category2","Two-Year")</f>
        <v>0</v>
      </c>
      <c r="E142" s="32">
        <f>+GETPIVOTDATA(" Undergrad Contact Hour FTE - Old",'FTE Pivot for regular counts'!$A$2,"State","MS","Category","10","Category2","Two-Year")</f>
        <v>0</v>
      </c>
      <c r="F142" s="8">
        <f>+GETPIVOTDATA(" Undergrad Contact Hour FTE - Old",'FTE Pivot for regular counts'!$A$2,"State","MS","Category2","Two-Year")</f>
        <v>0</v>
      </c>
      <c r="G142" s="32">
        <f>+GETPIVOTDATA(" Undergrad Contact Hour FTE - Old",'FTE Pivot for regular counts'!$A$2,"State","MS","Category","12","Category2","Technical")</f>
        <v>0</v>
      </c>
      <c r="H142" s="118">
        <f>+GETPIVOTDATA(" Undergrad Contact Hour FTE - Old",'FTE Pivot for regular counts'!$A$2,"State","MS","Category","13","Category2","Technical")</f>
        <v>0</v>
      </c>
      <c r="I142" s="118">
        <f>+GETPIVOTDATA(" Undergrad Contact Hour FTE - Old",'FTE Pivot for regular counts'!$A$2,"State","MS","Category2","Technical")</f>
        <v>0</v>
      </c>
      <c r="J142" s="118"/>
      <c r="K142" s="118"/>
      <c r="L142" s="118"/>
    </row>
    <row r="143" spans="1:12" ht="15" customHeight="1">
      <c r="A143" s="1" t="s">
        <v>73</v>
      </c>
      <c r="B143" s="32">
        <f>+GETPIVOTDATA(" Undergrad Contact Hour FTE - Old",'FTE Pivot for regular counts'!$A$2,"State","NC","Category","7","Category2","Two-Year")</f>
        <v>0</v>
      </c>
      <c r="C143" s="32">
        <f>+GETPIVOTDATA(" Undergrad Contact Hour FTE - Old",'FTE Pivot for regular counts'!$A$2,"State","NC","Category","8","Category2","Two-Year")</f>
        <v>12630.86</v>
      </c>
      <c r="D143" s="32">
        <f>+GETPIVOTDATA(" Undergrad Contact Hour FTE - Old",'FTE Pivot for regular counts'!$A$2,"State","NC","Category","9","Category2","Two-Year")</f>
        <v>15127.434444444447</v>
      </c>
      <c r="E143" s="32">
        <f>+GETPIVOTDATA(" Undergrad Contact Hour FTE - Old",'FTE Pivot for regular counts'!$A$2,"State","NC","Category","10","Category2","Two-Year")</f>
        <v>8383.6322222222207</v>
      </c>
      <c r="F143" s="8">
        <f>+GETPIVOTDATA(" Undergrad Contact Hour FTE - Old",'FTE Pivot for regular counts'!$A$2,"State","NC","Category2","Two-Year")</f>
        <v>36141.926666666666</v>
      </c>
      <c r="G143" s="32">
        <f>+GETPIVOTDATA(" Undergrad Contact Hour FTE - Old",'FTE Pivot for regular counts'!$A$2,"State","NC","Category","12","Category2","Technical")</f>
        <v>0</v>
      </c>
      <c r="H143" s="118">
        <f>+GETPIVOTDATA(" Undergrad Contact Hour FTE - Old",'FTE Pivot for regular counts'!$A$2,"State","NC","Category","13","Category2","Technical")</f>
        <v>0</v>
      </c>
      <c r="I143" s="118">
        <f>+GETPIVOTDATA(" Undergrad Contact Hour FTE - Old",'FTE Pivot for regular counts'!$A$2,"State","NC","Category2","Technical")</f>
        <v>0</v>
      </c>
      <c r="J143" s="118"/>
      <c r="K143" s="118"/>
      <c r="L143" s="118"/>
    </row>
    <row r="144" spans="1:12" ht="15" customHeight="1">
      <c r="A144" s="1" t="s">
        <v>74</v>
      </c>
      <c r="B144" s="32">
        <f>+GETPIVOTDATA(" Undergrad Contact Hour FTE - Old",'FTE Pivot for regular counts'!$A$2,"State","OK","Category","7","Category2","Two-Year")</f>
        <v>0</v>
      </c>
      <c r="C144" s="32">
        <f>+GETPIVOTDATA(" Undergrad Contact Hour FTE - Old",'FTE Pivot for regular counts'!$A$2,"State","OK","Category","8","Category2","Two-Year")</f>
        <v>0</v>
      </c>
      <c r="D144" s="32">
        <f>+GETPIVOTDATA(" Undergrad Contact Hour FTE - Old",'FTE Pivot for regular counts'!$A$2,"State","OK","Category","9","Category2","Two-Year")</f>
        <v>0</v>
      </c>
      <c r="E144" s="32">
        <f>+GETPIVOTDATA(" Undergrad Contact Hour FTE - Old",'FTE Pivot for regular counts'!$A$2,"State","OK","Category","10","Category2","Two-Year")</f>
        <v>0</v>
      </c>
      <c r="F144" s="8">
        <f>+GETPIVOTDATA(" Undergrad Contact Hour FTE - Old",'FTE Pivot for regular counts'!$A$2,"State","OK","Category2","Two-Year")</f>
        <v>0</v>
      </c>
      <c r="G144" s="32">
        <f>+GETPIVOTDATA(" Undergrad Contact Hour FTE - Old",'FTE Pivot for regular counts'!$A$2,"State","OK","Category","12","Category2","Technical")</f>
        <v>4765.8004555555563</v>
      </c>
      <c r="H144" s="118">
        <f>+GETPIVOTDATA(" Undergrad Contact Hour FTE - Old",'FTE Pivot for regular counts'!$A$2,"State","OK","Category","13","Category2","Technical")</f>
        <v>14933.55401111111</v>
      </c>
      <c r="I144" s="118">
        <f>+GETPIVOTDATA(" Undergrad Contact Hour FTE - Old",'FTE Pivot for regular counts'!$A$2,"State","OK","Category2","Technical")</f>
        <v>19699.354466666664</v>
      </c>
      <c r="J144" s="118"/>
      <c r="K144" s="118"/>
      <c r="L144" s="118"/>
    </row>
    <row r="145" spans="1:19" ht="15" customHeight="1">
      <c r="A145" s="1" t="s">
        <v>75</v>
      </c>
      <c r="B145" s="32">
        <f>+GETPIVOTDATA(" Undergrad Contact Hour FTE - Old",'FTE Pivot for regular counts'!$A$2,"State","SC","Category","7","Category2","Two-Year")</f>
        <v>0</v>
      </c>
      <c r="C145" s="32">
        <f>+GETPIVOTDATA(" Undergrad Contact Hour FTE - Old",'FTE Pivot for regular counts'!$A$2,"State","SC","Category","8","Category2","Two-Year")</f>
        <v>0</v>
      </c>
      <c r="D145" s="32">
        <f>+GETPIVOTDATA(" Undergrad Contact Hour FTE - Old",'FTE Pivot for regular counts'!$A$2,"State","SC","Category","9","Category2","Two-Year")</f>
        <v>0</v>
      </c>
      <c r="E145" s="32">
        <f>+GETPIVOTDATA(" Undergrad Contact Hour FTE - Old",'FTE Pivot for regular counts'!$A$2,"State","SC","Category","10","Category2","Two-Year")</f>
        <v>0</v>
      </c>
      <c r="F145" s="8">
        <f>+GETPIVOTDATA(" Undergrad Contact Hour FTE - Old",'FTE Pivot for regular counts'!$A$2,"State","SC","Category2","Two-Year")</f>
        <v>0</v>
      </c>
      <c r="G145" s="32">
        <f>+GETPIVOTDATA(" Undergrad Contact Hour FTE - Old",'FTE Pivot for regular counts'!$A$2,"State","SC","Category","12","Category2","Technical")</f>
        <v>0</v>
      </c>
      <c r="H145" s="118">
        <f>+GETPIVOTDATA(" Undergrad Contact Hour FTE - Old",'FTE Pivot for regular counts'!$A$2,"State","SC","Category","13","Category2","Technical")</f>
        <v>0</v>
      </c>
      <c r="I145" s="118">
        <f>+GETPIVOTDATA(" Undergrad Contact Hour FTE - Old",'FTE Pivot for regular counts'!$A$2,"State","SC","Category2","Technical")</f>
        <v>0</v>
      </c>
      <c r="J145" s="118"/>
      <c r="K145" s="118"/>
      <c r="L145" s="118"/>
    </row>
    <row r="146" spans="1:19" ht="15" customHeight="1">
      <c r="B146" s="32"/>
      <c r="C146" s="32"/>
      <c r="D146" s="32"/>
      <c r="E146" s="32"/>
      <c r="F146" s="8"/>
      <c r="G146" s="32"/>
      <c r="H146" s="118"/>
      <c r="I146" s="118"/>
      <c r="J146" s="118"/>
      <c r="K146" s="118"/>
      <c r="L146" s="118"/>
    </row>
    <row r="147" spans="1:19" ht="15" customHeight="1">
      <c r="A147" s="1" t="s">
        <v>76</v>
      </c>
      <c r="B147" s="32">
        <f>+GETPIVOTDATA(" Undergrad Contact Hour FTE - Old",'FTE Pivot for regular counts'!$A$2,"State","TN","Category","7","Category2","Two-Year")</f>
        <v>0</v>
      </c>
      <c r="C147" s="32">
        <f>+GETPIVOTDATA(" Undergrad Contact Hour FTE - Old",'FTE Pivot for regular counts'!$A$2,"State","TN","Category","8","Category2","Two-Year")</f>
        <v>0</v>
      </c>
      <c r="D147" s="32">
        <f>+GETPIVOTDATA(" Undergrad Contact Hour FTE - Old",'FTE Pivot for regular counts'!$A$2,"State","TN","Category","9","Category2","Two-Year")</f>
        <v>0</v>
      </c>
      <c r="E147" s="32">
        <f>+GETPIVOTDATA(" Undergrad Contact Hour FTE - Old",'FTE Pivot for regular counts'!$A$2,"State","TN","Category","10","Category2","Two-Year")</f>
        <v>0</v>
      </c>
      <c r="F147" s="8">
        <f>+GETPIVOTDATA(" Undergrad Contact Hour FTE - Old",'FTE Pivot for regular counts'!$A$2,"State","TN","Category2","Two-Year")</f>
        <v>0</v>
      </c>
      <c r="G147" s="32">
        <f>+GETPIVOTDATA(" Undergrad Contact Hour FTE - Old",'FTE Pivot for regular counts'!$A$2,"State","TN","Category","12","Category2","Technical")</f>
        <v>1020.9577777777778</v>
      </c>
      <c r="H147" s="118">
        <f>+GETPIVOTDATA(" Undergrad Contact Hour FTE - Old",'FTE Pivot for regular counts'!$A$2,"State","TN","Category","13","Category2","Technical")</f>
        <v>10178.506666666666</v>
      </c>
      <c r="I147" s="118">
        <f>+GETPIVOTDATA(" Undergrad Contact Hour FTE - Old",'FTE Pivot for regular counts'!$A$2,"State","TN","Category2","Technical")</f>
        <v>11199.464444444444</v>
      </c>
      <c r="J147" s="118"/>
      <c r="K147" s="118"/>
      <c r="L147" s="118"/>
    </row>
    <row r="148" spans="1:19" ht="15" customHeight="1">
      <c r="A148" s="1" t="s">
        <v>77</v>
      </c>
      <c r="B148" s="32">
        <f>+GETPIVOTDATA(" Undergrad Contact Hour FTE - Old",'FTE Pivot for regular counts'!$A$2,"State","TX","Category","7","Category2","Two-Year")</f>
        <v>1115.4133333333334</v>
      </c>
      <c r="C148" s="32">
        <f>+GETPIVOTDATA(" Undergrad Contact Hour FTE - Old",'FTE Pivot for regular counts'!$A$2,"State","TX","Category","8","Category2","Two-Year")</f>
        <v>12287.773333333331</v>
      </c>
      <c r="D148" s="32">
        <f>+GETPIVOTDATA(" Undergrad Contact Hour FTE - Old",'FTE Pivot for regular counts'!$A$2,"State","TX","Category","9","Category2","Two-Year")</f>
        <v>5233.6333333333332</v>
      </c>
      <c r="E148" s="32">
        <f>+GETPIVOTDATA(" Undergrad Contact Hour FTE - Old",'FTE Pivot for regular counts'!$A$2,"State","TX","Category","10","Category2","Two-Year")</f>
        <v>453.24888888888893</v>
      </c>
      <c r="F148" s="8">
        <f>+GETPIVOTDATA(" Undergrad Contact Hour FTE - Old",'FTE Pivot for regular counts'!$A$2,"State","TX","Category2","Two-Year")</f>
        <v>19090.068888888887</v>
      </c>
      <c r="G148" s="32">
        <f>+GETPIVOTDATA(" Undergrad Contact Hour FTE - Old",'FTE Pivot for regular counts'!$A$2,"State","TX","Category","12","Category2","Technical")</f>
        <v>0</v>
      </c>
      <c r="H148" s="118">
        <f>+GETPIVOTDATA(" Undergrad Contact Hour FTE - Old",'FTE Pivot for regular counts'!$A$2,"State","TX","Category","13","Category2","Technical")</f>
        <v>0</v>
      </c>
      <c r="I148" s="118">
        <f>+GETPIVOTDATA(" Undergrad Contact Hour FTE - Old",'FTE Pivot for regular counts'!$A$2,"State","TX","Category2","Technical")</f>
        <v>0</v>
      </c>
      <c r="J148" s="118"/>
      <c r="K148" s="118"/>
      <c r="L148" s="118"/>
    </row>
    <row r="149" spans="1:19" ht="15" customHeight="1">
      <c r="A149" s="1" t="s">
        <v>78</v>
      </c>
      <c r="B149" s="32">
        <f>+GETPIVOTDATA(" Undergrad Contact Hour FTE - Old",'FTE Pivot for regular counts'!$A$2,"State","VA","Category","7","Category2","Two-Year")</f>
        <v>0</v>
      </c>
      <c r="C149" s="32">
        <f>+GETPIVOTDATA(" Undergrad Contact Hour FTE - Old",'FTE Pivot for regular counts'!$A$2,"State","VA","Category","8","Category2","Two-Year")</f>
        <v>0</v>
      </c>
      <c r="D149" s="32">
        <f>+GETPIVOTDATA(" Undergrad Contact Hour FTE - Old",'FTE Pivot for regular counts'!$A$2,"State","VA","Category","9","Category2","Two-Year")</f>
        <v>0</v>
      </c>
      <c r="E149" s="32">
        <f>+GETPIVOTDATA(" Undergrad Contact Hour FTE - Old",'FTE Pivot for regular counts'!$A$2,"State","VA","Category","10","Category2","Two-Year")</f>
        <v>0</v>
      </c>
      <c r="F149" s="8">
        <f>+GETPIVOTDATA(" Undergrad Contact Hour FTE - Old",'FTE Pivot for regular counts'!$A$2,"State","VA","Category2","Two-Year")</f>
        <v>0</v>
      </c>
      <c r="G149" s="32">
        <f>+GETPIVOTDATA(" Undergrad Contact Hour FTE - Old",'FTE Pivot for regular counts'!$A$2,"State","VA","Category","12","Category2","Technical")</f>
        <v>0</v>
      </c>
      <c r="H149" s="118">
        <f>+GETPIVOTDATA(" Undergrad Contact Hour FTE - Old",'FTE Pivot for regular counts'!$A$2,"State","VA","Category","13","Category2","Technical")</f>
        <v>0</v>
      </c>
      <c r="I149" s="118">
        <f>+GETPIVOTDATA(" Undergrad Contact Hour FTE - Old",'FTE Pivot for regular counts'!$A$2,"State","VA","Category2","Technical")</f>
        <v>0</v>
      </c>
      <c r="J149" s="118"/>
      <c r="K149" s="118"/>
      <c r="L149" s="118"/>
    </row>
    <row r="150" spans="1:19" ht="15" customHeight="1">
      <c r="A150" s="3" t="s">
        <v>79</v>
      </c>
      <c r="B150" s="9">
        <f>+GETPIVOTDATA(" Undergrad Contact Hour FTE - Old",'FTE Pivot for regular counts'!$A$2,"State","WV","Category","7","Category2","Two-Year")</f>
        <v>0</v>
      </c>
      <c r="C150" s="9">
        <f>+GETPIVOTDATA(" Undergrad Contact Hour FTE - Old",'FTE Pivot for regular counts'!$A$2,"State","WV","Category","8","Category2","Two-Year")</f>
        <v>0</v>
      </c>
      <c r="D150" s="9">
        <f>+GETPIVOTDATA(" Undergrad Contact Hour FTE - Old",'FTE Pivot for regular counts'!$A$2,"State","WV","Category","9","Category2","Two-Year")</f>
        <v>0</v>
      </c>
      <c r="E150" s="9">
        <f>+GETPIVOTDATA(" Undergrad Contact Hour FTE - Old",'FTE Pivot for regular counts'!$A$2,"State","WV","Category","10","Category2","Two-Year")</f>
        <v>0</v>
      </c>
      <c r="F150" s="10">
        <f>+GETPIVOTDATA(" Undergrad Contact Hour FTE - Old",'FTE Pivot for regular counts'!$A$2,"State","WV","Category2","Two-Year")</f>
        <v>0</v>
      </c>
      <c r="G150" s="9">
        <f>+GETPIVOTDATA(" Undergrad Contact Hour FTE - Old",'FTE Pivot for regular counts'!$A$2,"State","WV","Category","12","Category2","Technical")</f>
        <v>0</v>
      </c>
      <c r="H150" s="119">
        <f>+GETPIVOTDATA(" Undergrad Contact Hour FTE - Old",'FTE Pivot for regular counts'!$A$2,"State","WV","Category","13","Category2","Technical")</f>
        <v>0</v>
      </c>
      <c r="I150" s="119">
        <f>+GETPIVOTDATA(" Undergrad Contact Hour FTE - Old",'FTE Pivot for regular counts'!$A$2,"State","WV","Category2","Technical")</f>
        <v>0</v>
      </c>
      <c r="J150" s="118"/>
      <c r="K150" s="118"/>
      <c r="L150" s="118"/>
    </row>
    <row r="151" spans="1:19" ht="34.5" customHeight="1">
      <c r="A151" s="831" t="s">
        <v>982</v>
      </c>
      <c r="B151" s="831"/>
      <c r="C151" s="831"/>
      <c r="D151" s="831"/>
      <c r="E151" s="831"/>
      <c r="F151" s="831"/>
      <c r="G151" s="831"/>
      <c r="H151" s="831"/>
      <c r="I151" s="831"/>
      <c r="J151" s="414"/>
      <c r="K151" s="260"/>
      <c r="L151" s="260"/>
      <c r="M151" s="1"/>
    </row>
    <row r="152" spans="1:19">
      <c r="J152" s="168" t="s">
        <v>975</v>
      </c>
      <c r="K152" s="168"/>
      <c r="L152" s="168"/>
      <c r="M152" s="1"/>
    </row>
    <row r="153" spans="1:19" s="4" customFormat="1" ht="18">
      <c r="A153" s="114" t="s">
        <v>168</v>
      </c>
      <c r="B153" s="114"/>
      <c r="C153" s="114"/>
      <c r="D153" s="114"/>
      <c r="E153" s="114"/>
      <c r="F153" s="114"/>
      <c r="G153" s="114"/>
      <c r="H153" s="114"/>
      <c r="I153" s="114"/>
      <c r="J153" s="114"/>
      <c r="K153" s="114"/>
      <c r="L153" s="176"/>
      <c r="P153" s="1"/>
      <c r="Q153" s="1"/>
      <c r="R153" s="1"/>
      <c r="S153" s="1"/>
    </row>
    <row r="154" spans="1:19" ht="12" customHeight="1">
      <c r="A154" s="21"/>
      <c r="B154" s="21"/>
      <c r="C154" s="21"/>
      <c r="D154" s="21"/>
      <c r="E154" s="21"/>
      <c r="F154" s="21"/>
      <c r="G154" s="21"/>
      <c r="H154" s="104"/>
      <c r="I154" s="21"/>
      <c r="J154" s="104"/>
      <c r="K154" s="104"/>
      <c r="L154" s="104"/>
      <c r="M154" s="1"/>
    </row>
    <row r="155" spans="1:19" ht="15.75">
      <c r="A155" s="43" t="s">
        <v>36</v>
      </c>
      <c r="B155" s="43"/>
      <c r="C155" s="43"/>
      <c r="D155" s="43"/>
      <c r="E155" s="43"/>
      <c r="F155" s="43"/>
      <c r="G155" s="43"/>
      <c r="H155" s="43"/>
      <c r="I155" s="43"/>
      <c r="J155" s="43"/>
      <c r="K155" s="43"/>
      <c r="L155" s="262"/>
      <c r="M155" s="1"/>
    </row>
    <row r="156" spans="1:19" ht="15.75">
      <c r="A156" s="109" t="s">
        <v>255</v>
      </c>
      <c r="B156" s="43"/>
      <c r="C156" s="43"/>
      <c r="D156" s="43"/>
      <c r="E156" s="43"/>
      <c r="F156" s="43"/>
      <c r="G156" s="43"/>
      <c r="H156" s="43"/>
      <c r="I156" s="43"/>
      <c r="J156" s="43"/>
      <c r="K156" s="43"/>
      <c r="L156" s="262"/>
      <c r="M156" s="194"/>
    </row>
    <row r="157" spans="1:19">
      <c r="B157" s="2"/>
      <c r="C157" s="2"/>
      <c r="D157" s="2"/>
      <c r="E157" s="170"/>
      <c r="F157" s="2"/>
      <c r="G157" s="170"/>
      <c r="H157" s="197"/>
      <c r="I157" s="170"/>
      <c r="J157" s="197"/>
      <c r="K157" s="197"/>
      <c r="L157" s="186"/>
      <c r="M157" s="186"/>
      <c r="N157" s="25"/>
      <c r="O157" s="25"/>
    </row>
    <row r="158" spans="1:19" ht="15" customHeight="1">
      <c r="A158" s="45"/>
      <c r="B158" s="224" t="s">
        <v>140</v>
      </c>
      <c r="C158" s="65"/>
      <c r="D158" s="171">
        <v>1</v>
      </c>
      <c r="F158" s="201">
        <v>2</v>
      </c>
      <c r="H158" s="201">
        <v>3</v>
      </c>
      <c r="J158" s="201" t="s">
        <v>30</v>
      </c>
      <c r="K158" s="199"/>
      <c r="L158" s="73"/>
      <c r="N158" s="25"/>
      <c r="O158" s="25"/>
    </row>
    <row r="159" spans="1:19" ht="75.75" customHeight="1">
      <c r="A159" s="198"/>
      <c r="B159" s="199" t="s">
        <v>143</v>
      </c>
      <c r="C159" s="165" t="s">
        <v>22</v>
      </c>
      <c r="D159" s="200" t="s">
        <v>143</v>
      </c>
      <c r="E159" s="165" t="s">
        <v>22</v>
      </c>
      <c r="F159" s="200" t="s">
        <v>143</v>
      </c>
      <c r="G159" s="165" t="s">
        <v>22</v>
      </c>
      <c r="H159" s="200" t="s">
        <v>143</v>
      </c>
      <c r="I159" s="165" t="s">
        <v>22</v>
      </c>
      <c r="J159" s="200" t="s">
        <v>143</v>
      </c>
      <c r="K159" s="165" t="s">
        <v>22</v>
      </c>
    </row>
    <row r="160" spans="1:19">
      <c r="A160" s="1" t="s">
        <v>64</v>
      </c>
      <c r="B160" s="117">
        <f>+'OLD Tables'!B100+'OLD Tables'!B130</f>
        <v>323673.82444444444</v>
      </c>
      <c r="D160" s="172">
        <f>+'OLD Tables'!C100+'OLD Tables'!C130</f>
        <v>849479.51444444444</v>
      </c>
      <c r="F160" s="172">
        <f>+'OLD Tables'!D100+'OLD Tables'!D130</f>
        <v>419905.02333333337</v>
      </c>
      <c r="H160" s="174">
        <f>+'OLD Tables'!E100+'OLD Tables'!E130</f>
        <v>127626.63666666664</v>
      </c>
      <c r="J160" s="174">
        <f>+'OLD Tables'!F100+'OLD Tables'!F130</f>
        <v>1720684.9988888886</v>
      </c>
      <c r="K160" s="1"/>
      <c r="L160" s="4" t="s">
        <v>28</v>
      </c>
      <c r="P160" s="75"/>
      <c r="Q160" s="75"/>
      <c r="R160" s="75"/>
      <c r="S160" s="75"/>
    </row>
    <row r="161" spans="1:19" s="75" customFormat="1" ht="10.5" customHeight="1">
      <c r="A161" s="255"/>
      <c r="B161" s="256"/>
      <c r="C161" s="251" t="s">
        <v>178</v>
      </c>
      <c r="D161" s="252" t="s">
        <v>28</v>
      </c>
      <c r="E161" s="251" t="s">
        <v>179</v>
      </c>
      <c r="F161" s="252" t="s">
        <v>28</v>
      </c>
      <c r="G161" s="253" t="s">
        <v>180</v>
      </c>
      <c r="H161" s="254" t="s">
        <v>28</v>
      </c>
      <c r="I161" s="253" t="s">
        <v>181</v>
      </c>
      <c r="J161" s="254" t="s">
        <v>28</v>
      </c>
      <c r="K161" s="251" t="s">
        <v>182</v>
      </c>
      <c r="L161" s="75" t="s">
        <v>28</v>
      </c>
      <c r="P161" s="1"/>
      <c r="Q161" s="1"/>
      <c r="R161" s="1"/>
      <c r="S161" s="1"/>
    </row>
    <row r="162" spans="1:19" ht="15" customHeight="1">
      <c r="A162" s="1" t="s">
        <v>65</v>
      </c>
      <c r="B162" s="7">
        <f>+'OLD Tables'!B102+'OLD Tables'!B132</f>
        <v>0</v>
      </c>
      <c r="C162" s="95">
        <f>+GETPIVOTDATA("Sum of Old-HS % of Total",'Pivot-HS Student % of Undergrad'!$A$3,"State","AL","Category",7,"Category2","Two-Year")</f>
        <v>0</v>
      </c>
      <c r="D162" s="172">
        <f>+'OLD Tables'!C102+'OLD Tables'!C132</f>
        <v>13491.366666666667</v>
      </c>
      <c r="E162" s="95">
        <f>+GETPIVOTDATA("Sum of Old-HS % of Total",'Pivot-HS Student % of Undergrad'!$A$3,"State","AL","Category",8,"Category2","Two-Year")</f>
        <v>3.4333067319594505E-2</v>
      </c>
      <c r="F162" s="172">
        <f>+'OLD Tables'!D102+'OLD Tables'!D132</f>
        <v>38473.533333333333</v>
      </c>
      <c r="G162" s="95">
        <f>+GETPIVOTDATA("Sum of Old-HS % of Total",'Pivot-HS Student % of Undergrad'!$A$3,"State","AL","Category",9,"Category2","Two-Year")</f>
        <v>3.1248321356846177E-2</v>
      </c>
      <c r="H162" s="172">
        <f>+'OLD Tables'!E102+'OLD Tables'!E132</f>
        <v>9679</v>
      </c>
      <c r="I162" s="95">
        <f>+GETPIVOTDATA("Sum of Old-HS % of Total",'Pivot-HS Student % of Undergrad'!$A$3,"State","AL","Category",10,"Category2","Two-Year")</f>
        <v>3.056445225057685E-2</v>
      </c>
      <c r="J162" s="172">
        <f>+'OLD Tables'!F102+'OLD Tables'!F132</f>
        <v>61643.9</v>
      </c>
      <c r="K162" s="95">
        <f>+GETPIVOTDATA("Sum of Old-HS % of Total",'Pivot-HS Student % of Undergrad'!$A$3,"State","AL","Category2","Group2")</f>
        <v>3.1816070473585652E-2</v>
      </c>
    </row>
    <row r="163" spans="1:19" ht="15" customHeight="1">
      <c r="A163" s="1" t="s">
        <v>66</v>
      </c>
      <c r="B163" s="32">
        <f>+'OLD Tables'!B103+'OLD Tables'!B133</f>
        <v>0</v>
      </c>
      <c r="C163" s="95">
        <f>+GETPIVOTDATA("Sum of Old-HS % of Total",'Pivot-HS Student % of Undergrad'!$A$3,"State","AR","Category",7,"Category2","Two-Year")</f>
        <v>0</v>
      </c>
      <c r="D163" s="172">
        <f>+'OLD Tables'!C103+'OLD Tables'!C133</f>
        <v>12110.966666666667</v>
      </c>
      <c r="E163" s="95">
        <f>+GETPIVOTDATA("Sum of Old-HS % of Total",'Pivot-HS Student % of Undergrad'!$A$3,"State","AR","Category",8,"Category2","Two-Year")</f>
        <v>4.9357469401011204E-2</v>
      </c>
      <c r="F163" s="172">
        <f>+'OLD Tables'!D103+'OLD Tables'!D133</f>
        <v>5105.6333333333332</v>
      </c>
      <c r="G163" s="95">
        <f>+GETPIVOTDATA("Sum of Old-HS % of Total",'Pivot-HS Student % of Undergrad'!$A$3,"State","AR","Category",9,"Category2","Two-Year")</f>
        <v>8.8849571388466331E-2</v>
      </c>
      <c r="H163" s="172">
        <f>+'OLD Tables'!E103+'OLD Tables'!E133</f>
        <v>20364.599999999999</v>
      </c>
      <c r="I163" s="95">
        <f>+GETPIVOTDATA("Sum of Old-HS % of Total",'Pivot-HS Student % of Undergrad'!$A$3,"State","AR","Category",10,"Category2","Two-Year")</f>
        <v>0.11651427804458063</v>
      </c>
      <c r="J163" s="172">
        <f>+'OLD Tables'!F103+'OLD Tables'!F133</f>
        <v>37581.199999999997</v>
      </c>
      <c r="K163" s="95">
        <f>+GETPIVOTDATA("Sum of Old-HS % of Total",'Pivot-HS Student % of Undergrad'!$A$3,"State","AR","Category2","Group2")</f>
        <v>9.1113819321008024E-2</v>
      </c>
    </row>
    <row r="164" spans="1:19" ht="15" customHeight="1">
      <c r="A164" s="1" t="s">
        <v>102</v>
      </c>
      <c r="B164" s="32">
        <f>+'OLD Tables'!B104+'OLD Tables'!B134</f>
        <v>0</v>
      </c>
      <c r="C164" s="95">
        <f>+GETPIVOTDATA("Sum of Old-HS % of Total",'Pivot-HS Student % of Undergrad'!$A$3,"State","DE","Category",7,"Category2","Two-Year")</f>
        <v>0</v>
      </c>
      <c r="D164" s="172">
        <f>+'OLD Tables'!C104+'OLD Tables'!C134</f>
        <v>0</v>
      </c>
      <c r="E164" s="95">
        <f>+GETPIVOTDATA("Sum of Old-HS % of Total",'Pivot-HS Student % of Undergrad'!$A$3,"State","DE","Category",8,"Category2","Two-Year")</f>
        <v>0</v>
      </c>
      <c r="F164" s="172">
        <f>+'OLD Tables'!D104+'OLD Tables'!D134</f>
        <v>9913.6</v>
      </c>
      <c r="G164" s="95">
        <f>+GETPIVOTDATA("Sum of Old-HS % of Total",'Pivot-HS Student % of Undergrad'!$A$3,"State","DE","Category",9,"Category2","Two-Year")</f>
        <v>0</v>
      </c>
      <c r="H164" s="172">
        <f>+'OLD Tables'!E104+'OLD Tables'!E134</f>
        <v>0</v>
      </c>
      <c r="I164" s="95">
        <f>+GETPIVOTDATA("Sum of Old-HS % of Total",'Pivot-HS Student % of Undergrad'!$A$3,"State","DE","Category",10,"Category2","Two-Year")</f>
        <v>0</v>
      </c>
      <c r="J164" s="172">
        <f>+'OLD Tables'!F104+'OLD Tables'!F134</f>
        <v>9913.6</v>
      </c>
      <c r="K164" s="95">
        <f>+GETPIVOTDATA("Sum of Old-HS % of Total",'Pivot-HS Student % of Undergrad'!$A$3,"State","DE","Category2","Group2")</f>
        <v>0</v>
      </c>
    </row>
    <row r="165" spans="1:19" ht="15" customHeight="1">
      <c r="A165" s="1" t="s">
        <v>67</v>
      </c>
      <c r="B165" s="32">
        <f>+'OLD Tables'!B105+'OLD Tables'!B135</f>
        <v>280249.47777777776</v>
      </c>
      <c r="C165" s="95">
        <f>+GETPIVOTDATA("Sum of Old-HS % of Total",'Pivot-HS Student % of Undergrad'!$A$3,"State","FL","Category",7,"Category2","Two-Year")</f>
        <v>2.3326279659050174E-2</v>
      </c>
      <c r="D165" s="172">
        <f>+'OLD Tables'!C105+'OLD Tables'!C135</f>
        <v>49085.847777777781</v>
      </c>
      <c r="E165" s="95">
        <f>+GETPIVOTDATA("Sum of Old-HS % of Total",'Pivot-HS Student % of Undergrad'!$A$3,"State","FL","Category",8,"Category2","Two-Year")</f>
        <v>3.8241561715660351E-2</v>
      </c>
      <c r="F165" s="172">
        <f>+'OLD Tables'!D105+'OLD Tables'!D135</f>
        <v>7046.0888888888894</v>
      </c>
      <c r="G165" s="95">
        <f>+GETPIVOTDATA("Sum of Old-HS % of Total",'Pivot-HS Student % of Undergrad'!$A$3,"State","FL","Category",9,"Category2","Two-Year")</f>
        <v>9.1704683997325676E-2</v>
      </c>
      <c r="H165" s="172">
        <f>+'OLD Tables'!E105+'OLD Tables'!E135</f>
        <v>1525.392222222222</v>
      </c>
      <c r="I165" s="95">
        <f>+GETPIVOTDATA("Sum of Old-HS % of Total",'Pivot-HS Student % of Undergrad'!$A$3,"State","FL","Category",10,"Category2","Two-Year")</f>
        <v>3.7966990569709716E-2</v>
      </c>
      <c r="J165" s="172">
        <f>+'OLD Tables'!F105+'OLD Tables'!F135</f>
        <v>337906.80666666664</v>
      </c>
      <c r="K165" s="95">
        <f>+GETPIVOTDATA("Sum of Old-HS % of Total",'Pivot-HS Student % of Undergrad'!$A$3,"State","FL","Category2","Group2")</f>
        <v>2.8133270035753409E-2</v>
      </c>
    </row>
    <row r="166" spans="1:19" ht="15" customHeight="1">
      <c r="B166" s="32"/>
      <c r="C166" s="95"/>
      <c r="D166" s="172"/>
      <c r="E166" s="95"/>
      <c r="F166" s="172"/>
      <c r="G166" s="95"/>
      <c r="H166" s="172"/>
      <c r="I166" s="95"/>
      <c r="J166" s="172"/>
      <c r="K166" s="95"/>
    </row>
    <row r="167" spans="1:19" ht="15" customHeight="1">
      <c r="A167" s="1" t="s">
        <v>68</v>
      </c>
      <c r="B167" s="32">
        <f>+'OLD Tables'!B107+'OLD Tables'!B137</f>
        <v>8365.9000000000015</v>
      </c>
      <c r="C167" s="95">
        <f>+GETPIVOTDATA("Sum of Old-HS % of Total",'Pivot-HS Student % of Undergrad'!$A$3,"State","GA","Category",7,"Category2","Two-Year")</f>
        <v>2.7229586774883754E-2</v>
      </c>
      <c r="D167" s="172">
        <f>+'OLD Tables'!C107+'OLD Tables'!C137</f>
        <v>15378.033333333333</v>
      </c>
      <c r="E167" s="95">
        <f>+GETPIVOTDATA("Sum of Old-HS % of Total",'Pivot-HS Student % of Undergrad'!$A$3,"State","GA","Category",8,"Category2","Two-Year")</f>
        <v>3.2945261747817776E-2</v>
      </c>
      <c r="F167" s="172">
        <f>+'OLD Tables'!D107+'OLD Tables'!D137</f>
        <v>17123.050000000003</v>
      </c>
      <c r="G167" s="95">
        <f>+GETPIVOTDATA("Sum of Old-HS % of Total",'Pivot-HS Student % of Undergrad'!$A$3,"State","GA","Category",9,"Category2","Two-Year")</f>
        <v>2.3578353934219275E-2</v>
      </c>
      <c r="H167" s="172">
        <f>+'OLD Tables'!E107+'OLD Tables'!E137</f>
        <v>0</v>
      </c>
      <c r="I167" s="95">
        <f>+GETPIVOTDATA("Sum of Old-HS % of Total",'Pivot-HS Student % of Undergrad'!$A$3,"State","GA","Category",10,"Category2","Two-Year")</f>
        <v>0</v>
      </c>
      <c r="J167" s="172">
        <f>+'OLD Tables'!F107+'OLD Tables'!F137</f>
        <v>40866.983333333337</v>
      </c>
      <c r="K167" s="95">
        <f>+GETPIVOTDATA("Sum of Old-HS % of Total",'Pivot-HS Student % of Undergrad'!$A$3,"State","GA","Category2","Group2")</f>
        <v>2.7850518287174775E-2</v>
      </c>
    </row>
    <row r="168" spans="1:19" ht="15" customHeight="1">
      <c r="A168" s="1" t="s">
        <v>69</v>
      </c>
      <c r="B168" s="32">
        <f>+'OLD Tables'!B108+'OLD Tables'!B138</f>
        <v>0</v>
      </c>
      <c r="C168" s="95">
        <f>+GETPIVOTDATA("Sum of Old-HS % of Total",'Pivot-HS Student % of Undergrad'!$A$3,"State","KY","Category",7,"Category2","Two-Year")</f>
        <v>0</v>
      </c>
      <c r="D168" s="172">
        <f>+'OLD Tables'!C108+'OLD Tables'!C138</f>
        <v>14732.5</v>
      </c>
      <c r="E168" s="95">
        <f>+GETPIVOTDATA("Sum of Old-HS % of Total",'Pivot-HS Student % of Undergrad'!$A$3,"State","KY","Category",8,"Category2","Two-Year")</f>
        <v>4.1158436563154023E-2</v>
      </c>
      <c r="F168" s="172">
        <f>+'OLD Tables'!D108+'OLD Tables'!D138</f>
        <v>30483.166666666668</v>
      </c>
      <c r="G168" s="95">
        <f>+GETPIVOTDATA("Sum of Old-HS % of Total",'Pivot-HS Student % of Undergrad'!$A$3,"State","KY","Category",9,"Category2","Two-Year")</f>
        <v>5.8975718839359426E-2</v>
      </c>
      <c r="H168" s="172">
        <f>+'OLD Tables'!E108+'OLD Tables'!E138</f>
        <v>1128.7666666666667</v>
      </c>
      <c r="I168" s="95">
        <f>+GETPIVOTDATA("Sum of Old-HS % of Total",'Pivot-HS Student % of Undergrad'!$A$3,"State","KY","Category",10,"Category2","Two-Year")</f>
        <v>6.210318046245164E-2</v>
      </c>
      <c r="J168" s="172">
        <f>+'OLD Tables'!F108+'OLD Tables'!F138</f>
        <v>46344.433333333342</v>
      </c>
      <c r="K168" s="95">
        <f>+GETPIVOTDATA("Sum of Old-HS % of Total",'Pivot-HS Student % of Undergrad'!$A$3,"State","KY","Category2","Group2")</f>
        <v>5.3387929366561823E-2</v>
      </c>
    </row>
    <row r="169" spans="1:19" ht="15" customHeight="1">
      <c r="A169" s="1" t="s">
        <v>70</v>
      </c>
      <c r="B169" s="32">
        <f>+'OLD Tables'!B109+'OLD Tables'!B139</f>
        <v>0</v>
      </c>
      <c r="C169" s="95">
        <f>+GETPIVOTDATA("Sum of Old-HS % of Total",'Pivot-HS Student % of Undergrad'!$A$3,"State","LA","Category",7,"Category2","Two-Year")</f>
        <v>0</v>
      </c>
      <c r="D169" s="172">
        <f>+'OLD Tables'!C109+'OLD Tables'!C139</f>
        <v>24773.98333333333</v>
      </c>
      <c r="E169" s="95">
        <f>+GETPIVOTDATA("Sum of Old-HS % of Total",'Pivot-HS Student % of Undergrad'!$A$3,"State","LA","Category",8,"Category2","Two-Year")</f>
        <v>2.0041185679331611E-2</v>
      </c>
      <c r="F169" s="172">
        <f>+'OLD Tables'!D109+'OLD Tables'!D139</f>
        <v>9220.5333333333328</v>
      </c>
      <c r="G169" s="95">
        <f>+GETPIVOTDATA("Sum of Old-HS % of Total",'Pivot-HS Student % of Undergrad'!$A$3,"State","LA","Category",9,"Category2","Two-Year")</f>
        <v>7.4478699713682511E-2</v>
      </c>
      <c r="H169" s="172">
        <f>+'OLD Tables'!E109+'OLD Tables'!E139</f>
        <v>4599.7333333333336</v>
      </c>
      <c r="I169" s="95">
        <f>+GETPIVOTDATA("Sum of Old-HS % of Total",'Pivot-HS Student % of Undergrad'!$A$3,"State","LA","Category",10,"Category2","Two-Year")</f>
        <v>0.11089048640500898</v>
      </c>
      <c r="J169" s="172">
        <f>+'OLD Tables'!F109+'OLD Tables'!F139</f>
        <v>38594.25</v>
      </c>
      <c r="K169" s="95">
        <f>+GETPIVOTDATA("Sum of Old-HS % of Total",'Pivot-HS Student % of Undergrad'!$A$3,"State","LA","Category2","Group2")</f>
        <v>4.3874411343658708E-2</v>
      </c>
    </row>
    <row r="170" spans="1:19" ht="15" customHeight="1">
      <c r="A170" s="1" t="s">
        <v>71</v>
      </c>
      <c r="B170" s="32">
        <f>+'OLD Tables'!B110+'OLD Tables'!B140</f>
        <v>0</v>
      </c>
      <c r="C170" s="95">
        <f>+GETPIVOTDATA("Sum of Old-HS % of Total",'Pivot-HS Student % of Undergrad'!$A$3,"State","MD","Category",7,"Category2","Two-Year")</f>
        <v>0</v>
      </c>
      <c r="D170" s="172">
        <f>+'OLD Tables'!C110+'OLD Tables'!C140</f>
        <v>71035.849999999991</v>
      </c>
      <c r="E170" s="95">
        <f>+GETPIVOTDATA("Sum of Old-HS % of Total",'Pivot-HS Student % of Undergrad'!$A$3,"State","MD","Category",8,"Category2","Two-Year")</f>
        <v>0</v>
      </c>
      <c r="F170" s="172">
        <f>+'OLD Tables'!D110+'OLD Tables'!D140</f>
        <v>20908.283333333333</v>
      </c>
      <c r="G170" s="95">
        <f>+GETPIVOTDATA("Sum of Old-HS % of Total",'Pivot-HS Student % of Undergrad'!$A$3,"State","MD","Category",9,"Category2","Two-Year")</f>
        <v>0</v>
      </c>
      <c r="H170" s="172">
        <f>+'OLD Tables'!E110+'OLD Tables'!E140</f>
        <v>3669.2</v>
      </c>
      <c r="I170" s="95">
        <f>+GETPIVOTDATA("Sum of Old-HS % of Total",'Pivot-HS Student % of Undergrad'!$A$3,"State","MD","Category",10,"Category2","Two-Year")</f>
        <v>0</v>
      </c>
      <c r="J170" s="172">
        <f>+'OLD Tables'!F110+'OLD Tables'!F140</f>
        <v>95613.333333333328</v>
      </c>
      <c r="K170" s="95">
        <f>+GETPIVOTDATA("Sum of Old-HS % of Total",'Pivot-HS Student % of Undergrad'!$A$3,"State","MD","Category2","Group2")</f>
        <v>0</v>
      </c>
    </row>
    <row r="171" spans="1:19" ht="15" customHeight="1">
      <c r="B171" s="32"/>
      <c r="C171" s="95"/>
      <c r="D171" s="172"/>
      <c r="E171" s="95"/>
      <c r="F171" s="172"/>
      <c r="G171" s="95"/>
      <c r="H171" s="172"/>
      <c r="I171" s="95"/>
      <c r="J171" s="172"/>
      <c r="K171" s="95"/>
    </row>
    <row r="172" spans="1:19" ht="15" customHeight="1">
      <c r="A172" s="1" t="s">
        <v>72</v>
      </c>
      <c r="B172" s="32">
        <f>+'OLD Tables'!B112+'OLD Tables'!B142</f>
        <v>0</v>
      </c>
      <c r="C172" s="95">
        <f>+GETPIVOTDATA("Sum of Old-HS % of Total",'Pivot-HS Student % of Undergrad'!$A$3,"State","MS","Category",7,"Category2","Two-Year")</f>
        <v>0</v>
      </c>
      <c r="D172" s="172">
        <f>+'OLD Tables'!C112+'OLD Tables'!C142</f>
        <v>30403.76666666667</v>
      </c>
      <c r="E172" s="95">
        <f>+GETPIVOTDATA("Sum of Old-HS % of Total",'Pivot-HS Student % of Undergrad'!$A$3,"State","MS","Category",8,"Category2","Two-Year")</f>
        <v>2.5476010099625815E-2</v>
      </c>
      <c r="F172" s="172">
        <f>+'OLD Tables'!D112+'OLD Tables'!D142</f>
        <v>31313.133333333331</v>
      </c>
      <c r="G172" s="95">
        <f>+GETPIVOTDATA("Sum of Old-HS % of Total",'Pivot-HS Student % of Undergrad'!$A$3,"State","MS","Category",9,"Category2","Two-Year")</f>
        <v>2.1996095355090624E-2</v>
      </c>
      <c r="H172" s="172">
        <f>+'OLD Tables'!E112+'OLD Tables'!E142</f>
        <v>3614.5</v>
      </c>
      <c r="I172" s="95">
        <f>+GETPIVOTDATA("Sum of Old-HS % of Total",'Pivot-HS Student % of Undergrad'!$A$3,"State","MS","Category",10,"Category2","Two-Year")</f>
        <v>2.13215290266058E-2</v>
      </c>
      <c r="J172" s="172">
        <f>+'OLD Tables'!F112+'OLD Tables'!F142</f>
        <v>65331.4</v>
      </c>
      <c r="K172" s="95">
        <f>+GETPIVOTDATA("Sum of Old-HS % of Total",'Pivot-HS Student % of Undergrad'!$A$3,"State","MS","Category2","Group2")</f>
        <v>2.357824874409549E-2</v>
      </c>
    </row>
    <row r="173" spans="1:19" ht="15" customHeight="1">
      <c r="A173" s="1" t="s">
        <v>73</v>
      </c>
      <c r="B173" s="32">
        <f>+'OLD Tables'!B113+'OLD Tables'!B143</f>
        <v>0</v>
      </c>
      <c r="C173" s="95">
        <f>+GETPIVOTDATA("Sum of Old-HS % of Total",'Pivot-HS Student % of Undergrad'!$A$3,"State","NC","Category",7,"Category2","Two-Year")</f>
        <v>0</v>
      </c>
      <c r="D173" s="172">
        <f>+'OLD Tables'!C113+'OLD Tables'!C143</f>
        <v>88630.526666666658</v>
      </c>
      <c r="E173" s="95">
        <f>+GETPIVOTDATA("Sum of Old-HS % of Total",'Pivot-HS Student % of Undergrad'!$A$3,"State","NC","Category",8,"Category2","Two-Year")</f>
        <v>2.4679932806722836E-2</v>
      </c>
      <c r="F173" s="172">
        <f>+'OLD Tables'!D113+'OLD Tables'!D143</f>
        <v>74668.334444444466</v>
      </c>
      <c r="G173" s="95">
        <f>+GETPIVOTDATA("Sum of Old-HS % of Total",'Pivot-HS Student % of Undergrad'!$A$3,"State","NC","Category",9,"Category2","Two-Year")</f>
        <v>8.6575222522109446E-2</v>
      </c>
      <c r="H173" s="172">
        <f>+'OLD Tables'!E113+'OLD Tables'!E143</f>
        <v>31735.732222222221</v>
      </c>
      <c r="I173" s="95">
        <f>+GETPIVOTDATA("Sum of Old-HS % of Total",'Pivot-HS Student % of Undergrad'!$A$3,"State","NC","Category",10,"Category2","Two-Year")</f>
        <v>0.13660727158014341</v>
      </c>
      <c r="J173" s="172">
        <f>+'OLD Tables'!F113+'OLD Tables'!F143</f>
        <v>195034.59333333335</v>
      </c>
      <c r="K173" s="95">
        <f>+GETPIVOTDATA("Sum of Old-HS % of Total",'Pivot-HS Student % of Undergrad'!$A$3,"State","NC","Category2","Group2")</f>
        <v>6.4323295809749978E-2</v>
      </c>
    </row>
    <row r="174" spans="1:19" ht="15" customHeight="1">
      <c r="A174" s="1" t="s">
        <v>74</v>
      </c>
      <c r="B174" s="118">
        <f>+'OLD Tables'!B114+'OLD Tables'!B144</f>
        <v>7513</v>
      </c>
      <c r="C174" s="95">
        <f>+GETPIVOTDATA("Sum of Old-HS % of Total",'Pivot-HS Student % of Undergrad'!$A$3,"State","OK","Category",7,"Category2","Two-Year")</f>
        <v>0</v>
      </c>
      <c r="D174" s="172">
        <f>+'OLD Tables'!C114+'OLD Tables'!C144</f>
        <v>19723.266666666666</v>
      </c>
      <c r="E174" s="95">
        <f>+GETPIVOTDATA("Sum of Old-HS % of Total",'Pivot-HS Student % of Undergrad'!$A$3,"State","OK","Category",8,"Category2","Two-Year")</f>
        <v>0</v>
      </c>
      <c r="F174" s="172">
        <f>+'OLD Tables'!D114+'OLD Tables'!D144</f>
        <v>7471.5</v>
      </c>
      <c r="G174" s="95">
        <f>+GETPIVOTDATA("Sum of Old-HS % of Total",'Pivot-HS Student % of Undergrad'!$A$3,"State","OK","Category",9,"Category2","Two-Year")</f>
        <v>0</v>
      </c>
      <c r="H174" s="172">
        <f>+'OLD Tables'!E114+'OLD Tables'!E144</f>
        <v>12007.933333333334</v>
      </c>
      <c r="I174" s="95">
        <f>+GETPIVOTDATA("Sum of Old-HS % of Total",'Pivot-HS Student % of Undergrad'!$A$3,"State","OK","Category",10,"Category2","Two-Year")</f>
        <v>0</v>
      </c>
      <c r="J174" s="174">
        <f>+'OLD Tables'!F114+'OLD Tables'!F144</f>
        <v>46715.7</v>
      </c>
      <c r="K174" s="95">
        <f>+GETPIVOTDATA("Sum of Old-HS % of Total",'Pivot-HS Student % of Undergrad'!$A$3,"State","OK","Category2","Group2")</f>
        <v>0</v>
      </c>
    </row>
    <row r="175" spans="1:19" ht="15" customHeight="1">
      <c r="A175" s="1" t="s">
        <v>75</v>
      </c>
      <c r="B175" s="32">
        <f>+'OLD Tables'!B115+'OLD Tables'!B145</f>
        <v>0</v>
      </c>
      <c r="C175" s="95">
        <f>+GETPIVOTDATA("Sum of Old-HS % of Total",'Pivot-HS Student % of Undergrad'!$A$3,"State","SC","Category",7,"Category2","Two-Year")</f>
        <v>0</v>
      </c>
      <c r="D175" s="172">
        <f>+'OLD Tables'!C115+'OLD Tables'!C145</f>
        <v>52973.4</v>
      </c>
      <c r="E175" s="95">
        <f>+GETPIVOTDATA("Sum of Old-HS % of Total",'Pivot-HS Student % of Undergrad'!$A$3,"State","SC","Category",8,"Category2","Two-Year")</f>
        <v>3.7152698943767423E-2</v>
      </c>
      <c r="F175" s="172">
        <f>+'OLD Tables'!D115+'OLD Tables'!D145</f>
        <v>15147.366666666667</v>
      </c>
      <c r="G175" s="95">
        <f>+GETPIVOTDATA("Sum of Old-HS % of Total",'Pivot-HS Student % of Undergrad'!$A$3,"State","SC","Category",9,"Category2","Two-Year")</f>
        <v>4.7293148864159008E-2</v>
      </c>
      <c r="H175" s="172">
        <f>+'OLD Tables'!E115+'OLD Tables'!E145</f>
        <v>8085.833333333333</v>
      </c>
      <c r="I175" s="95">
        <f>+GETPIVOTDATA("Sum of Old-HS % of Total",'Pivot-HS Student % of Undergrad'!$A$3,"State","SC","Category",10,"Category2","Two-Year")</f>
        <v>7.4234601737948033E-2</v>
      </c>
      <c r="J175" s="172">
        <f>+'OLD Tables'!F115+'OLD Tables'!F145</f>
        <v>76206.599999999991</v>
      </c>
      <c r="K175" s="95">
        <f>+GETPIVOTDATA("Sum of Old-HS % of Total",'Pivot-HS Student % of Undergrad'!$A$3,"State","SC","Category2","Group2")</f>
        <v>4.2728405948963384E-2</v>
      </c>
    </row>
    <row r="176" spans="1:19" ht="15" customHeight="1">
      <c r="B176" s="32"/>
      <c r="C176" s="95"/>
      <c r="D176" s="172"/>
      <c r="E176" s="95"/>
      <c r="F176" s="172"/>
      <c r="G176" s="95"/>
      <c r="H176" s="172"/>
      <c r="I176" s="95"/>
      <c r="J176" s="172"/>
      <c r="K176" s="95"/>
    </row>
    <row r="177" spans="1:19" ht="15" customHeight="1">
      <c r="A177" s="1" t="s">
        <v>76</v>
      </c>
      <c r="B177" s="32">
        <f>+'OLD Tables'!B117+'OLD Tables'!B147</f>
        <v>0</v>
      </c>
      <c r="C177" s="95">
        <f>+GETPIVOTDATA("Sum of Old-HS % of Total",'Pivot-HS Student % of Undergrad'!$A$3,"State","TN","Category",7,"Category2","Two-Year")</f>
        <v>0</v>
      </c>
      <c r="D177" s="172">
        <f>+'OLD Tables'!C117+'OLD Tables'!C147</f>
        <v>31617.699999999997</v>
      </c>
      <c r="E177" s="95">
        <f>+GETPIVOTDATA("Sum of Old-HS % of Total",'Pivot-HS Student % of Undergrad'!$A$3,"State","TN","Category",8,"Category2","Two-Year")</f>
        <v>4.9851823503923434E-2</v>
      </c>
      <c r="F177" s="172">
        <f>+'OLD Tables'!D117+'OLD Tables'!D147</f>
        <v>25256.799999999996</v>
      </c>
      <c r="G177" s="95">
        <f>+GETPIVOTDATA("Sum of Old-HS % of Total",'Pivot-HS Student % of Undergrad'!$A$3,"State","TN","Category",9,"Category2","Two-Year")</f>
        <v>8.9037407747616482E-2</v>
      </c>
      <c r="H177" s="172">
        <f>+'OLD Tables'!E117+'OLD Tables'!E147</f>
        <v>0</v>
      </c>
      <c r="I177" s="95">
        <f>+GETPIVOTDATA("Sum of Old-HS % of Total",'Pivot-HS Student % of Undergrad'!$A$3,"State","TN","Category",10,"Category2","Two-Year")</f>
        <v>0</v>
      </c>
      <c r="J177" s="172">
        <f>+'OLD Tables'!F117+'OLD Tables'!F147</f>
        <v>56874.499999999993</v>
      </c>
      <c r="K177" s="95">
        <f>+GETPIVOTDATA("Sum of Old-HS % of Total",'Pivot-HS Student % of Undergrad'!$A$3,"State","TN","Category2","Group2")</f>
        <v>6.7253338490887826E-2</v>
      </c>
    </row>
    <row r="178" spans="1:19" ht="15" customHeight="1">
      <c r="A178" s="1" t="s">
        <v>77</v>
      </c>
      <c r="B178" s="32">
        <f>+'OLD Tables'!B118+'OLD Tables'!B148</f>
        <v>26223.913333333334</v>
      </c>
      <c r="C178" s="205">
        <f>+GETPIVOTDATA("Sum of Old-HS % of Total",'Pivot-HS Student % of Undergrad'!$A$3,"State","TX","Category",7,"Category2","Two-Year")</f>
        <v>0.23220025091104607</v>
      </c>
      <c r="D178" s="172">
        <f>+'OLD Tables'!C118+'OLD Tables'!C148</f>
        <v>350440.60666666663</v>
      </c>
      <c r="E178" s="205">
        <f>+GETPIVOTDATA("Sum of Old-HS % of Total",'Pivot-HS Student % of Undergrad'!$A$3,"State","TX","Category",8,"Category2","Two-Year")</f>
        <v>7.6174629124799095E-2</v>
      </c>
      <c r="F178" s="172">
        <f>+'OLD Tables'!D118+'OLD Tables'!D148</f>
        <v>89237.033333333326</v>
      </c>
      <c r="G178" s="205">
        <f>+GETPIVOTDATA("Sum of Old-HS % of Total",'Pivot-HS Student % of Undergrad'!$A$3,"State","TX","Category",9,"Category2","Two-Year")</f>
        <v>0.10737303490096829</v>
      </c>
      <c r="H178" s="172">
        <f>+'OLD Tables'!E118+'OLD Tables'!E148</f>
        <v>12556.548888888887</v>
      </c>
      <c r="I178" s="205">
        <f>+GETPIVOTDATA("Sum of Old-HS % of Total",'Pivot-HS Student % of Undergrad'!$A$3,"State","TX","Category",10,"Category2","Two-Year")</f>
        <v>0.11133878088345052</v>
      </c>
      <c r="J178" s="172">
        <f>+'OLD Tables'!F118+'OLD Tables'!F148</f>
        <v>478458.10222222214</v>
      </c>
      <c r="K178" s="205">
        <f>+GETPIVOTDATA("Sum of Old-HS % of Total",'Pivot-HS Student % of Undergrad'!$A$3,"State","TX","Category2","Group2")</f>
        <v>9.1334464500903809E-2</v>
      </c>
    </row>
    <row r="179" spans="1:19" ht="15" customHeight="1">
      <c r="A179" s="1" t="s">
        <v>78</v>
      </c>
      <c r="B179" s="32">
        <f>+'OLD Tables'!B119+'OLD Tables'!B149</f>
        <v>0</v>
      </c>
      <c r="C179" s="205">
        <f>+GETPIVOTDATA("Sum of Old-HS % of Total",'Pivot-HS Student % of Undergrad'!$A$3,"State","VA","Category",7,"Category2","Two-Year")</f>
        <v>0</v>
      </c>
      <c r="D179" s="172">
        <f>+'OLD Tables'!C119+'OLD Tables'!C149</f>
        <v>75081.7</v>
      </c>
      <c r="E179" s="205">
        <f>+GETPIVOTDATA("Sum of Old-HS % of Total",'Pivot-HS Student % of Undergrad'!$A$3,"State","VA","Category",8,"Category2","Two-Year")</f>
        <v>6.374034329714609E-2</v>
      </c>
      <c r="F179" s="172">
        <f>+'OLD Tables'!D119+'OLD Tables'!D149</f>
        <v>35035.166666666664</v>
      </c>
      <c r="G179" s="205">
        <f>+GETPIVOTDATA("Sum of Old-HS % of Total",'Pivot-HS Student % of Undergrad'!$A$3,"State","VA","Category",9,"Category2","Two-Year")</f>
        <v>0.36304379884972721</v>
      </c>
      <c r="H179" s="172">
        <f>+'OLD Tables'!E119+'OLD Tables'!E149</f>
        <v>10146.466666666665</v>
      </c>
      <c r="I179" s="205">
        <f>+GETPIVOTDATA("Sum of Old-HS % of Total",'Pivot-HS Student % of Undergrad'!$A$3,"State","VA","Category",10,"Category2","Two-Year")</f>
        <v>0.42252475410159201</v>
      </c>
      <c r="J179" s="172">
        <f>+'OLD Tables'!F119+'OLD Tables'!F149</f>
        <v>120263.33333333333</v>
      </c>
      <c r="K179" s="205">
        <f>+GETPIVOTDATA("Sum of Old-HS % of Total",'Pivot-HS Student % of Undergrad'!$A$3,"State","VA","Category2","Group2")</f>
        <v>0.18120374733224312</v>
      </c>
    </row>
    <row r="180" spans="1:19" ht="15" customHeight="1">
      <c r="A180" s="3" t="s">
        <v>79</v>
      </c>
      <c r="B180" s="9">
        <f>+'OLD Tables'!B120+'OLD Tables'!B150</f>
        <v>1321.5333333333333</v>
      </c>
      <c r="C180" s="207">
        <f>+GETPIVOTDATA("Sum of Old-HS % of Total",'Pivot-HS Student % of Undergrad'!$A$3,"State","WV","Category",7,"Category2","Two-Year")</f>
        <v>5.4204711698532006E-2</v>
      </c>
      <c r="D180" s="173">
        <f>+'OLD Tables'!C120+'OLD Tables'!C150</f>
        <v>0</v>
      </c>
      <c r="E180" s="207">
        <f>+GETPIVOTDATA("Sum of Old-HS % of Total",'Pivot-HS Student % of Undergrad'!$A$3,"State","WV","Category",8,"Category2","Two-Year")</f>
        <v>0</v>
      </c>
      <c r="F180" s="173">
        <f>+'OLD Tables'!D120+'OLD Tables'!D150</f>
        <v>3501.8</v>
      </c>
      <c r="G180" s="207">
        <f>+GETPIVOTDATA("Sum of Old-HS % of Total",'Pivot-HS Student % of Undergrad'!$A$3,"State","WV","Category",9,"Category2","Two-Year")</f>
        <v>5.5542863670112512E-2</v>
      </c>
      <c r="H180" s="173">
        <f>+'OLD Tables'!E120+'OLD Tables'!E150</f>
        <v>8512.9299999999985</v>
      </c>
      <c r="I180" s="207">
        <f>+GETPIVOTDATA("Sum of Old-HS % of Total",'Pivot-HS Student % of Undergrad'!$A$3,"State","WV","Category",10,"Category2","Two-Year")</f>
        <v>2.8150511437699283E-2</v>
      </c>
      <c r="J180" s="173">
        <f>+'OLD Tables'!F120+'OLD Tables'!F150</f>
        <v>13336.263333333332</v>
      </c>
      <c r="K180" s="207">
        <f>+GETPIVOTDATA("Sum of Old-HS % of Total",'Pivot-HS Student % of Undergrad'!$A$3,"State","WV","Category2","Group2")</f>
        <v>3.7924915999709062E-2</v>
      </c>
      <c r="P180" s="25"/>
      <c r="Q180" s="25"/>
      <c r="R180" s="25"/>
      <c r="S180" s="25"/>
    </row>
    <row r="181" spans="1:19" s="25" customFormat="1" ht="37.5" customHeight="1">
      <c r="A181" s="841" t="s">
        <v>985</v>
      </c>
      <c r="B181" s="842"/>
      <c r="C181" s="842"/>
      <c r="D181" s="842"/>
      <c r="E181" s="842"/>
      <c r="F181" s="842"/>
      <c r="G181" s="842"/>
      <c r="H181" s="842"/>
      <c r="I181" s="842"/>
      <c r="J181" s="842"/>
      <c r="K181" s="843"/>
      <c r="L181" s="102"/>
      <c r="M181" s="102"/>
    </row>
    <row r="182" spans="1:19">
      <c r="J182" s="1"/>
      <c r="K182" s="168" t="s">
        <v>975</v>
      </c>
      <c r="L182" s="1"/>
      <c r="M182" s="196"/>
    </row>
    <row r="183" spans="1:19" ht="18">
      <c r="A183" s="114" t="s">
        <v>169</v>
      </c>
      <c r="B183" s="22"/>
      <c r="C183" s="22"/>
      <c r="D183" s="22"/>
      <c r="E183" s="22"/>
      <c r="F183" s="22"/>
      <c r="G183" s="22"/>
      <c r="H183" s="105"/>
      <c r="I183" s="22"/>
      <c r="J183" s="1"/>
      <c r="K183" s="1"/>
      <c r="L183" s="1"/>
      <c r="M183" s="196"/>
    </row>
    <row r="184" spans="1:19" ht="15.75">
      <c r="A184" s="21"/>
      <c r="B184" s="22"/>
      <c r="C184" s="22"/>
      <c r="D184" s="22"/>
      <c r="E184" s="22"/>
      <c r="F184" s="22"/>
      <c r="G184" s="22"/>
      <c r="H184" s="105"/>
      <c r="I184" s="22"/>
      <c r="J184" s="1"/>
      <c r="K184" s="1"/>
      <c r="L184" s="1"/>
      <c r="M184" s="196"/>
    </row>
    <row r="185" spans="1:19" ht="15.75">
      <c r="A185" s="43" t="s">
        <v>36</v>
      </c>
      <c r="B185" s="22"/>
      <c r="C185" s="22"/>
      <c r="D185" s="22"/>
      <c r="E185" s="22"/>
      <c r="F185" s="22"/>
      <c r="G185" s="22"/>
      <c r="H185" s="105"/>
      <c r="I185" s="22"/>
      <c r="J185" s="1"/>
      <c r="K185" s="1"/>
      <c r="L185" s="1"/>
      <c r="M185" s="196"/>
    </row>
    <row r="186" spans="1:19" ht="15.75">
      <c r="A186" s="109" t="s">
        <v>256</v>
      </c>
      <c r="B186" s="22"/>
      <c r="C186" s="22"/>
      <c r="D186" s="22"/>
      <c r="E186" s="22"/>
      <c r="F186" s="22"/>
      <c r="G186" s="22"/>
      <c r="H186" s="105"/>
      <c r="I186" s="22"/>
      <c r="J186" s="1"/>
      <c r="K186" s="1"/>
      <c r="L186" s="1"/>
      <c r="M186" s="196"/>
    </row>
    <row r="187" spans="1:19">
      <c r="C187" s="3"/>
      <c r="D187" s="3"/>
      <c r="E187" s="3"/>
      <c r="F187" s="3"/>
      <c r="G187" s="3"/>
      <c r="H187" s="73"/>
      <c r="I187" s="25"/>
      <c r="J187" s="1"/>
      <c r="K187" s="1"/>
      <c r="L187" s="1"/>
      <c r="M187" s="196"/>
    </row>
    <row r="188" spans="1:19" ht="28.5" customHeight="1">
      <c r="A188" s="45"/>
      <c r="B188" s="258">
        <v>1</v>
      </c>
      <c r="D188" s="218">
        <v>2</v>
      </c>
      <c r="F188" s="219" t="s">
        <v>30</v>
      </c>
      <c r="H188" s="25"/>
      <c r="I188" s="25"/>
      <c r="J188" s="1"/>
      <c r="K188" s="196"/>
      <c r="L188" s="1"/>
      <c r="M188" s="1"/>
    </row>
    <row r="189" spans="1:19" ht="78" customHeight="1">
      <c r="A189" s="198"/>
      <c r="B189" s="199" t="s">
        <v>143</v>
      </c>
      <c r="C189" s="165" t="s">
        <v>22</v>
      </c>
      <c r="D189" s="200" t="s">
        <v>143</v>
      </c>
      <c r="E189" s="165" t="s">
        <v>22</v>
      </c>
      <c r="F189" s="200" t="s">
        <v>143</v>
      </c>
      <c r="G189" s="165" t="s">
        <v>22</v>
      </c>
      <c r="H189" s="1"/>
      <c r="J189" s="1"/>
      <c r="K189" s="196"/>
      <c r="L189" s="1"/>
      <c r="M189" s="1"/>
    </row>
    <row r="190" spans="1:19">
      <c r="A190" s="1" t="s">
        <v>64</v>
      </c>
      <c r="B190" s="32">
        <f>+'OLD Tables'!G100+'OLD Tables'!G130</f>
        <v>94098.679900000003</v>
      </c>
      <c r="D190" s="174">
        <f>+'OLD Tables'!H100+'OLD Tables'!H130</f>
        <v>27020.260677777776</v>
      </c>
      <c r="F190" s="174">
        <f>+'OLD Tables'!I100+'OLD Tables'!I130</f>
        <v>121118.94057777777</v>
      </c>
      <c r="H190" s="1"/>
      <c r="J190" s="1"/>
      <c r="K190" s="196"/>
      <c r="L190" s="1"/>
      <c r="M190" s="1"/>
    </row>
    <row r="191" spans="1:19">
      <c r="A191" s="255"/>
      <c r="B191" s="259"/>
      <c r="C191" s="251" t="s">
        <v>186</v>
      </c>
      <c r="D191" s="257" t="s">
        <v>28</v>
      </c>
      <c r="E191" s="251" t="s">
        <v>187</v>
      </c>
      <c r="F191" s="257" t="s">
        <v>28</v>
      </c>
      <c r="G191" s="251" t="s">
        <v>188</v>
      </c>
      <c r="H191" s="1" t="s">
        <v>28</v>
      </c>
      <c r="J191" s="1"/>
      <c r="K191" s="196"/>
      <c r="L191" s="1"/>
      <c r="M191" s="1"/>
    </row>
    <row r="192" spans="1:19">
      <c r="A192" s="1" t="s">
        <v>65</v>
      </c>
      <c r="B192" s="32">
        <f>+'OLD Tables'!G102+'OLD Tables'!G132</f>
        <v>1159.8</v>
      </c>
      <c r="C192" s="95">
        <f>+GETPIVOTDATA("Sum of Old-HS % of Total",'Pivot-HS Student % of Undergrad'!$A$3,"State","AL","Category",12,"Category2","Technical")</f>
        <v>1.9284934184054723E-2</v>
      </c>
      <c r="D192" s="174">
        <f>+'OLD Tables'!H102+'OLD Tables'!H132</f>
        <v>1908.1999999999998</v>
      </c>
      <c r="E192" s="95">
        <f>+GETPIVOTDATA("Sum of Old-HS % of Total",'Pivot-HS Student % of Undergrad'!$A$3,"State","AL","Category",13,"Category2","Technical")</f>
        <v>4.3269398735282814E-2</v>
      </c>
      <c r="F192" s="174">
        <f>+'OLD Tables'!I102+'OLD Tables'!I132</f>
        <v>3068</v>
      </c>
      <c r="G192" s="95">
        <f>+GETPIVOTDATA("Sum of Old-HS % of Total",'Pivot-HS Student % of Undergrad'!$A$3,"State","AL","Category2","Group3")</f>
        <v>3.4202520643198613E-2</v>
      </c>
      <c r="H192" s="1"/>
      <c r="J192" s="1"/>
      <c r="K192" s="196"/>
      <c r="L192" s="1"/>
      <c r="M192" s="1"/>
    </row>
    <row r="193" spans="1:13">
      <c r="A193" s="1" t="s">
        <v>66</v>
      </c>
      <c r="B193" s="32">
        <f>+'OLD Tables'!G103+'OLD Tables'!G133</f>
        <v>0</v>
      </c>
      <c r="C193" s="95">
        <f>+GETPIVOTDATA("Sum of Old-HS % of Total",'Pivot-HS Student % of Undergrad'!$A$3,"State","AR","Category",12,"Category2","Technical")</f>
        <v>0</v>
      </c>
      <c r="D193" s="174">
        <f>+'OLD Tables'!H103+'OLD Tables'!H133</f>
        <v>0</v>
      </c>
      <c r="E193" s="95">
        <f>+GETPIVOTDATA("Sum of Old-HS % of Total",'Pivot-HS Student % of Undergrad'!$A$3,"State","AR","Category",13,"Category2","Technical")</f>
        <v>0</v>
      </c>
      <c r="F193" s="174">
        <f>+'OLD Tables'!I103+'OLD Tables'!I133</f>
        <v>0</v>
      </c>
      <c r="G193" s="95">
        <f>+GETPIVOTDATA("Sum of Old-HS % of Total",'Pivot-HS Student % of Undergrad'!$A$3,"State","AR","Category2","Group3")</f>
        <v>0</v>
      </c>
      <c r="H193" s="1"/>
      <c r="J193" s="1"/>
      <c r="K193" s="196"/>
      <c r="L193" s="1"/>
      <c r="M193" s="1"/>
    </row>
    <row r="194" spans="1:13">
      <c r="A194" s="1" t="s">
        <v>102</v>
      </c>
      <c r="B194" s="32">
        <f>+'OLD Tables'!G104+'OLD Tables'!G134</f>
        <v>0</v>
      </c>
      <c r="C194" s="95">
        <f>+GETPIVOTDATA("Sum of Old-HS % of Total",'Pivot-HS Student % of Undergrad'!$A$3,"State","DE","Category",12,"Category2","Technical")</f>
        <v>0</v>
      </c>
      <c r="D194" s="174">
        <f>+'OLD Tables'!H104+'OLD Tables'!H134</f>
        <v>0</v>
      </c>
      <c r="E194" s="95">
        <f>+GETPIVOTDATA("Sum of Old-HS % of Total",'Pivot-HS Student % of Undergrad'!$A$3,"State","DE","Category",13,"Category2","Technical")</f>
        <v>0</v>
      </c>
      <c r="F194" s="174">
        <f>+'OLD Tables'!I104+'OLD Tables'!I134</f>
        <v>0</v>
      </c>
      <c r="G194" s="95">
        <f>+GETPIVOTDATA("Sum of Old-HS % of Total",'Pivot-HS Student % of Undergrad'!$A$3,"State","DE","Category2","Group3")</f>
        <v>0</v>
      </c>
      <c r="H194" s="1"/>
      <c r="J194" s="1"/>
      <c r="K194" s="196"/>
      <c r="L194" s="1"/>
      <c r="M194" s="1"/>
    </row>
    <row r="195" spans="1:13">
      <c r="A195" s="1" t="s">
        <v>67</v>
      </c>
      <c r="B195" s="32">
        <f>+'OLD Tables'!G105+'OLD Tables'!G135</f>
        <v>0</v>
      </c>
      <c r="C195" s="95">
        <f>+GETPIVOTDATA("Sum of Old-HS % of Total",'Pivot-HS Student % of Undergrad'!$A$3,"State","FL","Category",12,"Category2","Technical")</f>
        <v>0</v>
      </c>
      <c r="D195" s="174">
        <f>+'OLD Tables'!H105+'OLD Tables'!H135</f>
        <v>0</v>
      </c>
      <c r="E195" s="95">
        <f>+GETPIVOTDATA("Sum of Old-HS % of Total",'Pivot-HS Student % of Undergrad'!$A$3,"State","FL","Category",13,"Category2","Technical")</f>
        <v>0</v>
      </c>
      <c r="F195" s="174">
        <f>+'OLD Tables'!I105+'OLD Tables'!I135</f>
        <v>0</v>
      </c>
      <c r="G195" s="95">
        <f>+GETPIVOTDATA("Sum of Old-HS % of Total",'Pivot-HS Student % of Undergrad'!$A$3,"State","FL","Category2","Group3")</f>
        <v>0</v>
      </c>
      <c r="H195" s="1"/>
      <c r="J195" s="1"/>
      <c r="K195" s="196"/>
      <c r="L195" s="1"/>
      <c r="M195" s="1"/>
    </row>
    <row r="196" spans="1:13">
      <c r="B196" s="32"/>
      <c r="C196" s="95"/>
      <c r="D196" s="174"/>
      <c r="E196" s="95"/>
      <c r="F196" s="174"/>
      <c r="G196" s="95"/>
      <c r="H196" s="1"/>
      <c r="J196" s="1"/>
      <c r="K196" s="196"/>
      <c r="L196" s="1"/>
      <c r="M196" s="1"/>
    </row>
    <row r="197" spans="1:13">
      <c r="A197" s="1" t="s">
        <v>68</v>
      </c>
      <c r="B197" s="32">
        <f>+'OLD Tables'!G107+'OLD Tables'!G137</f>
        <v>71686.516666666663</v>
      </c>
      <c r="C197" s="95">
        <f>+GETPIVOTDATA("Sum of Old-HS % of Total",'Pivot-HS Student % of Undergrad'!$A$3,"State","GA","Category",12,"Category2","Technical")</f>
        <v>4.6991217083826323E-2</v>
      </c>
      <c r="D197" s="174">
        <f>+'OLD Tables'!H107+'OLD Tables'!H137</f>
        <v>0</v>
      </c>
      <c r="E197" s="95">
        <f>+GETPIVOTDATA("Sum of Old-HS % of Total",'Pivot-HS Student % of Undergrad'!$A$3,"State","GA","Category",13,"Category2","Technical")</f>
        <v>0</v>
      </c>
      <c r="F197" s="174">
        <f>+'OLD Tables'!I107+'OLD Tables'!I137</f>
        <v>71686.516666666663</v>
      </c>
      <c r="G197" s="95">
        <f>+GETPIVOTDATA("Sum of Old-HS % of Total",'Pivot-HS Student % of Undergrad'!$A$3,"State","GA","Category2","Group3")</f>
        <v>4.6991217083826323E-2</v>
      </c>
      <c r="H197" s="1"/>
      <c r="J197" s="1"/>
      <c r="K197" s="196"/>
      <c r="L197" s="1"/>
      <c r="M197" s="1"/>
    </row>
    <row r="198" spans="1:13">
      <c r="A198" s="1" t="s">
        <v>69</v>
      </c>
      <c r="B198" s="32">
        <f>+'OLD Tables'!G108+'OLD Tables'!G138</f>
        <v>5098.7333333333336</v>
      </c>
      <c r="C198" s="95">
        <f>+GETPIVOTDATA("Sum of Old-HS % of Total",'Pivot-HS Student % of Undergrad'!$A$3,"State","KY","Category",12,"Category2","Technical")</f>
        <v>5.1169571527568937E-2</v>
      </c>
      <c r="D198" s="174">
        <f>+'OLD Tables'!H108+'OLD Tables'!H138</f>
        <v>0</v>
      </c>
      <c r="E198" s="95">
        <f>+GETPIVOTDATA("Sum of Old-HS % of Total",'Pivot-HS Student % of Undergrad'!$A$3,"State","KY","Category",13,"Category2","Technical")</f>
        <v>0</v>
      </c>
      <c r="F198" s="174">
        <f>+'OLD Tables'!I108+'OLD Tables'!I138</f>
        <v>5098.7333333333336</v>
      </c>
      <c r="G198" s="95">
        <f>+GETPIVOTDATA("Sum of Old-HS % of Total",'Pivot-HS Student % of Undergrad'!$A$3,"State","KY","Category2","Group3")</f>
        <v>5.1169571527568937E-2</v>
      </c>
      <c r="H198" s="1"/>
      <c r="J198" s="1"/>
      <c r="K198" s="196"/>
      <c r="L198" s="1"/>
      <c r="M198" s="1"/>
    </row>
    <row r="199" spans="1:13">
      <c r="A199" s="1" t="s">
        <v>70</v>
      </c>
      <c r="B199" s="32">
        <f>+'OLD Tables'!G109+'OLD Tables'!G139</f>
        <v>10366.871666666666</v>
      </c>
      <c r="C199" s="95">
        <f>+GETPIVOTDATA("Sum of Old-HS % of Total",'Pivot-HS Student % of Undergrad'!$A$3,"State","LA","Category",12,"Category2","Technical")</f>
        <v>0.15123639976519218</v>
      </c>
      <c r="D199" s="174">
        <f>+'OLD Tables'!H109+'OLD Tables'!H139</f>
        <v>0</v>
      </c>
      <c r="E199" s="95">
        <f>+GETPIVOTDATA("Sum of Old-HS % of Total",'Pivot-HS Student % of Undergrad'!$A$3,"State","LA","Category",13,"Category2","Technical")</f>
        <v>0</v>
      </c>
      <c r="F199" s="174">
        <f>+'OLD Tables'!I109+'OLD Tables'!I139</f>
        <v>10366.871666666666</v>
      </c>
      <c r="G199" s="95">
        <f>+GETPIVOTDATA("Sum of Old-HS % of Total",'Pivot-HS Student % of Undergrad'!$A$3,"State","LA","Category2","Group3")</f>
        <v>0.15123639976519218</v>
      </c>
      <c r="H199" s="1"/>
      <c r="J199" s="1"/>
      <c r="K199" s="196"/>
      <c r="L199" s="1"/>
      <c r="M199" s="1"/>
    </row>
    <row r="200" spans="1:13">
      <c r="A200" s="1" t="s">
        <v>71</v>
      </c>
      <c r="B200" s="32">
        <f>+'OLD Tables'!G110+'OLD Tables'!G140</f>
        <v>0</v>
      </c>
      <c r="C200" s="95">
        <f>+GETPIVOTDATA("Sum of Old-HS % of Total",'Pivot-HS Student % of Undergrad'!$A$3,"State","MD","Category",12,"Category2","Technical")</f>
        <v>0</v>
      </c>
      <c r="D200" s="174">
        <f>+'OLD Tables'!H110+'OLD Tables'!H140</f>
        <v>0</v>
      </c>
      <c r="E200" s="95">
        <f>+GETPIVOTDATA("Sum of Old-HS % of Total",'Pivot-HS Student % of Undergrad'!$A$3,"State","MD","Category",13,"Category2","Technical")</f>
        <v>0</v>
      </c>
      <c r="F200" s="174">
        <f>+'OLD Tables'!I110+'OLD Tables'!I140</f>
        <v>0</v>
      </c>
      <c r="G200" s="95">
        <f>+GETPIVOTDATA("Sum of Old-HS % of Total",'Pivot-HS Student % of Undergrad'!$A$3,"State","MD","Category2","Group3")</f>
        <v>0</v>
      </c>
      <c r="H200" s="1"/>
      <c r="J200" s="1"/>
      <c r="K200" s="196"/>
      <c r="L200" s="1"/>
      <c r="M200" s="1"/>
    </row>
    <row r="201" spans="1:13">
      <c r="B201" s="32"/>
      <c r="C201" s="95"/>
      <c r="D201" s="174"/>
      <c r="E201" s="95"/>
      <c r="F201" s="174"/>
      <c r="G201" s="95"/>
      <c r="H201" s="1"/>
      <c r="J201" s="1"/>
      <c r="K201" s="196"/>
      <c r="L201" s="1"/>
      <c r="M201" s="1"/>
    </row>
    <row r="202" spans="1:13">
      <c r="A202" s="1" t="s">
        <v>72</v>
      </c>
      <c r="B202" s="32">
        <f>+'OLD Tables'!G112+'OLD Tables'!G142</f>
        <v>0</v>
      </c>
      <c r="C202" s="95">
        <f>+GETPIVOTDATA("Sum of Old-HS % of Total",'Pivot-HS Student % of Undergrad'!$A$3,"State","MS","Category",12,"Category2","Technical")</f>
        <v>0</v>
      </c>
      <c r="D202" s="174">
        <f>+'OLD Tables'!H112+'OLD Tables'!H142</f>
        <v>0</v>
      </c>
      <c r="E202" s="95">
        <f>+GETPIVOTDATA("Sum of Old-HS % of Total",'Pivot-HS Student % of Undergrad'!$A$3,"State","MS","Category",13,"Category2","Technical")</f>
        <v>0</v>
      </c>
      <c r="F202" s="174">
        <f>+'OLD Tables'!I112+'OLD Tables'!I142</f>
        <v>0</v>
      </c>
      <c r="G202" s="95">
        <f>+GETPIVOTDATA("Sum of Old-HS % of Total",'Pivot-HS Student % of Undergrad'!$A$3,"State","MS","Category2","Group3")</f>
        <v>0</v>
      </c>
      <c r="H202" s="1"/>
      <c r="J202" s="1"/>
      <c r="K202" s="196"/>
      <c r="L202" s="1"/>
      <c r="M202" s="1"/>
    </row>
    <row r="203" spans="1:13">
      <c r="A203" s="1" t="s">
        <v>73</v>
      </c>
      <c r="B203" s="32">
        <f>+'OLD Tables'!G113+'OLD Tables'!G143</f>
        <v>0</v>
      </c>
      <c r="C203" s="95">
        <f>+GETPIVOTDATA("Sum of Old-HS % of Total",'Pivot-HS Student % of Undergrad'!$A$3,"State","NC","Category",12,"Category2","Technical")</f>
        <v>0</v>
      </c>
      <c r="D203" s="174">
        <f>+'OLD Tables'!H113+'OLD Tables'!H143</f>
        <v>0</v>
      </c>
      <c r="E203" s="95">
        <f>+GETPIVOTDATA("Sum of Old-HS % of Total",'Pivot-HS Student % of Undergrad'!$A$3,"State","NC","Category",13,"Category2","Technical")</f>
        <v>0</v>
      </c>
      <c r="F203" s="174">
        <f>+'OLD Tables'!I113+'OLD Tables'!I143</f>
        <v>0</v>
      </c>
      <c r="G203" s="95">
        <f>+GETPIVOTDATA("Sum of Old-HS % of Total",'Pivot-HS Student % of Undergrad'!$A$3,"State","NC","Category2","Group3")</f>
        <v>0</v>
      </c>
      <c r="H203" s="1"/>
      <c r="J203" s="1"/>
      <c r="K203" s="196"/>
      <c r="L203" s="1"/>
      <c r="M203" s="1"/>
    </row>
    <row r="204" spans="1:13">
      <c r="A204" s="1" t="s">
        <v>74</v>
      </c>
      <c r="B204" s="32">
        <f>+'OLD Tables'!G114+'OLD Tables'!G144</f>
        <v>4765.8004555555563</v>
      </c>
      <c r="C204" s="95">
        <f>+GETPIVOTDATA("Sum of Old-HS % of Total",'Pivot-HS Student % of Undergrad'!$A$3,"State","OK","Category",12,"Category2","Technical")</f>
        <v>0</v>
      </c>
      <c r="D204" s="174">
        <f>+'OLD Tables'!H114+'OLD Tables'!H144</f>
        <v>14933.55401111111</v>
      </c>
      <c r="E204" s="95">
        <f>+GETPIVOTDATA("Sum of Old-HS % of Total",'Pivot-HS Student % of Undergrad'!$A$3,"State","OK","Category",13,"Category2","Technical")</f>
        <v>0</v>
      </c>
      <c r="F204" s="174">
        <f>+'OLD Tables'!I114+'OLD Tables'!I144</f>
        <v>19699.354466666664</v>
      </c>
      <c r="G204" s="95">
        <f>+GETPIVOTDATA("Sum of Old-HS % of Total",'Pivot-HS Student % of Undergrad'!$A$3,"State","OK","Category2","Group3")</f>
        <v>0</v>
      </c>
      <c r="H204" s="1"/>
      <c r="J204" s="1"/>
      <c r="K204" s="196"/>
      <c r="L204" s="1"/>
      <c r="M204" s="1"/>
    </row>
    <row r="205" spans="1:13">
      <c r="A205" s="1" t="s">
        <v>75</v>
      </c>
      <c r="B205" s="32">
        <f>+'OLD Tables'!G115+'OLD Tables'!G145</f>
        <v>0</v>
      </c>
      <c r="C205" s="95">
        <f>+GETPIVOTDATA("Sum of Old-HS % of Total",'Pivot-HS Student % of Undergrad'!$A$3,"State","SC","Category",12,"Category2","Technical")</f>
        <v>0</v>
      </c>
      <c r="D205" s="174">
        <f>+'OLD Tables'!H115+'OLD Tables'!H145</f>
        <v>0</v>
      </c>
      <c r="E205" s="95">
        <f>+GETPIVOTDATA("Sum of Old-HS % of Total",'Pivot-HS Student % of Undergrad'!$A$3,"State","SC","Category",13,"Category2","Technical")</f>
        <v>0</v>
      </c>
      <c r="F205" s="174">
        <f>+'OLD Tables'!I115+'OLD Tables'!I145</f>
        <v>0</v>
      </c>
      <c r="G205" s="95">
        <f>+GETPIVOTDATA("Sum of Old-HS % of Total",'Pivot-HS Student % of Undergrad'!$A$3,"State","SC","Category2","Group3")</f>
        <v>0</v>
      </c>
      <c r="H205" s="1"/>
      <c r="J205" s="1"/>
      <c r="K205" s="196"/>
      <c r="L205" s="1"/>
      <c r="M205" s="1"/>
    </row>
    <row r="206" spans="1:13">
      <c r="B206" s="32"/>
      <c r="C206" s="95"/>
      <c r="D206" s="174"/>
      <c r="E206" s="95"/>
      <c r="F206" s="174"/>
      <c r="G206" s="95"/>
      <c r="H206" s="1"/>
      <c r="J206" s="1"/>
      <c r="K206" s="196"/>
      <c r="L206" s="1"/>
      <c r="M206" s="1"/>
    </row>
    <row r="207" spans="1:13">
      <c r="A207" s="1" t="s">
        <v>76</v>
      </c>
      <c r="B207" s="32">
        <f>+'OLD Tables'!G117+'OLD Tables'!G147</f>
        <v>1020.9577777777778</v>
      </c>
      <c r="C207" s="95">
        <f>+GETPIVOTDATA("Sum of Old-HS % of Total",'Pivot-HS Student % of Undergrad'!$A$3,"State","TN","Category",12,"Category2","Technical")</f>
        <v>0</v>
      </c>
      <c r="D207" s="174">
        <f>+'OLD Tables'!H117+'OLD Tables'!H147</f>
        <v>10178.506666666666</v>
      </c>
      <c r="E207" s="95">
        <f>+GETPIVOTDATA("Sum of Old-HS % of Total",'Pivot-HS Student % of Undergrad'!$A$3,"State","TN","Category",13,"Category2","Technical")</f>
        <v>0</v>
      </c>
      <c r="F207" s="174">
        <f>+'OLD Tables'!I117+'OLD Tables'!I147</f>
        <v>11199.464444444444</v>
      </c>
      <c r="G207" s="95">
        <f>+GETPIVOTDATA("Sum of Old-HS % of Total",'Pivot-HS Student % of Undergrad'!$A$3,"State","TN","Category2","Group3")</f>
        <v>0</v>
      </c>
      <c r="H207" s="1"/>
      <c r="J207" s="1"/>
      <c r="K207" s="196"/>
      <c r="L207" s="1"/>
      <c r="M207" s="1"/>
    </row>
    <row r="208" spans="1:13">
      <c r="A208" s="1" t="s">
        <v>77</v>
      </c>
      <c r="B208" s="32">
        <f>+'OLD Tables'!G118+'OLD Tables'!G148</f>
        <v>0</v>
      </c>
      <c r="C208" s="205">
        <f>+GETPIVOTDATA("Sum of Old-HS % of Total",'Pivot-HS Student % of Undergrad'!$A$3,"State","TX","Category",12,"Category2","Technical")</f>
        <v>0</v>
      </c>
      <c r="D208" s="174">
        <f>+'OLD Tables'!H118+'OLD Tables'!H148</f>
        <v>0</v>
      </c>
      <c r="E208" s="205">
        <f>+GETPIVOTDATA("Sum of Old-HS % of Total",'Pivot-HS Student % of Undergrad'!$A$3,"State","TX","Category",13,"Category2","Technical")</f>
        <v>0</v>
      </c>
      <c r="F208" s="174">
        <f>+'OLD Tables'!I118+'OLD Tables'!I148</f>
        <v>0</v>
      </c>
      <c r="G208" s="95">
        <f>+GETPIVOTDATA("Sum of Old-HS % of Total",'Pivot-HS Student % of Undergrad'!$A$3,"State","TX","Category2","Group3")</f>
        <v>0</v>
      </c>
      <c r="H208" s="1"/>
      <c r="J208" s="1"/>
      <c r="K208" s="196"/>
      <c r="L208" s="1"/>
      <c r="M208" s="1"/>
    </row>
    <row r="209" spans="1:13">
      <c r="A209" s="1" t="s">
        <v>78</v>
      </c>
      <c r="B209" s="32">
        <f>+'OLD Tables'!G119+'OLD Tables'!G149</f>
        <v>0</v>
      </c>
      <c r="C209" s="205">
        <f>+GETPIVOTDATA("Sum of Old-HS % of Total",'Pivot-HS Student % of Undergrad'!$A$3,"State","VA","Category",12,"Category2","Technical")</f>
        <v>0</v>
      </c>
      <c r="D209" s="174">
        <f>+'OLD Tables'!H119+'OLD Tables'!H149</f>
        <v>0</v>
      </c>
      <c r="E209" s="205">
        <f>+GETPIVOTDATA("Sum of Old-HS % of Total",'Pivot-HS Student % of Undergrad'!$A$3,"State","VA","Category",13,"Category2","Technical")</f>
        <v>0</v>
      </c>
      <c r="F209" s="174">
        <f>+'OLD Tables'!I119+'OLD Tables'!I149</f>
        <v>0</v>
      </c>
      <c r="G209" s="95">
        <f>+GETPIVOTDATA("Sum of Old-HS % of Total",'Pivot-HS Student % of Undergrad'!$A$3,"State","VA","Category2","Group3")</f>
        <v>0</v>
      </c>
      <c r="H209" s="1"/>
      <c r="J209" s="1"/>
      <c r="K209" s="196"/>
      <c r="L209" s="1"/>
      <c r="M209" s="1"/>
    </row>
    <row r="210" spans="1:13">
      <c r="A210" s="3" t="s">
        <v>79</v>
      </c>
      <c r="B210" s="9">
        <f>+'OLD Tables'!G120+'OLD Tables'!G150</f>
        <v>0</v>
      </c>
      <c r="C210" s="207">
        <f>+GETPIVOTDATA("Sum of Old-HS % of Total",'Pivot-HS Student % of Undergrad'!$A$3,"State","WV","Category",12,"Category2","Technical")</f>
        <v>0</v>
      </c>
      <c r="D210" s="175">
        <f>+'OLD Tables'!H120+'OLD Tables'!H150</f>
        <v>0</v>
      </c>
      <c r="E210" s="207">
        <f>+GETPIVOTDATA("Sum of Old-HS % of Total",'Pivot-HS Student % of Undergrad'!$A$3,"State","WV","Category",13,"Category2","Technical")</f>
        <v>0</v>
      </c>
      <c r="F210" s="175">
        <f>+'OLD Tables'!I120+'OLD Tables'!I150</f>
        <v>0</v>
      </c>
      <c r="G210" s="207">
        <f>+GETPIVOTDATA("Sum of Old-HS % of Total",'Pivot-HS Student % of Undergrad'!$A$3,"State","WV","Category2","Group3")</f>
        <v>0</v>
      </c>
      <c r="H210" s="1"/>
      <c r="J210" s="1"/>
      <c r="K210" s="196"/>
      <c r="L210" s="1"/>
      <c r="M210" s="1"/>
    </row>
    <row r="211" spans="1:13" ht="58.5" customHeight="1">
      <c r="A211" s="832" t="s">
        <v>985</v>
      </c>
      <c r="B211" s="832"/>
      <c r="C211" s="832"/>
      <c r="D211" s="832"/>
      <c r="E211" s="832"/>
      <c r="F211" s="832"/>
      <c r="G211" s="832"/>
      <c r="H211" s="414"/>
      <c r="I211" s="414"/>
      <c r="J211" s="1"/>
      <c r="K211" s="1"/>
      <c r="L211" s="1"/>
      <c r="M211" s="196"/>
    </row>
    <row r="212" spans="1:13" ht="10.5" customHeight="1">
      <c r="A212" s="260"/>
      <c r="B212" s="260"/>
      <c r="C212" s="260"/>
      <c r="D212" s="260"/>
      <c r="E212" s="260"/>
      <c r="F212" s="260"/>
      <c r="G212" s="260"/>
      <c r="H212" s="260"/>
      <c r="I212" s="168" t="s">
        <v>975</v>
      </c>
      <c r="J212" s="1"/>
      <c r="K212" s="1"/>
      <c r="L212" s="1"/>
      <c r="M212" s="196"/>
    </row>
    <row r="213" spans="1:13" ht="18">
      <c r="A213" s="217" t="s">
        <v>194</v>
      </c>
      <c r="B213" s="20"/>
      <c r="C213" s="20"/>
      <c r="D213" s="34"/>
      <c r="E213" s="17"/>
      <c r="F213" s="22"/>
      <c r="G213" s="22"/>
      <c r="H213" s="105"/>
    </row>
    <row r="214" spans="1:13" ht="9.75" customHeight="1">
      <c r="A214" s="21"/>
      <c r="B214" s="21"/>
      <c r="C214" s="21"/>
      <c r="D214" s="35"/>
      <c r="E214" s="17"/>
      <c r="F214" s="22"/>
      <c r="G214" s="22"/>
      <c r="H214" s="105"/>
    </row>
    <row r="215" spans="1:13" ht="15.75">
      <c r="A215" s="43" t="s">
        <v>36</v>
      </c>
      <c r="B215" s="43"/>
      <c r="C215" s="43"/>
      <c r="D215" s="62"/>
      <c r="E215" s="17"/>
      <c r="F215" s="22"/>
      <c r="G215" s="22"/>
      <c r="H215" s="105"/>
    </row>
    <row r="216" spans="1:13" ht="15.75">
      <c r="A216" s="43" t="s">
        <v>29</v>
      </c>
      <c r="B216" s="43"/>
      <c r="C216" s="43"/>
      <c r="D216" s="62"/>
      <c r="E216" s="17"/>
      <c r="F216" s="22"/>
      <c r="G216" s="22"/>
      <c r="H216" s="105"/>
    </row>
    <row r="217" spans="1:13" ht="15.75">
      <c r="A217" s="43" t="s">
        <v>257</v>
      </c>
      <c r="B217" s="43"/>
      <c r="C217" s="43"/>
      <c r="D217" s="62"/>
      <c r="E217" s="17"/>
      <c r="F217" s="22"/>
      <c r="G217" s="22"/>
      <c r="H217" s="105"/>
      <c r="I217" s="25"/>
    </row>
    <row r="218" spans="1:13" ht="13.5" customHeight="1">
      <c r="B218" s="2"/>
      <c r="C218" s="2"/>
      <c r="D218" s="26"/>
      <c r="I218" s="25"/>
    </row>
    <row r="219" spans="1:13" ht="63" customHeight="1">
      <c r="A219" s="63"/>
      <c r="B219" s="64" t="s">
        <v>62</v>
      </c>
      <c r="C219" s="36"/>
      <c r="D219" s="64" t="s">
        <v>63</v>
      </c>
      <c r="E219" s="65" t="s">
        <v>28</v>
      </c>
      <c r="F219" s="65" t="s">
        <v>45</v>
      </c>
      <c r="G219" s="66" t="s">
        <v>28</v>
      </c>
      <c r="H219" s="120" t="s">
        <v>59</v>
      </c>
      <c r="I219" s="74"/>
    </row>
    <row r="220" spans="1:13" ht="15" customHeight="1">
      <c r="A220" s="1" t="s">
        <v>64</v>
      </c>
      <c r="B220" s="67">
        <f>+GETPIVOTDATA("Grand Total FTE - Old",'FTE Pivot for regular counts'!$A$2,"Category2","Four-Year")</f>
        <v>2398074.2683333326</v>
      </c>
      <c r="D220" s="15">
        <f>+GETPIVOTDATA("Grand Total FTE - Old",'FTE Pivot for regular counts'!$A$2,"Category2","Two-Year")</f>
        <v>1720684.9988888889</v>
      </c>
      <c r="F220" s="39">
        <f>+GETPIVOTDATA("Grand Total FTE - Old",'FTE Pivot for regular counts'!$A$2,"Category2","Technical")</f>
        <v>121118.94057777779</v>
      </c>
      <c r="G220" s="37"/>
      <c r="H220" s="121">
        <f>+F220+D220+B220</f>
        <v>4239878.207799999</v>
      </c>
      <c r="I220" s="25"/>
    </row>
    <row r="221" spans="1:13" ht="13.5" customHeight="1">
      <c r="B221" s="15"/>
      <c r="D221" s="15"/>
      <c r="F221" s="39"/>
      <c r="G221" s="37"/>
      <c r="H221" s="121"/>
      <c r="I221" s="25"/>
    </row>
    <row r="222" spans="1:13" ht="15" customHeight="1">
      <c r="A222" s="1" t="s">
        <v>65</v>
      </c>
      <c r="B222" s="15">
        <f>+GETPIVOTDATA("Grand Total FTE - Old",'FTE Pivot for regular counts'!$A$2,"State","AL","Category2","Four-Year")</f>
        <v>128503.3</v>
      </c>
      <c r="D222" s="15">
        <f>+GETPIVOTDATA("Grand Total FTE - Old",'FTE Pivot for regular counts'!$A$2,"State","AL","Category2","Two-Year")</f>
        <v>61643.9</v>
      </c>
      <c r="F222" s="39">
        <f>+GETPIVOTDATA("Grand Total FTE - Old",'FTE Pivot for regular counts'!$A$2,"State","AL","Category2","Technical")</f>
        <v>3068</v>
      </c>
      <c r="G222" s="37"/>
      <c r="H222" s="121">
        <f t="shared" ref="H222:H237" si="0">+F222+D222+B222</f>
        <v>193215.2</v>
      </c>
      <c r="I222" s="25"/>
    </row>
    <row r="223" spans="1:13" ht="15" customHeight="1">
      <c r="A223" s="4" t="s">
        <v>66</v>
      </c>
      <c r="B223" s="15">
        <f>+GETPIVOTDATA("Grand Total FTE - Old",'FTE Pivot for regular counts'!$A$2,"State","AR","Category2","Four-Year")</f>
        <v>80969.45</v>
      </c>
      <c r="D223" s="15">
        <f>+GETPIVOTDATA("Grand Total FTE - Old",'FTE Pivot for regular counts'!$A$2,"State","AR","Category2","Two-Year")</f>
        <v>37581.199999999997</v>
      </c>
      <c r="F223" s="39">
        <f>+GETPIVOTDATA("Grand Total FTE - Old",'FTE Pivot for regular counts'!$A$2,"State","AR","Category2","Technical")</f>
        <v>0</v>
      </c>
      <c r="G223" s="37"/>
      <c r="H223" s="121">
        <f t="shared" si="0"/>
        <v>118550.65</v>
      </c>
      <c r="I223" s="25"/>
    </row>
    <row r="224" spans="1:13" ht="15" customHeight="1">
      <c r="A224" s="1" t="s">
        <v>102</v>
      </c>
      <c r="B224" s="102">
        <f>+GETPIVOTDATA("Grand Total FTE - Old",'FTE Pivot for regular counts'!$A$2,"State","DE","Category2","Four-Year")</f>
        <v>24564.749999999996</v>
      </c>
      <c r="D224" s="15">
        <f>+GETPIVOTDATA("Grand Total FTE - Old",'FTE Pivot for regular counts'!$A$2,"State","DE","Category2","Two-Year")</f>
        <v>9913.6</v>
      </c>
      <c r="F224" s="39">
        <f>+GETPIVOTDATA("Grand Total FTE - Old",'FTE Pivot for regular counts'!$A$2,"State","DE","Category2","Technical")</f>
        <v>0</v>
      </c>
      <c r="G224" s="37"/>
      <c r="H224" s="121">
        <f t="shared" si="0"/>
        <v>34478.35</v>
      </c>
      <c r="I224" s="25"/>
    </row>
    <row r="225" spans="1:13" ht="15" customHeight="1">
      <c r="A225" s="1" t="s">
        <v>67</v>
      </c>
      <c r="B225" s="15">
        <f>+GETPIVOTDATA("Grand Total FTE - Old",'FTE Pivot for regular counts'!$A$2,"State","FL","Category2","Four-Year")</f>
        <v>298281.27916666662</v>
      </c>
      <c r="D225" s="15">
        <f>+GETPIVOTDATA("Grand Total FTE - Old",'FTE Pivot for regular counts'!$A$2,"State","FL","Category2","Two-Year")</f>
        <v>337906.80666666664</v>
      </c>
      <c r="F225" s="39">
        <f>+GETPIVOTDATA("Grand Total FTE - Old",'FTE Pivot for regular counts'!$A$2,"State","FL","Category2","Technical")</f>
        <v>0</v>
      </c>
      <c r="G225" s="37"/>
      <c r="H225" s="121">
        <f t="shared" si="0"/>
        <v>636188.0858333332</v>
      </c>
      <c r="I225" s="25"/>
    </row>
    <row r="226" spans="1:13" ht="15" customHeight="1">
      <c r="A226" s="1" t="s">
        <v>68</v>
      </c>
      <c r="B226" s="15">
        <f>+GETPIVOTDATA("Grand Total FTE - Old",'FTE Pivot for regular counts'!$A$2,"State","GA","Category2","Four-Year")</f>
        <v>234339.21249999997</v>
      </c>
      <c r="D226" s="15">
        <f>+GETPIVOTDATA("Grand Total FTE - Old",'FTE Pivot for regular counts'!$A$2,"State","GA","Category2","Two-Year")</f>
        <v>40866.983333333337</v>
      </c>
      <c r="F226" s="39">
        <f>+GETPIVOTDATA("Grand Total FTE - Old",'FTE Pivot for regular counts'!$A$2,"State","GA","Category2","Technical")</f>
        <v>71686.516666666663</v>
      </c>
      <c r="G226" s="37"/>
      <c r="H226" s="121">
        <f t="shared" si="0"/>
        <v>346892.71249999997</v>
      </c>
      <c r="I226" s="25"/>
    </row>
    <row r="227" spans="1:13" ht="15" customHeight="1">
      <c r="A227" s="1" t="s">
        <v>69</v>
      </c>
      <c r="B227" s="15">
        <f>+GETPIVOTDATA("Grand Total FTE - Old",'FTE Pivot for regular counts'!$A$2,"State","KY","Category2","Four-Year")</f>
        <v>100802.6</v>
      </c>
      <c r="D227" s="15">
        <f>+GETPIVOTDATA("Grand Total FTE - Old",'FTE Pivot for regular counts'!$A$2,"State","KY","Category2","Two-Year")</f>
        <v>46344.433333333342</v>
      </c>
      <c r="F227" s="39">
        <f>+GETPIVOTDATA("Grand Total FTE - Old",'FTE Pivot for regular counts'!$A$2,"State","KY","Category2","Technical")</f>
        <v>5098.7333333333336</v>
      </c>
      <c r="G227" s="37"/>
      <c r="H227" s="121">
        <f t="shared" si="0"/>
        <v>152245.76666666666</v>
      </c>
      <c r="I227" s="25"/>
    </row>
    <row r="228" spans="1:13" ht="15" customHeight="1">
      <c r="A228" s="1" t="s">
        <v>70</v>
      </c>
      <c r="B228" s="15">
        <f>+GETPIVOTDATA("Grand Total FTE - Old",'FTE Pivot for regular counts'!$A$2,"State","LA","Category2","Four-Year")</f>
        <v>117629.29999999999</v>
      </c>
      <c r="D228" s="15">
        <f>+GETPIVOTDATA("Grand Total FTE - Old",'FTE Pivot for regular counts'!$A$2,"State","LA","Category2","Two-Year")</f>
        <v>38594.25</v>
      </c>
      <c r="F228" s="39">
        <f>+GETPIVOTDATA("Grand Total FTE - Old",'FTE Pivot for regular counts'!$A$2,"State","LA","Category2","Technical")</f>
        <v>10366.871666666666</v>
      </c>
      <c r="G228" s="37"/>
      <c r="H228" s="121">
        <f t="shared" si="0"/>
        <v>166590.42166666666</v>
      </c>
      <c r="I228" s="25"/>
    </row>
    <row r="229" spans="1:13" ht="15" customHeight="1">
      <c r="A229" s="1" t="s">
        <v>71</v>
      </c>
      <c r="B229" s="15">
        <f>+GETPIVOTDATA("Grand Total FTE - Old",'FTE Pivot for regular counts'!$A$2,"State","MD","Category2","Four-Year")</f>
        <v>103952.39166666666</v>
      </c>
      <c r="D229" s="15">
        <f>+GETPIVOTDATA("Grand Total FTE - Old",'FTE Pivot for regular counts'!$A$2,"State","MD","Category2","Two-Year")</f>
        <v>95613.333333333328</v>
      </c>
      <c r="F229" s="39">
        <f>+GETPIVOTDATA("Grand Total FTE - Old",'FTE Pivot for regular counts'!$A$2,"State","MD","Category2","Technical")</f>
        <v>0</v>
      </c>
      <c r="G229" s="37"/>
      <c r="H229" s="121">
        <f t="shared" si="0"/>
        <v>199565.72499999998</v>
      </c>
      <c r="I229" s="25"/>
    </row>
    <row r="230" spans="1:13" ht="12" customHeight="1">
      <c r="A230" s="1" t="s">
        <v>72</v>
      </c>
      <c r="B230" s="15">
        <f>+GETPIVOTDATA("Grand Total FTE - Old",'FTE Pivot for regular counts'!$A$2,"State","MS","Category2","Four-Year")</f>
        <v>69069.649999999994</v>
      </c>
      <c r="D230" s="15">
        <f>+GETPIVOTDATA("Grand Total FTE - Old",'FTE Pivot for regular counts'!$A$2,"State","MS","Category2","Two-Year")</f>
        <v>65331.4</v>
      </c>
      <c r="F230" s="39">
        <f>+GETPIVOTDATA("Grand Total FTE - Old",'FTE Pivot for regular counts'!$A$2,"State","MS","Category2","Technical")</f>
        <v>0</v>
      </c>
      <c r="G230" s="37"/>
      <c r="H230" s="121">
        <f t="shared" si="0"/>
        <v>134401.04999999999</v>
      </c>
      <c r="I230" s="25"/>
    </row>
    <row r="231" spans="1:13" ht="15" customHeight="1">
      <c r="A231" s="1" t="s">
        <v>73</v>
      </c>
      <c r="B231" s="15">
        <f>+GETPIVOTDATA("Grand Total FTE - Old",'FTE Pivot for regular counts'!$A$2,"State","NC","Category2","Four-Year")</f>
        <v>196172.06666666668</v>
      </c>
      <c r="D231" s="15">
        <f>+GETPIVOTDATA("Grand Total FTE - Old",'FTE Pivot for regular counts'!$A$2,"State","NC","Category2","Two-Year")</f>
        <v>195034.59333333335</v>
      </c>
      <c r="F231" s="39">
        <f>+GETPIVOTDATA("Grand Total FTE - Old",'FTE Pivot for regular counts'!$A$2,"State","NC","Category2","Technical")</f>
        <v>0</v>
      </c>
      <c r="G231" s="37"/>
      <c r="H231" s="121">
        <f t="shared" si="0"/>
        <v>391206.66000000003</v>
      </c>
      <c r="I231" s="25"/>
    </row>
    <row r="232" spans="1:13" ht="15" customHeight="1">
      <c r="A232" s="1" t="s">
        <v>74</v>
      </c>
      <c r="B232" s="15">
        <f>+GETPIVOTDATA("Grand Total FTE - Old",'FTE Pivot for regular counts'!$A$2,"State","OK","Category2","Four-Year")</f>
        <v>84175.208333333328</v>
      </c>
      <c r="D232" s="15">
        <f>+GETPIVOTDATA("Grand Total FTE - Old",'FTE Pivot for regular counts'!$A$2,"State","OK","Category2","Two-Year")</f>
        <v>46715.7</v>
      </c>
      <c r="F232" s="39">
        <f>+GETPIVOTDATA("Grand Total FTE - Old",'FTE Pivot for regular counts'!$A$2,"State","OK","Category2","Technical")</f>
        <v>19699.354466666664</v>
      </c>
      <c r="G232" s="37"/>
      <c r="H232" s="121">
        <f t="shared" si="0"/>
        <v>150590.26279999997</v>
      </c>
      <c r="I232" s="25"/>
    </row>
    <row r="233" spans="1:13" ht="15" customHeight="1">
      <c r="A233" s="1" t="s">
        <v>75</v>
      </c>
      <c r="B233" s="15">
        <f>+GETPIVOTDATA("Grand Total FTE - Old",'FTE Pivot for regular counts'!$A$2,"State","SC","Category2","Four-Year")</f>
        <v>98490.475000000006</v>
      </c>
      <c r="D233" s="15">
        <f>+GETPIVOTDATA("Grand Total FTE - Old",'FTE Pivot for regular counts'!$A$2,"State","SC","Category2","Two-Year")</f>
        <v>76206.599999999991</v>
      </c>
      <c r="F233" s="39">
        <f>+GETPIVOTDATA("Grand Total FTE - Old",'FTE Pivot for regular counts'!$A$2,"State","SC","Category2","Technical")</f>
        <v>0</v>
      </c>
      <c r="G233" s="37"/>
      <c r="H233" s="121">
        <f t="shared" si="0"/>
        <v>174697.07500000001</v>
      </c>
      <c r="I233" s="25"/>
    </row>
    <row r="234" spans="1:13" ht="15" customHeight="1">
      <c r="A234" s="1" t="s">
        <v>76</v>
      </c>
      <c r="B234" s="15">
        <f>+GETPIVOTDATA("Grand Total FTE - Old",'FTE Pivot for regular counts'!$A$2,"State","TN","Category2","Four-Year")</f>
        <v>117241.72499999999</v>
      </c>
      <c r="D234" s="15">
        <f>+GETPIVOTDATA("Grand Total FTE - Old",'FTE Pivot for regular counts'!$A$2,"State","TN","Category2","Two-Year")</f>
        <v>56874.499999999993</v>
      </c>
      <c r="F234" s="39">
        <f>+GETPIVOTDATA("Grand Total FTE - Old",'FTE Pivot for regular counts'!$A$2,"State","TN","Category2","Technical")</f>
        <v>11199.464444444444</v>
      </c>
      <c r="G234" s="37"/>
      <c r="H234" s="121">
        <f t="shared" si="0"/>
        <v>185315.68944444443</v>
      </c>
      <c r="I234" s="25"/>
    </row>
    <row r="235" spans="1:13" ht="15" customHeight="1">
      <c r="A235" s="1" t="s">
        <v>77</v>
      </c>
      <c r="B235" s="15">
        <f>+GETPIVOTDATA("Grand Total FTE - Old",'FTE Pivot for regular counts'!$A$2,"State","TX","Category2","Four-Year")</f>
        <v>489767.35</v>
      </c>
      <c r="D235" s="15">
        <f>+GETPIVOTDATA("Grand Total FTE - Old",'FTE Pivot for regular counts'!$A$2,"State","TX","Category2","Two-Year")</f>
        <v>478458.10222222225</v>
      </c>
      <c r="F235" s="39">
        <f>+GETPIVOTDATA("Grand Total FTE - Old",'FTE Pivot for regular counts'!$A$2,"State","TX","Category2","Technical")</f>
        <v>0</v>
      </c>
      <c r="G235" s="37"/>
      <c r="H235" s="121">
        <f t="shared" si="0"/>
        <v>968225.45222222223</v>
      </c>
      <c r="I235" s="25"/>
    </row>
    <row r="236" spans="1:13" ht="15" customHeight="1">
      <c r="A236" s="1" t="s">
        <v>78</v>
      </c>
      <c r="B236" s="15">
        <f>+GETPIVOTDATA("Grand Total FTE - Old",'FTE Pivot for regular counts'!$A$2,"State","VA","Category2","Four-Year")</f>
        <v>195486.60166666663</v>
      </c>
      <c r="D236" s="15">
        <f>+GETPIVOTDATA("Grand Total FTE - Old",'FTE Pivot for regular counts'!$A$2,"State","VA","Category2","Two-Year")</f>
        <v>120263.33333333333</v>
      </c>
      <c r="F236" s="39">
        <f>+GETPIVOTDATA("Grand Total FTE - Old",'FTE Pivot for regular counts'!$A$2,"State","VA","Category2","Technical")</f>
        <v>0</v>
      </c>
      <c r="G236" s="37"/>
      <c r="H236" s="121">
        <f t="shared" si="0"/>
        <v>315749.93499999994</v>
      </c>
      <c r="I236" s="25"/>
    </row>
    <row r="237" spans="1:13" ht="15" customHeight="1">
      <c r="A237" s="3" t="s">
        <v>79</v>
      </c>
      <c r="B237" s="6">
        <f>+GETPIVOTDATA("Grand Total FTE - Old",'FTE Pivot for regular counts'!$A$2,"State","WV","Category2","Four-Year")</f>
        <v>58628.908333333326</v>
      </c>
      <c r="C237" s="3"/>
      <c r="D237" s="6">
        <f>+GETPIVOTDATA("Grand Total FTE - Old",'FTE Pivot for regular counts'!$A$2,"State","WV","Category2","Two-Year")</f>
        <v>13336.263333333332</v>
      </c>
      <c r="E237" s="3"/>
      <c r="F237" s="40">
        <f>+GETPIVOTDATA("Grand Total FTE - Old",'FTE Pivot for regular counts'!$A$2,"State","WV","Category2","Technical")</f>
        <v>0</v>
      </c>
      <c r="G237" s="38"/>
      <c r="H237" s="121">
        <f t="shared" si="0"/>
        <v>71965.171666666662</v>
      </c>
      <c r="I237" s="25"/>
    </row>
    <row r="238" spans="1:13" s="25" customFormat="1" ht="20.25" customHeight="1">
      <c r="A238" s="76"/>
      <c r="B238" s="16"/>
      <c r="C238" s="16"/>
      <c r="D238" s="16"/>
      <c r="E238" s="16"/>
      <c r="F238" s="16"/>
      <c r="G238" s="16"/>
      <c r="H238" s="108"/>
      <c r="I238" s="15"/>
      <c r="J238" s="102"/>
      <c r="K238" s="102"/>
      <c r="L238" s="102"/>
      <c r="M238" s="102"/>
    </row>
    <row r="239" spans="1:13" ht="71.25" customHeight="1">
      <c r="A239" s="844" t="s">
        <v>985</v>
      </c>
      <c r="B239" s="845"/>
      <c r="C239" s="845"/>
      <c r="D239" s="845"/>
      <c r="E239" s="845"/>
      <c r="F239" s="845"/>
      <c r="G239" s="845"/>
      <c r="H239" s="845"/>
      <c r="I239" s="25"/>
    </row>
    <row r="240" spans="1:13">
      <c r="H240" s="168"/>
    </row>
    <row r="255" spans="14:15">
      <c r="N255" s="25"/>
      <c r="O255" s="25"/>
    </row>
    <row r="256" spans="14:15">
      <c r="N256" s="25"/>
      <c r="O256" s="25"/>
    </row>
    <row r="257" spans="14:15">
      <c r="N257" s="25"/>
      <c r="O257" s="25"/>
    </row>
    <row r="258" spans="14:15">
      <c r="N258" s="25"/>
      <c r="O258" s="25"/>
    </row>
    <row r="259" spans="14:15">
      <c r="N259" s="25"/>
      <c r="O259" s="25"/>
    </row>
    <row r="260" spans="14:15">
      <c r="N260" s="25"/>
      <c r="O260" s="25"/>
    </row>
    <row r="261" spans="14:15">
      <c r="N261" s="25"/>
      <c r="O261" s="25"/>
    </row>
    <row r="262" spans="14:15">
      <c r="N262" s="25"/>
      <c r="O262" s="25"/>
    </row>
    <row r="263" spans="14:15">
      <c r="N263" s="25"/>
      <c r="O263" s="25"/>
    </row>
  </sheetData>
  <mergeCells count="15">
    <mergeCell ref="A181:K181"/>
    <mergeCell ref="A239:H239"/>
    <mergeCell ref="A96:J96"/>
    <mergeCell ref="A123:J123"/>
    <mergeCell ref="A125:J125"/>
    <mergeCell ref="A126:J126"/>
    <mergeCell ref="A211:G211"/>
    <mergeCell ref="A121:I121"/>
    <mergeCell ref="A151:I151"/>
    <mergeCell ref="A95:J95"/>
    <mergeCell ref="B6:G6"/>
    <mergeCell ref="A30:O30"/>
    <mergeCell ref="A60:H60"/>
    <mergeCell ref="A91:H91"/>
    <mergeCell ref="A93:J93"/>
  </mergeCells>
  <printOptions horizontalCentered="1"/>
  <pageMargins left="0.5" right="0.44" top="1" bottom="0.85" header="0.75" footer="0.5"/>
  <pageSetup scale="89" firstPageNumber="80" fitToHeight="7" orientation="landscape" useFirstPageNumber="1" r:id="rId1"/>
  <headerFooter alignWithMargins="0">
    <oddHeader>&amp;RSREB-State Data Exchange</oddHeader>
    <oddFooter>&amp;CC-&amp;P</oddFooter>
  </headerFooter>
  <rowBreaks count="6" manualBreakCount="6">
    <brk id="31" max="14" man="1"/>
    <brk id="62" max="14" man="1"/>
    <brk id="92" max="14" man="1"/>
    <brk id="122" max="14" man="1"/>
    <brk id="152" max="14" man="1"/>
    <brk id="182" max="14"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7"/>
  </sheetPr>
  <dimension ref="A1:AK220"/>
  <sheetViews>
    <sheetView zoomScale="90" zoomScaleNormal="90" workbookViewId="0">
      <pane xSplit="2" ySplit="4" topLeftCell="C158" activePane="bottomRight" state="frozen"/>
      <selection pane="topRight" activeCell="C1" sqref="C1"/>
      <selection pane="bottomLeft" activeCell="A5" sqref="A5"/>
      <selection pane="bottomRight" activeCell="A206" sqref="A206:XFD206"/>
    </sheetView>
  </sheetViews>
  <sheetFormatPr defaultRowHeight="12.75"/>
  <cols>
    <col min="1" max="1" width="7.5" style="343" customWidth="1"/>
    <col min="2" max="2" width="46.6640625" style="209" customWidth="1"/>
    <col min="3" max="8" width="16.1640625" style="209" customWidth="1"/>
    <col min="9" max="9" width="17.5" style="209" customWidth="1"/>
    <col min="10" max="13" width="14.33203125" style="209" customWidth="1"/>
    <col min="14" max="14" width="17" style="209" customWidth="1"/>
    <col min="15" max="15" width="13.83203125" style="209" customWidth="1"/>
    <col min="16" max="16" width="13.83203125" style="209" hidden="1" customWidth="1"/>
    <col min="17" max="18" width="14.5" style="209" customWidth="1"/>
    <col min="19" max="19" width="11.6640625" style="209" customWidth="1"/>
    <col min="20" max="20" width="8.5" style="209" customWidth="1"/>
    <col min="21" max="21" width="10.83203125" style="209" customWidth="1"/>
    <col min="22" max="22" width="9.83203125" style="209" customWidth="1"/>
    <col min="23" max="23" width="12.1640625" style="209" customWidth="1"/>
    <col min="24" max="24" width="9.83203125" style="209" customWidth="1"/>
    <col min="25" max="25" width="12.1640625" style="209" customWidth="1"/>
    <col min="26" max="26" width="8.6640625" style="209" customWidth="1"/>
    <col min="27" max="27" width="12.1640625" style="209" customWidth="1"/>
    <col min="28" max="29" width="1.5" style="209" customWidth="1"/>
    <col min="30" max="30" width="2.1640625" style="209" customWidth="1"/>
    <col min="31" max="31" width="14.5" style="209" customWidth="1"/>
    <col min="32" max="32" width="13.6640625" style="209" customWidth="1"/>
    <col min="33" max="33" width="12.6640625" style="209" customWidth="1"/>
    <col min="34" max="34" width="16" style="209" customWidth="1"/>
    <col min="35" max="35" width="16.5" style="209" customWidth="1"/>
    <col min="36" max="36" width="14.6640625" style="209" customWidth="1"/>
    <col min="37" max="37" width="14" style="209" customWidth="1"/>
    <col min="38" max="16384" width="9.33203125" style="209"/>
  </cols>
  <sheetData>
    <row r="1" spans="1:31" s="73" customFormat="1">
      <c r="A1" s="209"/>
      <c r="B1" s="209"/>
      <c r="C1" s="209"/>
      <c r="D1" s="209"/>
      <c r="E1" s="4" t="s">
        <v>28</v>
      </c>
      <c r="F1" s="4"/>
      <c r="G1" s="4"/>
      <c r="H1" s="4"/>
      <c r="I1" s="4"/>
      <c r="J1" s="4"/>
      <c r="K1" s="4"/>
      <c r="L1" s="4"/>
      <c r="M1" s="82"/>
      <c r="N1" s="4"/>
      <c r="T1" s="241" t="s">
        <v>37</v>
      </c>
      <c r="U1" s="241"/>
      <c r="V1" s="241"/>
      <c r="W1" s="241"/>
      <c r="X1" s="241"/>
      <c r="Y1" s="241"/>
      <c r="Z1" s="241"/>
      <c r="AA1" s="241"/>
    </row>
    <row r="2" spans="1:31">
      <c r="A2" s="209"/>
      <c r="C2" s="209" t="s">
        <v>42</v>
      </c>
      <c r="D2" s="209" t="s">
        <v>104</v>
      </c>
      <c r="E2" s="320"/>
      <c r="F2" s="320"/>
      <c r="G2" s="320"/>
      <c r="H2" s="320"/>
      <c r="I2" s="320"/>
      <c r="J2" s="325"/>
      <c r="K2" s="320"/>
      <c r="L2" s="320"/>
      <c r="M2" s="321"/>
      <c r="N2" s="323"/>
      <c r="O2" s="325"/>
      <c r="P2" s="320"/>
      <c r="Q2" s="320"/>
      <c r="R2" s="320"/>
      <c r="S2" s="320"/>
      <c r="T2" s="332"/>
      <c r="U2" s="332"/>
      <c r="V2" s="332"/>
      <c r="W2" s="332"/>
      <c r="X2" s="332"/>
      <c r="Y2" s="332"/>
      <c r="Z2" s="332"/>
      <c r="AA2" s="334"/>
      <c r="AB2" s="495"/>
      <c r="AC2" s="496"/>
      <c r="AD2" s="416"/>
      <c r="AE2" s="316"/>
    </row>
    <row r="3" spans="1:31" s="73" customFormat="1">
      <c r="A3" s="317"/>
      <c r="B3" s="318"/>
      <c r="C3" s="319" t="s">
        <v>62</v>
      </c>
      <c r="D3" s="320"/>
      <c r="E3" s="320"/>
      <c r="F3" s="320"/>
      <c r="G3" s="320"/>
      <c r="H3" s="320"/>
      <c r="I3" s="330" t="s">
        <v>220</v>
      </c>
      <c r="J3" s="319" t="s">
        <v>221</v>
      </c>
      <c r="K3" s="320"/>
      <c r="L3" s="320"/>
      <c r="M3" s="320"/>
      <c r="N3" s="330" t="s">
        <v>222</v>
      </c>
      <c r="O3" s="319" t="s">
        <v>239</v>
      </c>
      <c r="P3" s="320" t="s">
        <v>240</v>
      </c>
      <c r="Q3" s="330" t="s">
        <v>24</v>
      </c>
      <c r="R3" s="319"/>
      <c r="S3" s="319" t="s">
        <v>23</v>
      </c>
      <c r="T3" s="331">
        <v>99</v>
      </c>
      <c r="U3" s="331" t="s">
        <v>241</v>
      </c>
      <c r="V3" s="331" t="s">
        <v>235</v>
      </c>
      <c r="W3" s="331" t="s">
        <v>242</v>
      </c>
      <c r="X3" s="331" t="s">
        <v>236</v>
      </c>
      <c r="Y3" s="331" t="s">
        <v>243</v>
      </c>
      <c r="Z3" s="331" t="s">
        <v>145</v>
      </c>
      <c r="AA3" s="335" t="s">
        <v>244</v>
      </c>
      <c r="AB3" s="494"/>
      <c r="AC3" s="497"/>
      <c r="AD3" s="416"/>
      <c r="AE3" s="316"/>
    </row>
    <row r="4" spans="1:31">
      <c r="A4" s="317" t="s">
        <v>105</v>
      </c>
      <c r="B4" s="322" t="s">
        <v>58</v>
      </c>
      <c r="C4" s="326">
        <v>1</v>
      </c>
      <c r="D4" s="327">
        <v>2</v>
      </c>
      <c r="E4" s="327">
        <v>3</v>
      </c>
      <c r="F4" s="327">
        <v>4</v>
      </c>
      <c r="G4" s="327">
        <v>5</v>
      </c>
      <c r="H4" s="327">
        <v>6</v>
      </c>
      <c r="I4" s="242"/>
      <c r="J4" s="328" t="s">
        <v>230</v>
      </c>
      <c r="K4" s="329" t="s">
        <v>223</v>
      </c>
      <c r="L4" s="329" t="s">
        <v>224</v>
      </c>
      <c r="M4" s="329" t="s">
        <v>225</v>
      </c>
      <c r="N4" s="242"/>
      <c r="O4" s="328" t="s">
        <v>239</v>
      </c>
      <c r="P4" s="329"/>
      <c r="Q4" s="242" t="s">
        <v>25</v>
      </c>
      <c r="R4" s="319" t="s">
        <v>227</v>
      </c>
      <c r="S4" s="415"/>
      <c r="T4" s="331">
        <v>99</v>
      </c>
      <c r="U4" s="244"/>
      <c r="V4" s="333" t="s">
        <v>235</v>
      </c>
      <c r="W4" s="243"/>
      <c r="X4" s="333" t="s">
        <v>236</v>
      </c>
      <c r="Y4" s="243"/>
      <c r="Z4" s="331" t="s">
        <v>145</v>
      </c>
      <c r="AA4" s="245"/>
      <c r="AB4" s="494"/>
      <c r="AC4" s="498"/>
      <c r="AD4" s="416"/>
      <c r="AE4" s="316"/>
    </row>
    <row r="5" spans="1:31">
      <c r="A5" s="324" t="s">
        <v>226</v>
      </c>
      <c r="B5" s="322" t="s">
        <v>86</v>
      </c>
      <c r="C5" s="319">
        <v>48146.766666666663</v>
      </c>
      <c r="D5" s="323">
        <v>13713.566666666668</v>
      </c>
      <c r="E5" s="323">
        <v>28293.299999999996</v>
      </c>
      <c r="F5" s="323">
        <v>13666.4</v>
      </c>
      <c r="G5" s="323">
        <v>4196.2333333333336</v>
      </c>
      <c r="H5" s="323">
        <v>2445.6999999999998</v>
      </c>
      <c r="I5" s="319">
        <v>110461.96666666666</v>
      </c>
      <c r="J5" s="319"/>
      <c r="K5" s="323">
        <v>13491.366666666667</v>
      </c>
      <c r="L5" s="323">
        <v>38473.533333333333</v>
      </c>
      <c r="M5" s="323">
        <v>9679</v>
      </c>
      <c r="N5" s="319">
        <v>61643.9</v>
      </c>
      <c r="O5" s="319"/>
      <c r="P5" s="323"/>
      <c r="Q5" s="319">
        <v>1159.8</v>
      </c>
      <c r="R5" s="319">
        <v>1908.1999999999998</v>
      </c>
      <c r="S5" s="319">
        <v>3068</v>
      </c>
      <c r="T5" s="331"/>
      <c r="U5" s="331"/>
      <c r="V5" s="331"/>
      <c r="W5" s="331"/>
      <c r="X5" s="331"/>
      <c r="Y5" s="331"/>
      <c r="Z5" s="331"/>
      <c r="AA5" s="339"/>
      <c r="AB5" s="494"/>
      <c r="AC5" s="497"/>
      <c r="AD5" s="416"/>
      <c r="AE5" s="316"/>
    </row>
    <row r="6" spans="1:31">
      <c r="A6" s="235"/>
      <c r="B6" s="236" t="s">
        <v>84</v>
      </c>
      <c r="C6" s="237">
        <v>50237.733333333337</v>
      </c>
      <c r="D6" s="238">
        <v>13900.866666666667</v>
      </c>
      <c r="E6" s="238">
        <v>28377.833333333336</v>
      </c>
      <c r="F6" s="238">
        <v>13605.866666666665</v>
      </c>
      <c r="G6" s="238">
        <v>4135.8999999999996</v>
      </c>
      <c r="H6" s="238">
        <v>2347.1999999999998</v>
      </c>
      <c r="I6" s="237">
        <v>112605.40000000001</v>
      </c>
      <c r="J6" s="237"/>
      <c r="K6" s="238">
        <v>12914.266666666666</v>
      </c>
      <c r="L6" s="238">
        <v>37038.033333333333</v>
      </c>
      <c r="M6" s="238">
        <v>9762.0666666666675</v>
      </c>
      <c r="N6" s="237">
        <v>59714.366666666669</v>
      </c>
      <c r="O6" s="237"/>
      <c r="P6" s="238"/>
      <c r="Q6" s="237">
        <v>1202.9000000000001</v>
      </c>
      <c r="R6" s="237">
        <v>1774.5</v>
      </c>
      <c r="S6" s="237">
        <v>2977.4</v>
      </c>
      <c r="T6" s="297"/>
      <c r="U6" s="297"/>
      <c r="V6" s="297"/>
      <c r="W6" s="297"/>
      <c r="X6" s="297"/>
      <c r="Y6" s="297"/>
      <c r="Z6" s="297"/>
      <c r="AA6" s="340"/>
      <c r="AB6" s="499"/>
      <c r="AC6" s="500"/>
      <c r="AD6" s="416"/>
      <c r="AE6" s="316"/>
    </row>
    <row r="7" spans="1:31" s="73" customFormat="1">
      <c r="A7" s="235"/>
      <c r="B7" s="239" t="s">
        <v>98</v>
      </c>
      <c r="C7" s="246">
        <v>4.3429015309439427E-2</v>
      </c>
      <c r="D7" s="247">
        <v>1.3658007763601441E-2</v>
      </c>
      <c r="E7" s="247">
        <v>2.9877509280762634E-3</v>
      </c>
      <c r="F7" s="247">
        <v>-4.4293547191165683E-3</v>
      </c>
      <c r="G7" s="247">
        <v>-1.4377973897225433E-2</v>
      </c>
      <c r="H7" s="247">
        <v>-4.027476796009323E-2</v>
      </c>
      <c r="I7" s="246">
        <v>1.9404265540567799E-2</v>
      </c>
      <c r="J7" s="246">
        <v>0</v>
      </c>
      <c r="K7" s="247">
        <v>-4.2775503346584635E-2</v>
      </c>
      <c r="L7" s="247">
        <v>-3.7311363829333762E-2</v>
      </c>
      <c r="M7" s="247">
        <v>8.5821538037676951E-3</v>
      </c>
      <c r="N7" s="246">
        <v>-3.1301285826064423E-2</v>
      </c>
      <c r="O7" s="338">
        <v>0</v>
      </c>
      <c r="P7" s="247">
        <v>0</v>
      </c>
      <c r="Q7" s="246">
        <v>3.7161579582686788E-2</v>
      </c>
      <c r="R7" s="246">
        <v>-7.0066030814379954E-2</v>
      </c>
      <c r="S7" s="246">
        <v>-2.9530638852672722E-2</v>
      </c>
      <c r="T7" s="298">
        <v>0</v>
      </c>
      <c r="U7" s="298">
        <v>0</v>
      </c>
      <c r="V7" s="298">
        <v>0</v>
      </c>
      <c r="W7" s="298">
        <v>0</v>
      </c>
      <c r="X7" s="298">
        <v>0</v>
      </c>
      <c r="Y7" s="298">
        <v>0</v>
      </c>
      <c r="Z7" s="298">
        <v>0</v>
      </c>
      <c r="AA7" s="341">
        <v>0</v>
      </c>
      <c r="AB7" s="501"/>
      <c r="AC7" s="502"/>
      <c r="AD7" s="417"/>
      <c r="AE7" s="316"/>
    </row>
    <row r="8" spans="1:31" s="73" customFormat="1">
      <c r="A8" s="235"/>
      <c r="B8" s="236" t="s">
        <v>82</v>
      </c>
      <c r="C8" s="237">
        <v>0</v>
      </c>
      <c r="D8" s="238">
        <v>0</v>
      </c>
      <c r="E8" s="238">
        <v>0</v>
      </c>
      <c r="F8" s="238">
        <v>0</v>
      </c>
      <c r="G8" s="238">
        <v>0</v>
      </c>
      <c r="H8" s="238">
        <v>0</v>
      </c>
      <c r="I8" s="237">
        <v>0</v>
      </c>
      <c r="J8" s="237"/>
      <c r="K8" s="238">
        <v>0</v>
      </c>
      <c r="L8" s="238">
        <v>0</v>
      </c>
      <c r="M8" s="238">
        <v>0</v>
      </c>
      <c r="N8" s="237">
        <v>0</v>
      </c>
      <c r="O8" s="299"/>
      <c r="P8" s="238"/>
      <c r="Q8" s="237">
        <v>0</v>
      </c>
      <c r="R8" s="237">
        <v>0</v>
      </c>
      <c r="S8" s="237">
        <v>0</v>
      </c>
      <c r="T8" s="297"/>
      <c r="U8" s="297"/>
      <c r="V8" s="297"/>
      <c r="W8" s="297"/>
      <c r="X8" s="297"/>
      <c r="Y8" s="297"/>
      <c r="Z8" s="297"/>
      <c r="AA8" s="342"/>
      <c r="AB8" s="499"/>
      <c r="AC8" s="500"/>
      <c r="AD8" s="416"/>
      <c r="AE8" s="316"/>
    </row>
    <row r="9" spans="1:31" s="73" customFormat="1">
      <c r="A9" s="235"/>
      <c r="B9" s="236" t="s">
        <v>80</v>
      </c>
      <c r="C9" s="237">
        <v>0</v>
      </c>
      <c r="D9" s="238">
        <v>0</v>
      </c>
      <c r="E9" s="238">
        <v>0</v>
      </c>
      <c r="F9" s="238">
        <v>0</v>
      </c>
      <c r="G9" s="238">
        <v>0</v>
      </c>
      <c r="H9" s="238">
        <v>0</v>
      </c>
      <c r="I9" s="237">
        <v>0</v>
      </c>
      <c r="J9" s="237"/>
      <c r="K9" s="238">
        <v>0</v>
      </c>
      <c r="L9" s="238">
        <v>0</v>
      </c>
      <c r="M9" s="238">
        <v>0</v>
      </c>
      <c r="N9" s="237">
        <v>0</v>
      </c>
      <c r="O9" s="299"/>
      <c r="P9" s="238"/>
      <c r="Q9" s="237">
        <v>0</v>
      </c>
      <c r="R9" s="237">
        <v>0</v>
      </c>
      <c r="S9" s="237">
        <v>0</v>
      </c>
      <c r="T9" s="297"/>
      <c r="U9" s="297"/>
      <c r="V9" s="297"/>
      <c r="W9" s="297"/>
      <c r="X9" s="297"/>
      <c r="Y9" s="297"/>
      <c r="Z9" s="297"/>
      <c r="AA9" s="342"/>
      <c r="AB9" s="499"/>
      <c r="AC9" s="500"/>
      <c r="AD9" s="416"/>
      <c r="AE9" s="316"/>
    </row>
    <row r="10" spans="1:31" s="73" customFormat="1">
      <c r="A10" s="235"/>
      <c r="B10" s="239" t="s">
        <v>100</v>
      </c>
      <c r="C10" s="246">
        <v>0</v>
      </c>
      <c r="D10" s="247">
        <v>0</v>
      </c>
      <c r="E10" s="247">
        <v>0</v>
      </c>
      <c r="F10" s="247">
        <v>0</v>
      </c>
      <c r="G10" s="247">
        <v>0</v>
      </c>
      <c r="H10" s="247">
        <v>0</v>
      </c>
      <c r="I10" s="246">
        <v>0</v>
      </c>
      <c r="J10" s="246">
        <v>0</v>
      </c>
      <c r="K10" s="247">
        <v>0</v>
      </c>
      <c r="L10" s="247">
        <v>0</v>
      </c>
      <c r="M10" s="247">
        <v>0</v>
      </c>
      <c r="N10" s="246">
        <v>0</v>
      </c>
      <c r="O10" s="338">
        <v>0</v>
      </c>
      <c r="P10" s="247">
        <v>0</v>
      </c>
      <c r="Q10" s="246">
        <v>0</v>
      </c>
      <c r="R10" s="246">
        <v>0</v>
      </c>
      <c r="S10" s="246">
        <v>0</v>
      </c>
      <c r="T10" s="298">
        <v>0</v>
      </c>
      <c r="U10" s="298">
        <v>0</v>
      </c>
      <c r="V10" s="298">
        <v>0</v>
      </c>
      <c r="W10" s="298">
        <v>0</v>
      </c>
      <c r="X10" s="298">
        <v>0</v>
      </c>
      <c r="Y10" s="298">
        <v>0</v>
      </c>
      <c r="Z10" s="298">
        <v>0</v>
      </c>
      <c r="AA10" s="341">
        <v>0</v>
      </c>
      <c r="AB10" s="501"/>
      <c r="AC10" s="502"/>
      <c r="AD10" s="417"/>
      <c r="AE10" s="316"/>
    </row>
    <row r="11" spans="1:31" s="73" customFormat="1">
      <c r="A11" s="235"/>
      <c r="B11" s="236" t="s">
        <v>88</v>
      </c>
      <c r="C11" s="237">
        <v>8058.375</v>
      </c>
      <c r="D11" s="238">
        <v>2899.5833333333335</v>
      </c>
      <c r="E11" s="238">
        <v>3786</v>
      </c>
      <c r="F11" s="238">
        <v>1639.625</v>
      </c>
      <c r="G11" s="238">
        <v>1657.75</v>
      </c>
      <c r="H11" s="238">
        <v>0</v>
      </c>
      <c r="I11" s="237">
        <v>18041.333333333336</v>
      </c>
      <c r="J11" s="237"/>
      <c r="K11" s="238">
        <v>0</v>
      </c>
      <c r="L11" s="238">
        <v>0</v>
      </c>
      <c r="M11" s="238">
        <v>0</v>
      </c>
      <c r="N11" s="237">
        <v>0</v>
      </c>
      <c r="O11" s="299"/>
      <c r="P11" s="238"/>
      <c r="Q11" s="237">
        <v>0</v>
      </c>
      <c r="R11" s="237">
        <v>0</v>
      </c>
      <c r="S11" s="237">
        <v>0</v>
      </c>
      <c r="T11" s="297"/>
      <c r="U11" s="297"/>
      <c r="V11" s="297"/>
      <c r="W11" s="297"/>
      <c r="X11" s="297"/>
      <c r="Y11" s="297"/>
      <c r="Z11" s="297"/>
      <c r="AA11" s="342"/>
      <c r="AB11" s="499"/>
      <c r="AC11" s="500"/>
      <c r="AD11" s="416"/>
      <c r="AE11" s="316"/>
    </row>
    <row r="12" spans="1:31" s="73" customFormat="1">
      <c r="A12" s="235"/>
      <c r="B12" s="236" t="s">
        <v>90</v>
      </c>
      <c r="C12" s="237">
        <v>8274.625</v>
      </c>
      <c r="D12" s="238">
        <v>2940.1666666666665</v>
      </c>
      <c r="E12" s="238">
        <v>3825.5416666666665</v>
      </c>
      <c r="F12" s="238">
        <v>1661.0416666666665</v>
      </c>
      <c r="G12" s="238">
        <v>1708.8333333333333</v>
      </c>
      <c r="H12" s="238">
        <v>0</v>
      </c>
      <c r="I12" s="237">
        <v>18410.208333333332</v>
      </c>
      <c r="J12" s="237"/>
      <c r="K12" s="238">
        <v>0</v>
      </c>
      <c r="L12" s="238">
        <v>0</v>
      </c>
      <c r="M12" s="238">
        <v>0</v>
      </c>
      <c r="N12" s="237">
        <v>0</v>
      </c>
      <c r="O12" s="299"/>
      <c r="P12" s="238"/>
      <c r="Q12" s="237">
        <v>0</v>
      </c>
      <c r="R12" s="237">
        <v>0</v>
      </c>
      <c r="S12" s="237">
        <v>0</v>
      </c>
      <c r="T12" s="297"/>
      <c r="U12" s="297"/>
      <c r="V12" s="297"/>
      <c r="W12" s="297"/>
      <c r="X12" s="297"/>
      <c r="Y12" s="297"/>
      <c r="Z12" s="297"/>
      <c r="AA12" s="342"/>
      <c r="AB12" s="499"/>
      <c r="AC12" s="500"/>
      <c r="AD12" s="416"/>
      <c r="AE12" s="316"/>
    </row>
    <row r="13" spans="1:31" s="73" customFormat="1">
      <c r="A13" s="235"/>
      <c r="B13" s="239" t="s">
        <v>92</v>
      </c>
      <c r="C13" s="246">
        <v>2.6835435183892534E-2</v>
      </c>
      <c r="D13" s="247">
        <v>1.3996263831010098E-2</v>
      </c>
      <c r="E13" s="247">
        <v>1.0444180313435424E-2</v>
      </c>
      <c r="F13" s="247">
        <v>1.3061929811186408E-2</v>
      </c>
      <c r="G13" s="247">
        <v>3.0814859498315944E-2</v>
      </c>
      <c r="H13" s="247">
        <v>0</v>
      </c>
      <c r="I13" s="246">
        <v>2.0446105239819875E-2</v>
      </c>
      <c r="J13" s="246">
        <v>0</v>
      </c>
      <c r="K13" s="247">
        <v>0</v>
      </c>
      <c r="L13" s="247">
        <v>0</v>
      </c>
      <c r="M13" s="247">
        <v>0</v>
      </c>
      <c r="N13" s="246">
        <v>0</v>
      </c>
      <c r="O13" s="338">
        <v>0</v>
      </c>
      <c r="P13" s="247">
        <v>0</v>
      </c>
      <c r="Q13" s="246">
        <v>0</v>
      </c>
      <c r="R13" s="246">
        <v>0</v>
      </c>
      <c r="S13" s="246">
        <v>0</v>
      </c>
      <c r="T13" s="298">
        <v>0</v>
      </c>
      <c r="U13" s="298">
        <v>0</v>
      </c>
      <c r="V13" s="298">
        <v>0</v>
      </c>
      <c r="W13" s="298">
        <v>0</v>
      </c>
      <c r="X13" s="298">
        <v>0</v>
      </c>
      <c r="Y13" s="298">
        <v>0</v>
      </c>
      <c r="Z13" s="298">
        <v>0</v>
      </c>
      <c r="AA13" s="341">
        <v>0</v>
      </c>
      <c r="AB13" s="501"/>
      <c r="AC13" s="502"/>
      <c r="AD13" s="417"/>
      <c r="AE13" s="316"/>
    </row>
    <row r="14" spans="1:31" s="73" customFormat="1">
      <c r="A14" s="235"/>
      <c r="B14" s="236" t="s">
        <v>8</v>
      </c>
      <c r="C14" s="237">
        <v>56205.141666666663</v>
      </c>
      <c r="D14" s="238">
        <v>16613.150000000001</v>
      </c>
      <c r="E14" s="238">
        <v>32079.300000000003</v>
      </c>
      <c r="F14" s="238">
        <v>15306.025000000001</v>
      </c>
      <c r="G14" s="238">
        <v>5853.9833333333336</v>
      </c>
      <c r="H14" s="238">
        <v>2445.6999999999998</v>
      </c>
      <c r="I14" s="237">
        <v>128503.3</v>
      </c>
      <c r="J14" s="237"/>
      <c r="K14" s="238">
        <v>13491.366666666667</v>
      </c>
      <c r="L14" s="238">
        <v>38473.533333333333</v>
      </c>
      <c r="M14" s="238">
        <v>9679</v>
      </c>
      <c r="N14" s="237">
        <v>61643.9</v>
      </c>
      <c r="O14" s="299"/>
      <c r="P14" s="238"/>
      <c r="Q14" s="237">
        <v>1159.8</v>
      </c>
      <c r="R14" s="237">
        <v>1908.1999999999998</v>
      </c>
      <c r="S14" s="237">
        <v>3068</v>
      </c>
      <c r="T14" s="297"/>
      <c r="U14" s="297"/>
      <c r="V14" s="297"/>
      <c r="W14" s="297"/>
      <c r="X14" s="297"/>
      <c r="Y14" s="297"/>
      <c r="Z14" s="297"/>
      <c r="AA14" s="342"/>
      <c r="AB14" s="499"/>
      <c r="AC14" s="500"/>
      <c r="AD14" s="416"/>
      <c r="AE14" s="316"/>
    </row>
    <row r="15" spans="1:31" s="73" customFormat="1">
      <c r="A15" s="235"/>
      <c r="B15" s="236" t="s">
        <v>94</v>
      </c>
      <c r="C15" s="237">
        <v>58512.358333333337</v>
      </c>
      <c r="D15" s="238">
        <v>16841.033333333333</v>
      </c>
      <c r="E15" s="238">
        <v>32203.375</v>
      </c>
      <c r="F15" s="238">
        <v>15266.908333333333</v>
      </c>
      <c r="G15" s="238">
        <v>5844.7333333333336</v>
      </c>
      <c r="H15" s="238">
        <v>2347.1999999999998</v>
      </c>
      <c r="I15" s="237">
        <v>131015.60833333332</v>
      </c>
      <c r="J15" s="237"/>
      <c r="K15" s="238">
        <v>12914.266666666666</v>
      </c>
      <c r="L15" s="238">
        <v>37038.033333333333</v>
      </c>
      <c r="M15" s="238">
        <v>9762.0666666666675</v>
      </c>
      <c r="N15" s="237">
        <v>59714.366666666669</v>
      </c>
      <c r="O15" s="299"/>
      <c r="P15" s="238"/>
      <c r="Q15" s="237">
        <v>1202.9000000000001</v>
      </c>
      <c r="R15" s="237">
        <v>1774.5</v>
      </c>
      <c r="S15" s="237">
        <v>2977.4</v>
      </c>
      <c r="T15" s="297"/>
      <c r="U15" s="297"/>
      <c r="V15" s="297"/>
      <c r="W15" s="297"/>
      <c r="X15" s="297"/>
      <c r="Y15" s="297"/>
      <c r="Z15" s="297"/>
      <c r="AA15" s="342"/>
      <c r="AB15" s="499"/>
      <c r="AC15" s="500"/>
      <c r="AD15" s="416"/>
      <c r="AE15" s="316"/>
    </row>
    <row r="16" spans="1:31" s="73" customFormat="1">
      <c r="A16" s="240"/>
      <c r="B16" s="296" t="s">
        <v>96</v>
      </c>
      <c r="C16" s="246">
        <v>4.1049921737587314E-2</v>
      </c>
      <c r="D16" s="247">
        <v>1.3717045432884876E-2</v>
      </c>
      <c r="E16" s="247">
        <v>3.8677589598275861E-3</v>
      </c>
      <c r="F16" s="247">
        <v>-2.555638493120755E-3</v>
      </c>
      <c r="G16" s="247">
        <v>-1.5801206585829022E-3</v>
      </c>
      <c r="H16" s="247">
        <v>-4.027476796009323E-2</v>
      </c>
      <c r="I16" s="246">
        <v>1.9550535537479416E-2</v>
      </c>
      <c r="J16" s="246">
        <v>0</v>
      </c>
      <c r="K16" s="247">
        <v>-4.2775503346584635E-2</v>
      </c>
      <c r="L16" s="247">
        <v>-3.7311363829333762E-2</v>
      </c>
      <c r="M16" s="247">
        <v>8.5821538037676951E-3</v>
      </c>
      <c r="N16" s="246">
        <v>-3.1301285826064423E-2</v>
      </c>
      <c r="O16" s="338">
        <v>0</v>
      </c>
      <c r="P16" s="247">
        <v>0</v>
      </c>
      <c r="Q16" s="246">
        <v>3.7161579582686788E-2</v>
      </c>
      <c r="R16" s="246">
        <v>-7.0066030814379954E-2</v>
      </c>
      <c r="S16" s="246">
        <v>-2.9530638852672722E-2</v>
      </c>
      <c r="T16" s="298">
        <v>0</v>
      </c>
      <c r="U16" s="298">
        <v>0</v>
      </c>
      <c r="V16" s="298">
        <v>0</v>
      </c>
      <c r="W16" s="298">
        <v>0</v>
      </c>
      <c r="X16" s="298">
        <v>0</v>
      </c>
      <c r="Y16" s="298">
        <v>0</v>
      </c>
      <c r="Z16" s="298">
        <v>0</v>
      </c>
      <c r="AA16" s="341">
        <v>0</v>
      </c>
      <c r="AB16" s="499"/>
      <c r="AC16" s="500"/>
      <c r="AD16" s="417"/>
      <c r="AE16" s="316"/>
    </row>
    <row r="17" spans="1:31" s="73" customFormat="1">
      <c r="A17" s="324" t="s">
        <v>238</v>
      </c>
      <c r="B17" s="322" t="s">
        <v>86</v>
      </c>
      <c r="C17" s="319">
        <v>20712.566666666666</v>
      </c>
      <c r="D17" s="323">
        <v>7197.166666666667</v>
      </c>
      <c r="E17" s="323">
        <v>25647.833333333336</v>
      </c>
      <c r="F17" s="323">
        <v>5882.7666666666664</v>
      </c>
      <c r="G17" s="323">
        <v>2315.1999999999998</v>
      </c>
      <c r="H17" s="323">
        <v>8023.666666666667</v>
      </c>
      <c r="I17" s="319">
        <v>69779.199999999997</v>
      </c>
      <c r="J17" s="319"/>
      <c r="K17" s="323">
        <v>12110.966666666667</v>
      </c>
      <c r="L17" s="323">
        <v>5105.6333333333332</v>
      </c>
      <c r="M17" s="323">
        <v>20364.599999999999</v>
      </c>
      <c r="N17" s="319">
        <v>37581.199999999997</v>
      </c>
      <c r="O17" s="319"/>
      <c r="P17" s="323"/>
      <c r="Q17" s="319"/>
      <c r="R17" s="319"/>
      <c r="S17" s="319"/>
      <c r="T17" s="331"/>
      <c r="U17" s="331"/>
      <c r="V17" s="331"/>
      <c r="W17" s="331"/>
      <c r="X17" s="331"/>
      <c r="Y17" s="331"/>
      <c r="Z17" s="331"/>
      <c r="AA17" s="339"/>
      <c r="AB17" s="494"/>
      <c r="AC17" s="497"/>
      <c r="AD17" s="416"/>
      <c r="AE17" s="316"/>
    </row>
    <row r="18" spans="1:31" s="73" customFormat="1">
      <c r="A18" s="235"/>
      <c r="B18" s="236" t="s">
        <v>84</v>
      </c>
      <c r="C18" s="237">
        <v>20970.033333333333</v>
      </c>
      <c r="D18" s="238">
        <v>7088.8666666666668</v>
      </c>
      <c r="E18" s="238">
        <v>25630.266666666666</v>
      </c>
      <c r="F18" s="238">
        <v>5846.1333333333332</v>
      </c>
      <c r="G18" s="238">
        <v>2271.8333333333335</v>
      </c>
      <c r="H18" s="238">
        <v>7900.333333333333</v>
      </c>
      <c r="I18" s="237">
        <v>69707.466666666674</v>
      </c>
      <c r="J18" s="237"/>
      <c r="K18" s="238">
        <v>10656.633333333333</v>
      </c>
      <c r="L18" s="238">
        <v>4918.666666666667</v>
      </c>
      <c r="M18" s="238">
        <v>19247.333333333336</v>
      </c>
      <c r="N18" s="237">
        <v>34822.633333333331</v>
      </c>
      <c r="O18" s="237"/>
      <c r="P18" s="238"/>
      <c r="Q18" s="237"/>
      <c r="R18" s="237"/>
      <c r="S18" s="237"/>
      <c r="T18" s="297"/>
      <c r="U18" s="297"/>
      <c r="V18" s="297"/>
      <c r="W18" s="297"/>
      <c r="X18" s="297"/>
      <c r="Y18" s="297"/>
      <c r="Z18" s="297"/>
      <c r="AA18" s="340"/>
      <c r="AB18" s="499"/>
      <c r="AC18" s="500"/>
      <c r="AD18" s="416"/>
      <c r="AE18" s="316"/>
    </row>
    <row r="19" spans="1:31" s="73" customFormat="1">
      <c r="A19" s="235"/>
      <c r="B19" s="239" t="s">
        <v>98</v>
      </c>
      <c r="C19" s="246">
        <v>1.243045687239794E-2</v>
      </c>
      <c r="D19" s="247">
        <v>-1.5047588171271126E-2</v>
      </c>
      <c r="E19" s="247">
        <v>-6.8491815423015585E-4</v>
      </c>
      <c r="F19" s="247">
        <v>-6.2272286849158068E-3</v>
      </c>
      <c r="G19" s="247">
        <v>-1.8731283114489607E-2</v>
      </c>
      <c r="H19" s="247">
        <v>-1.5371193552407536E-2</v>
      </c>
      <c r="I19" s="246">
        <v>-1.0280045247483872E-3</v>
      </c>
      <c r="J19" s="246">
        <v>0</v>
      </c>
      <c r="K19" s="458">
        <v>-0.12008400100184685</v>
      </c>
      <c r="L19" s="247">
        <v>-3.6619681528246496E-2</v>
      </c>
      <c r="M19" s="247">
        <v>-5.486317760558336E-2</v>
      </c>
      <c r="N19" s="246">
        <v>-7.340283616985796E-2</v>
      </c>
      <c r="O19" s="338">
        <v>0</v>
      </c>
      <c r="P19" s="247">
        <v>0</v>
      </c>
      <c r="Q19" s="246">
        <v>0</v>
      </c>
      <c r="R19" s="246">
        <v>0</v>
      </c>
      <c r="S19" s="246">
        <v>0</v>
      </c>
      <c r="T19" s="298">
        <v>0</v>
      </c>
      <c r="U19" s="298">
        <v>0</v>
      </c>
      <c r="V19" s="298">
        <v>0</v>
      </c>
      <c r="W19" s="298">
        <v>0</v>
      </c>
      <c r="X19" s="298">
        <v>0</v>
      </c>
      <c r="Y19" s="298">
        <v>0</v>
      </c>
      <c r="Z19" s="298">
        <v>0</v>
      </c>
      <c r="AA19" s="341">
        <v>0</v>
      </c>
      <c r="AB19" s="501"/>
      <c r="AC19" s="502"/>
      <c r="AD19" s="417"/>
      <c r="AE19" s="316"/>
    </row>
    <row r="20" spans="1:31" s="73" customFormat="1">
      <c r="A20" s="235"/>
      <c r="B20" s="236" t="s">
        <v>82</v>
      </c>
      <c r="C20" s="237">
        <v>0</v>
      </c>
      <c r="D20" s="238">
        <v>0</v>
      </c>
      <c r="E20" s="238">
        <v>0</v>
      </c>
      <c r="F20" s="238">
        <v>0</v>
      </c>
      <c r="G20" s="238">
        <v>0</v>
      </c>
      <c r="H20" s="238">
        <v>0</v>
      </c>
      <c r="I20" s="237">
        <v>0</v>
      </c>
      <c r="J20" s="237"/>
      <c r="K20" s="238">
        <v>0</v>
      </c>
      <c r="L20" s="238">
        <v>0</v>
      </c>
      <c r="M20" s="238">
        <v>0</v>
      </c>
      <c r="N20" s="237">
        <v>0</v>
      </c>
      <c r="O20" s="299"/>
      <c r="P20" s="238"/>
      <c r="Q20" s="237"/>
      <c r="R20" s="237"/>
      <c r="S20" s="237"/>
      <c r="T20" s="297"/>
      <c r="U20" s="297"/>
      <c r="V20" s="297"/>
      <c r="W20" s="297"/>
      <c r="X20" s="297"/>
      <c r="Y20" s="297"/>
      <c r="Z20" s="297"/>
      <c r="AA20" s="342"/>
      <c r="AB20" s="499"/>
      <c r="AC20" s="500"/>
      <c r="AD20" s="416"/>
      <c r="AE20" s="316"/>
    </row>
    <row r="21" spans="1:31" s="73" customFormat="1">
      <c r="A21" s="235"/>
      <c r="B21" s="236" t="s">
        <v>80</v>
      </c>
      <c r="C21" s="237">
        <v>0</v>
      </c>
      <c r="D21" s="238">
        <v>0</v>
      </c>
      <c r="E21" s="238">
        <v>0</v>
      </c>
      <c r="F21" s="238">
        <v>0</v>
      </c>
      <c r="G21" s="238">
        <v>0</v>
      </c>
      <c r="H21" s="238">
        <v>0</v>
      </c>
      <c r="I21" s="237">
        <v>0</v>
      </c>
      <c r="J21" s="237"/>
      <c r="K21" s="238">
        <v>0</v>
      </c>
      <c r="L21" s="238">
        <v>0</v>
      </c>
      <c r="M21" s="238">
        <v>0</v>
      </c>
      <c r="N21" s="237">
        <v>0</v>
      </c>
      <c r="O21" s="299"/>
      <c r="P21" s="238"/>
      <c r="Q21" s="237"/>
      <c r="R21" s="237"/>
      <c r="S21" s="237"/>
      <c r="T21" s="297"/>
      <c r="U21" s="297"/>
      <c r="V21" s="297"/>
      <c r="W21" s="297"/>
      <c r="X21" s="297"/>
      <c r="Y21" s="297"/>
      <c r="Z21" s="297"/>
      <c r="AA21" s="342"/>
      <c r="AB21" s="499"/>
      <c r="AC21" s="500"/>
      <c r="AD21" s="416"/>
      <c r="AE21" s="316"/>
    </row>
    <row r="22" spans="1:31" s="73" customFormat="1">
      <c r="A22" s="235"/>
      <c r="B22" s="239" t="s">
        <v>100</v>
      </c>
      <c r="C22" s="246">
        <v>0</v>
      </c>
      <c r="D22" s="247">
        <v>0</v>
      </c>
      <c r="E22" s="247">
        <v>0</v>
      </c>
      <c r="F22" s="247">
        <v>0</v>
      </c>
      <c r="G22" s="247">
        <v>0</v>
      </c>
      <c r="H22" s="247">
        <v>0</v>
      </c>
      <c r="I22" s="246">
        <v>0</v>
      </c>
      <c r="J22" s="246">
        <v>0</v>
      </c>
      <c r="K22" s="247">
        <v>0</v>
      </c>
      <c r="L22" s="247">
        <v>0</v>
      </c>
      <c r="M22" s="247">
        <v>0</v>
      </c>
      <c r="N22" s="246">
        <v>0</v>
      </c>
      <c r="O22" s="338">
        <v>0</v>
      </c>
      <c r="P22" s="247">
        <v>0</v>
      </c>
      <c r="Q22" s="246">
        <v>0</v>
      </c>
      <c r="R22" s="246">
        <v>0</v>
      </c>
      <c r="S22" s="246">
        <v>0</v>
      </c>
      <c r="T22" s="298">
        <v>0</v>
      </c>
      <c r="U22" s="298">
        <v>0</v>
      </c>
      <c r="V22" s="298">
        <v>0</v>
      </c>
      <c r="W22" s="298">
        <v>0</v>
      </c>
      <c r="X22" s="298">
        <v>0</v>
      </c>
      <c r="Y22" s="298">
        <v>0</v>
      </c>
      <c r="Z22" s="298">
        <v>0</v>
      </c>
      <c r="AA22" s="341">
        <v>0</v>
      </c>
      <c r="AB22" s="501"/>
      <c r="AC22" s="502"/>
      <c r="AD22" s="417"/>
      <c r="AE22" s="316"/>
    </row>
    <row r="23" spans="1:31" s="73" customFormat="1">
      <c r="A23" s="235"/>
      <c r="B23" s="236" t="s">
        <v>88</v>
      </c>
      <c r="C23" s="237">
        <v>3313.9166666666665</v>
      </c>
      <c r="D23" s="238">
        <v>1780.7083333333333</v>
      </c>
      <c r="E23" s="238">
        <v>5225.125</v>
      </c>
      <c r="F23" s="238">
        <v>665.875</v>
      </c>
      <c r="G23" s="238">
        <v>141.95833333333334</v>
      </c>
      <c r="H23" s="238">
        <v>62.666666666666664</v>
      </c>
      <c r="I23" s="237">
        <v>11190.25</v>
      </c>
      <c r="J23" s="237"/>
      <c r="K23" s="238">
        <v>0</v>
      </c>
      <c r="L23" s="238">
        <v>0</v>
      </c>
      <c r="M23" s="238">
        <v>0</v>
      </c>
      <c r="N23" s="237">
        <v>0</v>
      </c>
      <c r="O23" s="299"/>
      <c r="P23" s="238"/>
      <c r="Q23" s="237"/>
      <c r="R23" s="237"/>
      <c r="S23" s="237"/>
      <c r="T23" s="297"/>
      <c r="U23" s="297"/>
      <c r="V23" s="297"/>
      <c r="W23" s="297"/>
      <c r="X23" s="297"/>
      <c r="Y23" s="297"/>
      <c r="Z23" s="297"/>
      <c r="AA23" s="342"/>
      <c r="AB23" s="499"/>
      <c r="AC23" s="500"/>
      <c r="AD23" s="416"/>
      <c r="AE23" s="316"/>
    </row>
    <row r="24" spans="1:31" s="73" customFormat="1">
      <c r="A24" s="235"/>
      <c r="B24" s="236" t="s">
        <v>90</v>
      </c>
      <c r="C24" s="237">
        <v>3343.125</v>
      </c>
      <c r="D24" s="238">
        <v>1799.5833333333333</v>
      </c>
      <c r="E24" s="238">
        <v>5578.0833333333339</v>
      </c>
      <c r="F24" s="238">
        <v>845.91666666666674</v>
      </c>
      <c r="G24" s="238">
        <v>146.25</v>
      </c>
      <c r="H24" s="238">
        <v>80.25</v>
      </c>
      <c r="I24" s="237">
        <v>11793.208333333334</v>
      </c>
      <c r="J24" s="237"/>
      <c r="K24" s="238">
        <v>0</v>
      </c>
      <c r="L24" s="238">
        <v>0</v>
      </c>
      <c r="M24" s="238">
        <v>0</v>
      </c>
      <c r="N24" s="237">
        <v>0</v>
      </c>
      <c r="O24" s="299"/>
      <c r="P24" s="238"/>
      <c r="Q24" s="237"/>
      <c r="R24" s="237"/>
      <c r="S24" s="237"/>
      <c r="T24" s="297"/>
      <c r="U24" s="297"/>
      <c r="V24" s="297"/>
      <c r="W24" s="297"/>
      <c r="X24" s="297"/>
      <c r="Y24" s="297"/>
      <c r="Z24" s="297"/>
      <c r="AA24" s="342"/>
      <c r="AB24" s="499"/>
      <c r="AC24" s="500"/>
      <c r="AD24" s="416"/>
      <c r="AE24" s="316"/>
    </row>
    <row r="25" spans="1:31" s="73" customFormat="1">
      <c r="A25" s="235"/>
      <c r="B25" s="239" t="s">
        <v>92</v>
      </c>
      <c r="C25" s="246">
        <v>8.8138406216209889E-3</v>
      </c>
      <c r="D25" s="247">
        <v>1.0599714533074386E-2</v>
      </c>
      <c r="E25" s="247">
        <v>6.7550218096855852E-2</v>
      </c>
      <c r="F25" s="458">
        <v>0.27038358050184608</v>
      </c>
      <c r="G25" s="247">
        <v>3.0231875550337472E-2</v>
      </c>
      <c r="H25" s="458">
        <v>0.28058510638297879</v>
      </c>
      <c r="I25" s="246">
        <v>5.3882472092521082E-2</v>
      </c>
      <c r="J25" s="246">
        <v>0</v>
      </c>
      <c r="K25" s="247">
        <v>0</v>
      </c>
      <c r="L25" s="247">
        <v>0</v>
      </c>
      <c r="M25" s="247">
        <v>0</v>
      </c>
      <c r="N25" s="246">
        <v>0</v>
      </c>
      <c r="O25" s="338">
        <v>0</v>
      </c>
      <c r="P25" s="247">
        <v>0</v>
      </c>
      <c r="Q25" s="246">
        <v>0</v>
      </c>
      <c r="R25" s="246">
        <v>0</v>
      </c>
      <c r="S25" s="246">
        <v>0</v>
      </c>
      <c r="T25" s="298">
        <v>0</v>
      </c>
      <c r="U25" s="298">
        <v>0</v>
      </c>
      <c r="V25" s="298">
        <v>0</v>
      </c>
      <c r="W25" s="298">
        <v>0</v>
      </c>
      <c r="X25" s="298">
        <v>0</v>
      </c>
      <c r="Y25" s="298">
        <v>0</v>
      </c>
      <c r="Z25" s="298">
        <v>0</v>
      </c>
      <c r="AA25" s="341">
        <v>0</v>
      </c>
      <c r="AB25" s="501"/>
      <c r="AC25" s="502"/>
      <c r="AD25" s="417"/>
      <c r="AE25" s="316"/>
    </row>
    <row r="26" spans="1:31" s="73" customFormat="1">
      <c r="A26" s="235"/>
      <c r="B26" s="236" t="s">
        <v>8</v>
      </c>
      <c r="C26" s="237">
        <v>24026.483333333334</v>
      </c>
      <c r="D26" s="238">
        <v>8977.875</v>
      </c>
      <c r="E26" s="238">
        <v>30872.958333333332</v>
      </c>
      <c r="F26" s="238">
        <v>6548.6416666666664</v>
      </c>
      <c r="G26" s="238">
        <v>2457.1583333333333</v>
      </c>
      <c r="H26" s="238">
        <v>8086.3333333333339</v>
      </c>
      <c r="I26" s="237">
        <v>80969.45</v>
      </c>
      <c r="J26" s="237"/>
      <c r="K26" s="238">
        <v>12110.966666666667</v>
      </c>
      <c r="L26" s="238">
        <v>5105.6333333333332</v>
      </c>
      <c r="M26" s="238">
        <v>20364.599999999999</v>
      </c>
      <c r="N26" s="237">
        <v>37581.199999999997</v>
      </c>
      <c r="O26" s="299"/>
      <c r="P26" s="238"/>
      <c r="Q26" s="237"/>
      <c r="R26" s="237"/>
      <c r="S26" s="237"/>
      <c r="T26" s="297"/>
      <c r="U26" s="297"/>
      <c r="V26" s="297"/>
      <c r="W26" s="297"/>
      <c r="X26" s="297"/>
      <c r="Y26" s="297"/>
      <c r="Z26" s="297"/>
      <c r="AA26" s="342"/>
      <c r="AB26" s="499"/>
      <c r="AC26" s="500"/>
      <c r="AD26" s="416"/>
      <c r="AE26" s="316"/>
    </row>
    <row r="27" spans="1:31" s="73" customFormat="1">
      <c r="A27" s="235"/>
      <c r="B27" s="236" t="s">
        <v>94</v>
      </c>
      <c r="C27" s="237">
        <v>24313.158333333333</v>
      </c>
      <c r="D27" s="238">
        <v>8888.4500000000007</v>
      </c>
      <c r="E27" s="238">
        <v>31208.35</v>
      </c>
      <c r="F27" s="238">
        <v>6692.0499999999993</v>
      </c>
      <c r="G27" s="238">
        <v>2418.0833333333335</v>
      </c>
      <c r="H27" s="238">
        <v>7980.583333333333</v>
      </c>
      <c r="I27" s="237">
        <v>81500.674999999988</v>
      </c>
      <c r="J27" s="237"/>
      <c r="K27" s="238">
        <v>10656.633333333333</v>
      </c>
      <c r="L27" s="238">
        <v>4918.666666666667</v>
      </c>
      <c r="M27" s="238">
        <v>19247.333333333336</v>
      </c>
      <c r="N27" s="237">
        <v>34822.633333333331</v>
      </c>
      <c r="O27" s="299"/>
      <c r="P27" s="238"/>
      <c r="Q27" s="237"/>
      <c r="R27" s="237"/>
      <c r="S27" s="237"/>
      <c r="T27" s="297"/>
      <c r="U27" s="297"/>
      <c r="V27" s="297"/>
      <c r="W27" s="297"/>
      <c r="X27" s="297"/>
      <c r="Y27" s="297"/>
      <c r="Z27" s="297"/>
      <c r="AA27" s="342"/>
      <c r="AB27" s="499"/>
      <c r="AC27" s="500"/>
      <c r="AD27" s="416"/>
      <c r="AE27" s="316"/>
    </row>
    <row r="28" spans="1:31" s="73" customFormat="1">
      <c r="A28" s="240"/>
      <c r="B28" s="296" t="s">
        <v>96</v>
      </c>
      <c r="C28" s="246">
        <v>1.1931625449417244E-2</v>
      </c>
      <c r="D28" s="247">
        <v>-9.9605975801622618E-3</v>
      </c>
      <c r="E28" s="247">
        <v>1.0863606365333192E-2</v>
      </c>
      <c r="F28" s="247">
        <v>2.1898943419564033E-2</v>
      </c>
      <c r="G28" s="247">
        <v>-1.5902516117873213E-2</v>
      </c>
      <c r="H28" s="247">
        <v>-1.3077620676862307E-2</v>
      </c>
      <c r="I28" s="246">
        <v>6.5608078108470684E-3</v>
      </c>
      <c r="J28" s="246">
        <v>0</v>
      </c>
      <c r="K28" s="458">
        <v>-0.12008400100184685</v>
      </c>
      <c r="L28" s="247">
        <v>-3.6619681528246496E-2</v>
      </c>
      <c r="M28" s="247">
        <v>-5.486317760558336E-2</v>
      </c>
      <c r="N28" s="246">
        <v>-7.340283616985796E-2</v>
      </c>
      <c r="O28" s="338">
        <v>0</v>
      </c>
      <c r="P28" s="247">
        <v>0</v>
      </c>
      <c r="Q28" s="246">
        <v>0</v>
      </c>
      <c r="R28" s="246">
        <v>0</v>
      </c>
      <c r="S28" s="246">
        <v>0</v>
      </c>
      <c r="T28" s="298">
        <v>0</v>
      </c>
      <c r="U28" s="298">
        <v>0</v>
      </c>
      <c r="V28" s="298">
        <v>0</v>
      </c>
      <c r="W28" s="298">
        <v>0</v>
      </c>
      <c r="X28" s="298">
        <v>0</v>
      </c>
      <c r="Y28" s="298">
        <v>0</v>
      </c>
      <c r="Z28" s="298">
        <v>0</v>
      </c>
      <c r="AA28" s="341">
        <v>0</v>
      </c>
      <c r="AB28" s="499"/>
      <c r="AC28" s="500"/>
      <c r="AD28" s="417"/>
      <c r="AE28" s="316"/>
    </row>
    <row r="29" spans="1:31" s="73" customFormat="1">
      <c r="A29" s="324" t="s">
        <v>246</v>
      </c>
      <c r="B29" s="322" t="s">
        <v>86</v>
      </c>
      <c r="C29" s="319">
        <v>18452.366666666665</v>
      </c>
      <c r="D29" s="323"/>
      <c r="E29" s="323">
        <v>3852.4666666666667</v>
      </c>
      <c r="F29" s="323"/>
      <c r="G29" s="323"/>
      <c r="H29" s="323"/>
      <c r="I29" s="319">
        <v>22304.833333333332</v>
      </c>
      <c r="J29" s="319"/>
      <c r="K29" s="323"/>
      <c r="L29" s="323">
        <v>9913.6</v>
      </c>
      <c r="M29" s="323"/>
      <c r="N29" s="319">
        <v>9913.6</v>
      </c>
      <c r="O29" s="319"/>
      <c r="P29" s="323"/>
      <c r="Q29" s="319"/>
      <c r="R29" s="319"/>
      <c r="S29" s="319"/>
      <c r="T29" s="331"/>
      <c r="U29" s="331"/>
      <c r="V29" s="331"/>
      <c r="W29" s="331"/>
      <c r="X29" s="331"/>
      <c r="Y29" s="331"/>
      <c r="Z29" s="331"/>
      <c r="AA29" s="339"/>
      <c r="AB29" s="494"/>
      <c r="AC29" s="497"/>
      <c r="AD29" s="416"/>
      <c r="AE29" s="316"/>
    </row>
    <row r="30" spans="1:31" s="73" customFormat="1">
      <c r="A30" s="235"/>
      <c r="B30" s="236" t="s">
        <v>84</v>
      </c>
      <c r="C30" s="237">
        <v>18911.099999999999</v>
      </c>
      <c r="D30" s="238"/>
      <c r="E30" s="238">
        <v>4065.0666666666666</v>
      </c>
      <c r="F30" s="238"/>
      <c r="G30" s="238"/>
      <c r="H30" s="238"/>
      <c r="I30" s="237">
        <v>22976.166666666664</v>
      </c>
      <c r="J30" s="237"/>
      <c r="K30" s="238"/>
      <c r="L30" s="238">
        <v>9102</v>
      </c>
      <c r="M30" s="238"/>
      <c r="N30" s="237">
        <v>9102</v>
      </c>
      <c r="O30" s="237"/>
      <c r="P30" s="238"/>
      <c r="Q30" s="237"/>
      <c r="R30" s="237"/>
      <c r="S30" s="237"/>
      <c r="T30" s="297"/>
      <c r="U30" s="297"/>
      <c r="V30" s="297"/>
      <c r="W30" s="297"/>
      <c r="X30" s="297"/>
      <c r="Y30" s="297"/>
      <c r="Z30" s="297"/>
      <c r="AA30" s="340"/>
      <c r="AB30" s="499"/>
      <c r="AC30" s="500"/>
      <c r="AD30" s="416"/>
      <c r="AE30" s="316"/>
    </row>
    <row r="31" spans="1:31" s="73" customFormat="1">
      <c r="A31" s="235"/>
      <c r="B31" s="239" t="s">
        <v>98</v>
      </c>
      <c r="C31" s="246">
        <v>2.4860406343540409E-2</v>
      </c>
      <c r="D31" s="247">
        <v>0</v>
      </c>
      <c r="E31" s="247">
        <v>5.5185422326820888E-2</v>
      </c>
      <c r="F31" s="247">
        <v>0</v>
      </c>
      <c r="G31" s="247">
        <v>0</v>
      </c>
      <c r="H31" s="247">
        <v>0</v>
      </c>
      <c r="I31" s="246">
        <v>3.009811027505244E-2</v>
      </c>
      <c r="J31" s="246">
        <v>0</v>
      </c>
      <c r="K31" s="247">
        <v>0</v>
      </c>
      <c r="L31" s="458">
        <v>-8.1867333763718561E-2</v>
      </c>
      <c r="M31" s="247">
        <v>0</v>
      </c>
      <c r="N31" s="457">
        <v>-8.1867333763718561E-2</v>
      </c>
      <c r="O31" s="338">
        <v>0</v>
      </c>
      <c r="P31" s="247">
        <v>0</v>
      </c>
      <c r="Q31" s="246">
        <v>0</v>
      </c>
      <c r="R31" s="246">
        <v>0</v>
      </c>
      <c r="S31" s="246">
        <v>0</v>
      </c>
      <c r="T31" s="298">
        <v>0</v>
      </c>
      <c r="U31" s="298">
        <v>0</v>
      </c>
      <c r="V31" s="298">
        <v>0</v>
      </c>
      <c r="W31" s="298">
        <v>0</v>
      </c>
      <c r="X31" s="298">
        <v>0</v>
      </c>
      <c r="Y31" s="298">
        <v>0</v>
      </c>
      <c r="Z31" s="298">
        <v>0</v>
      </c>
      <c r="AA31" s="341">
        <v>0</v>
      </c>
      <c r="AB31" s="501"/>
      <c r="AC31" s="502"/>
      <c r="AD31" s="417"/>
      <c r="AE31" s="316"/>
    </row>
    <row r="32" spans="1:31" s="73" customFormat="1">
      <c r="A32" s="235"/>
      <c r="B32" s="236" t="s">
        <v>82</v>
      </c>
      <c r="C32" s="237">
        <v>0</v>
      </c>
      <c r="D32" s="238"/>
      <c r="E32" s="238">
        <v>0</v>
      </c>
      <c r="F32" s="238"/>
      <c r="G32" s="238"/>
      <c r="H32" s="238"/>
      <c r="I32" s="237">
        <v>0</v>
      </c>
      <c r="J32" s="237"/>
      <c r="K32" s="238"/>
      <c r="L32" s="238">
        <v>0</v>
      </c>
      <c r="M32" s="238"/>
      <c r="N32" s="237">
        <v>0</v>
      </c>
      <c r="O32" s="299"/>
      <c r="P32" s="238"/>
      <c r="Q32" s="237"/>
      <c r="R32" s="237"/>
      <c r="S32" s="237"/>
      <c r="T32" s="297"/>
      <c r="U32" s="297"/>
      <c r="V32" s="297"/>
      <c r="W32" s="297"/>
      <c r="X32" s="297"/>
      <c r="Y32" s="297"/>
      <c r="Z32" s="297"/>
      <c r="AA32" s="342"/>
      <c r="AB32" s="499"/>
      <c r="AC32" s="500"/>
      <c r="AD32" s="416"/>
      <c r="AE32" s="316"/>
    </row>
    <row r="33" spans="1:31" s="73" customFormat="1">
      <c r="A33" s="235"/>
      <c r="B33" s="236" t="s">
        <v>80</v>
      </c>
      <c r="C33" s="237">
        <v>0</v>
      </c>
      <c r="D33" s="238"/>
      <c r="E33" s="238">
        <v>0</v>
      </c>
      <c r="F33" s="238"/>
      <c r="G33" s="238"/>
      <c r="H33" s="238"/>
      <c r="I33" s="237">
        <v>0</v>
      </c>
      <c r="J33" s="237"/>
      <c r="K33" s="238"/>
      <c r="L33" s="238">
        <v>0</v>
      </c>
      <c r="M33" s="238"/>
      <c r="N33" s="237">
        <v>0</v>
      </c>
      <c r="O33" s="299"/>
      <c r="P33" s="238"/>
      <c r="Q33" s="237"/>
      <c r="R33" s="237"/>
      <c r="S33" s="237"/>
      <c r="T33" s="297"/>
      <c r="U33" s="297"/>
      <c r="V33" s="297"/>
      <c r="W33" s="297"/>
      <c r="X33" s="297"/>
      <c r="Y33" s="297"/>
      <c r="Z33" s="297"/>
      <c r="AA33" s="342"/>
      <c r="AB33" s="499"/>
      <c r="AC33" s="500"/>
      <c r="AD33" s="416"/>
      <c r="AE33" s="316"/>
    </row>
    <row r="34" spans="1:31" s="73" customFormat="1">
      <c r="A34" s="235"/>
      <c r="B34" s="239" t="s">
        <v>100</v>
      </c>
      <c r="C34" s="246">
        <v>0</v>
      </c>
      <c r="D34" s="247">
        <v>0</v>
      </c>
      <c r="E34" s="247">
        <v>0</v>
      </c>
      <c r="F34" s="247">
        <v>0</v>
      </c>
      <c r="G34" s="247">
        <v>0</v>
      </c>
      <c r="H34" s="247">
        <v>0</v>
      </c>
      <c r="I34" s="246">
        <v>0</v>
      </c>
      <c r="J34" s="246">
        <v>0</v>
      </c>
      <c r="K34" s="247">
        <v>0</v>
      </c>
      <c r="L34" s="247">
        <v>0</v>
      </c>
      <c r="M34" s="247">
        <v>0</v>
      </c>
      <c r="N34" s="246">
        <v>0</v>
      </c>
      <c r="O34" s="338">
        <v>0</v>
      </c>
      <c r="P34" s="247">
        <v>0</v>
      </c>
      <c r="Q34" s="246">
        <v>0</v>
      </c>
      <c r="R34" s="246">
        <v>0</v>
      </c>
      <c r="S34" s="246">
        <v>0</v>
      </c>
      <c r="T34" s="298">
        <v>0</v>
      </c>
      <c r="U34" s="298">
        <v>0</v>
      </c>
      <c r="V34" s="298">
        <v>0</v>
      </c>
      <c r="W34" s="298">
        <v>0</v>
      </c>
      <c r="X34" s="298">
        <v>0</v>
      </c>
      <c r="Y34" s="298">
        <v>0</v>
      </c>
      <c r="Z34" s="298">
        <v>0</v>
      </c>
      <c r="AA34" s="341">
        <v>0</v>
      </c>
      <c r="AB34" s="501"/>
      <c r="AC34" s="502"/>
      <c r="AD34" s="417"/>
      <c r="AE34" s="316"/>
    </row>
    <row r="35" spans="1:31" s="73" customFormat="1">
      <c r="A35" s="235"/>
      <c r="B35" s="236" t="s">
        <v>88</v>
      </c>
      <c r="C35" s="237">
        <v>2010.2083333333333</v>
      </c>
      <c r="D35" s="238"/>
      <c r="E35" s="238">
        <v>249.70833333333334</v>
      </c>
      <c r="F35" s="238"/>
      <c r="G35" s="238"/>
      <c r="H35" s="238"/>
      <c r="I35" s="237">
        <v>2259.9166666666665</v>
      </c>
      <c r="J35" s="237"/>
      <c r="K35" s="238"/>
      <c r="L35" s="238">
        <v>0</v>
      </c>
      <c r="M35" s="238"/>
      <c r="N35" s="237">
        <v>0</v>
      </c>
      <c r="O35" s="299"/>
      <c r="P35" s="238"/>
      <c r="Q35" s="237"/>
      <c r="R35" s="237"/>
      <c r="S35" s="237"/>
      <c r="T35" s="297"/>
      <c r="U35" s="297"/>
      <c r="V35" s="297"/>
      <c r="W35" s="297"/>
      <c r="X35" s="297"/>
      <c r="Y35" s="297"/>
      <c r="Z35" s="297"/>
      <c r="AA35" s="342"/>
      <c r="AB35" s="499"/>
      <c r="AC35" s="500"/>
      <c r="AD35" s="416"/>
      <c r="AE35" s="316"/>
    </row>
    <row r="36" spans="1:31" s="73" customFormat="1">
      <c r="A36" s="235"/>
      <c r="B36" s="236" t="s">
        <v>90</v>
      </c>
      <c r="C36" s="237">
        <v>2254.4583333333335</v>
      </c>
      <c r="D36" s="238"/>
      <c r="E36" s="238">
        <v>228.20833333333334</v>
      </c>
      <c r="F36" s="238"/>
      <c r="G36" s="238"/>
      <c r="H36" s="238"/>
      <c r="I36" s="237">
        <v>2482.666666666667</v>
      </c>
      <c r="J36" s="237"/>
      <c r="K36" s="238"/>
      <c r="L36" s="238">
        <v>0</v>
      </c>
      <c r="M36" s="238"/>
      <c r="N36" s="237">
        <v>0</v>
      </c>
      <c r="O36" s="299"/>
      <c r="P36" s="238"/>
      <c r="Q36" s="237"/>
      <c r="R36" s="237"/>
      <c r="S36" s="237"/>
      <c r="T36" s="297"/>
      <c r="U36" s="297"/>
      <c r="V36" s="297"/>
      <c r="W36" s="297"/>
      <c r="X36" s="297"/>
      <c r="Y36" s="297"/>
      <c r="Z36" s="297"/>
      <c r="AA36" s="342"/>
      <c r="AB36" s="499"/>
      <c r="AC36" s="500"/>
      <c r="AD36" s="416"/>
      <c r="AE36" s="316"/>
    </row>
    <row r="37" spans="1:31" s="73" customFormat="1">
      <c r="A37" s="235"/>
      <c r="B37" s="239" t="s">
        <v>92</v>
      </c>
      <c r="C37" s="457">
        <v>0.12150481915224387</v>
      </c>
      <c r="D37" s="247">
        <v>0</v>
      </c>
      <c r="E37" s="458">
        <v>-8.6100450525613215E-2</v>
      </c>
      <c r="F37" s="247">
        <v>0</v>
      </c>
      <c r="G37" s="247">
        <v>0</v>
      </c>
      <c r="H37" s="247">
        <v>0</v>
      </c>
      <c r="I37" s="457">
        <v>9.8565581326745297E-2</v>
      </c>
      <c r="J37" s="246">
        <v>0</v>
      </c>
      <c r="K37" s="247">
        <v>0</v>
      </c>
      <c r="L37" s="247">
        <v>0</v>
      </c>
      <c r="M37" s="247">
        <v>0</v>
      </c>
      <c r="N37" s="246">
        <v>0</v>
      </c>
      <c r="O37" s="338">
        <v>0</v>
      </c>
      <c r="P37" s="247">
        <v>0</v>
      </c>
      <c r="Q37" s="246">
        <v>0</v>
      </c>
      <c r="R37" s="246">
        <v>0</v>
      </c>
      <c r="S37" s="246">
        <v>0</v>
      </c>
      <c r="T37" s="298">
        <v>0</v>
      </c>
      <c r="U37" s="298">
        <v>0</v>
      </c>
      <c r="V37" s="298">
        <v>0</v>
      </c>
      <c r="W37" s="298">
        <v>0</v>
      </c>
      <c r="X37" s="298">
        <v>0</v>
      </c>
      <c r="Y37" s="298">
        <v>0</v>
      </c>
      <c r="Z37" s="298">
        <v>0</v>
      </c>
      <c r="AA37" s="341">
        <v>0</v>
      </c>
      <c r="AB37" s="501"/>
      <c r="AC37" s="502"/>
      <c r="AD37" s="417"/>
      <c r="AE37" s="316"/>
    </row>
    <row r="38" spans="1:31" s="73" customFormat="1">
      <c r="A38" s="235"/>
      <c r="B38" s="236" t="s">
        <v>8</v>
      </c>
      <c r="C38" s="237">
        <v>20462.574999999997</v>
      </c>
      <c r="D38" s="238"/>
      <c r="E38" s="238">
        <v>4102.1750000000002</v>
      </c>
      <c r="F38" s="238"/>
      <c r="G38" s="238"/>
      <c r="H38" s="238"/>
      <c r="I38" s="237">
        <v>24564.749999999996</v>
      </c>
      <c r="J38" s="237"/>
      <c r="K38" s="238"/>
      <c r="L38" s="238">
        <v>9913.6</v>
      </c>
      <c r="M38" s="238"/>
      <c r="N38" s="237">
        <v>9913.6</v>
      </c>
      <c r="O38" s="299"/>
      <c r="P38" s="238"/>
      <c r="Q38" s="237"/>
      <c r="R38" s="237"/>
      <c r="S38" s="237"/>
      <c r="T38" s="297"/>
      <c r="U38" s="297"/>
      <c r="V38" s="297"/>
      <c r="W38" s="297"/>
      <c r="X38" s="297"/>
      <c r="Y38" s="297"/>
      <c r="Z38" s="297"/>
      <c r="AA38" s="342"/>
      <c r="AB38" s="499"/>
      <c r="AC38" s="500"/>
      <c r="AD38" s="416"/>
      <c r="AE38" s="316"/>
    </row>
    <row r="39" spans="1:31" s="73" customFormat="1">
      <c r="A39" s="235"/>
      <c r="B39" s="236" t="s">
        <v>94</v>
      </c>
      <c r="C39" s="237">
        <v>21165.558333333331</v>
      </c>
      <c r="D39" s="238"/>
      <c r="E39" s="238">
        <v>4293.2749999999996</v>
      </c>
      <c r="F39" s="238"/>
      <c r="G39" s="238"/>
      <c r="H39" s="238"/>
      <c r="I39" s="237">
        <v>25458.833333333328</v>
      </c>
      <c r="J39" s="237"/>
      <c r="K39" s="238"/>
      <c r="L39" s="238">
        <v>9102</v>
      </c>
      <c r="M39" s="238"/>
      <c r="N39" s="237">
        <v>9102</v>
      </c>
      <c r="O39" s="299"/>
      <c r="P39" s="238"/>
      <c r="Q39" s="237"/>
      <c r="R39" s="237"/>
      <c r="S39" s="237"/>
      <c r="T39" s="297"/>
      <c r="U39" s="297"/>
      <c r="V39" s="297"/>
      <c r="W39" s="297"/>
      <c r="X39" s="297"/>
      <c r="Y39" s="297"/>
      <c r="Z39" s="297"/>
      <c r="AA39" s="342"/>
      <c r="AB39" s="499"/>
      <c r="AC39" s="500"/>
      <c r="AD39" s="416"/>
      <c r="AE39" s="316"/>
    </row>
    <row r="40" spans="1:31" s="73" customFormat="1">
      <c r="A40" s="240"/>
      <c r="B40" s="296" t="s">
        <v>96</v>
      </c>
      <c r="C40" s="246">
        <v>3.4354587989699911E-2</v>
      </c>
      <c r="D40" s="247">
        <v>0</v>
      </c>
      <c r="E40" s="247">
        <v>4.6585043300200371E-2</v>
      </c>
      <c r="F40" s="247">
        <v>0</v>
      </c>
      <c r="G40" s="247">
        <v>0</v>
      </c>
      <c r="H40" s="247">
        <v>0</v>
      </c>
      <c r="I40" s="246">
        <v>3.639700519375659E-2</v>
      </c>
      <c r="J40" s="246">
        <v>0</v>
      </c>
      <c r="K40" s="247">
        <v>0</v>
      </c>
      <c r="L40" s="458">
        <v>-8.1867333763718561E-2</v>
      </c>
      <c r="M40" s="247">
        <v>0</v>
      </c>
      <c r="N40" s="457">
        <v>-8.1867333763718561E-2</v>
      </c>
      <c r="O40" s="338">
        <v>0</v>
      </c>
      <c r="P40" s="247">
        <v>0</v>
      </c>
      <c r="Q40" s="246">
        <v>0</v>
      </c>
      <c r="R40" s="246">
        <v>0</v>
      </c>
      <c r="S40" s="246">
        <v>0</v>
      </c>
      <c r="T40" s="298">
        <v>0</v>
      </c>
      <c r="U40" s="298">
        <v>0</v>
      </c>
      <c r="V40" s="298">
        <v>0</v>
      </c>
      <c r="W40" s="298">
        <v>0</v>
      </c>
      <c r="X40" s="298">
        <v>0</v>
      </c>
      <c r="Y40" s="298">
        <v>0</v>
      </c>
      <c r="Z40" s="298">
        <v>0</v>
      </c>
      <c r="AA40" s="341">
        <v>0</v>
      </c>
      <c r="AB40" s="499"/>
      <c r="AC40" s="500"/>
      <c r="AD40" s="417"/>
      <c r="AE40" s="316"/>
    </row>
    <row r="41" spans="1:31" s="73" customFormat="1">
      <c r="A41" s="324" t="s">
        <v>245</v>
      </c>
      <c r="B41" s="322" t="s">
        <v>86</v>
      </c>
      <c r="C41" s="319">
        <v>200232.78333333333</v>
      </c>
      <c r="D41" s="323"/>
      <c r="E41" s="323">
        <v>29244.666666666668</v>
      </c>
      <c r="F41" s="323">
        <v>11217.1</v>
      </c>
      <c r="G41" s="323"/>
      <c r="H41" s="323">
        <v>921.33333333333337</v>
      </c>
      <c r="I41" s="319">
        <v>241615.88333333333</v>
      </c>
      <c r="J41" s="319">
        <v>263723.26666666666</v>
      </c>
      <c r="K41" s="323">
        <v>45839.833333333336</v>
      </c>
      <c r="L41" s="323">
        <v>6120</v>
      </c>
      <c r="M41" s="323">
        <v>1409.6666666666665</v>
      </c>
      <c r="N41" s="319">
        <v>317092.76666666666</v>
      </c>
      <c r="O41" s="319"/>
      <c r="P41" s="323"/>
      <c r="Q41" s="319"/>
      <c r="R41" s="319"/>
      <c r="S41" s="319"/>
      <c r="T41" s="331"/>
      <c r="U41" s="331"/>
      <c r="V41" s="331"/>
      <c r="W41" s="331"/>
      <c r="X41" s="331"/>
      <c r="Y41" s="331"/>
      <c r="Z41" s="331"/>
      <c r="AA41" s="339"/>
      <c r="AB41" s="494"/>
      <c r="AC41" s="497"/>
      <c r="AD41" s="416"/>
      <c r="AE41" s="316"/>
    </row>
    <row r="42" spans="1:31" s="73" customFormat="1">
      <c r="A42" s="235"/>
      <c r="B42" s="236" t="s">
        <v>84</v>
      </c>
      <c r="C42" s="237">
        <v>203155.76666666666</v>
      </c>
      <c r="D42" s="238"/>
      <c r="E42" s="238">
        <v>28570.133333333331</v>
      </c>
      <c r="F42" s="238">
        <v>11631.4</v>
      </c>
      <c r="G42" s="238"/>
      <c r="H42" s="238">
        <v>974.93333333333317</v>
      </c>
      <c r="I42" s="237">
        <v>244332.23333333331</v>
      </c>
      <c r="J42" s="237">
        <v>258110.1333333333</v>
      </c>
      <c r="K42" s="238">
        <v>44959.166666666672</v>
      </c>
      <c r="L42" s="238">
        <v>6064.1333333333332</v>
      </c>
      <c r="M42" s="238">
        <v>1375</v>
      </c>
      <c r="N42" s="237">
        <v>310508.43333333335</v>
      </c>
      <c r="O42" s="237"/>
      <c r="P42" s="238"/>
      <c r="Q42" s="237"/>
      <c r="R42" s="237"/>
      <c r="S42" s="237"/>
      <c r="T42" s="297"/>
      <c r="U42" s="297"/>
      <c r="V42" s="297"/>
      <c r="W42" s="297"/>
      <c r="X42" s="297"/>
      <c r="Y42" s="297"/>
      <c r="Z42" s="297"/>
      <c r="AA42" s="340"/>
      <c r="AB42" s="499"/>
      <c r="AC42" s="500"/>
      <c r="AD42" s="416"/>
      <c r="AE42" s="316"/>
    </row>
    <row r="43" spans="1:31" s="73" customFormat="1">
      <c r="A43" s="235"/>
      <c r="B43" s="239" t="s">
        <v>98</v>
      </c>
      <c r="C43" s="246">
        <v>1.4597925897415919E-2</v>
      </c>
      <c r="D43" s="247">
        <v>0</v>
      </c>
      <c r="E43" s="247">
        <v>-2.3065174276791316E-2</v>
      </c>
      <c r="F43" s="247">
        <v>3.6934680086653349E-2</v>
      </c>
      <c r="G43" s="247">
        <v>0</v>
      </c>
      <c r="H43" s="247">
        <v>5.8176555716352885E-2</v>
      </c>
      <c r="I43" s="246">
        <v>1.1242431426796847E-2</v>
      </c>
      <c r="J43" s="246">
        <v>-2.1284179451743584E-2</v>
      </c>
      <c r="K43" s="247">
        <v>-1.9211820869040337E-2</v>
      </c>
      <c r="L43" s="247">
        <v>-9.1285403050109133E-3</v>
      </c>
      <c r="M43" s="247">
        <v>-2.4592102151808834E-2</v>
      </c>
      <c r="N43" s="246">
        <v>-2.0764691047825291E-2</v>
      </c>
      <c r="O43" s="338">
        <v>0</v>
      </c>
      <c r="P43" s="247">
        <v>0</v>
      </c>
      <c r="Q43" s="246">
        <v>0</v>
      </c>
      <c r="R43" s="246">
        <v>0</v>
      </c>
      <c r="S43" s="246">
        <v>0</v>
      </c>
      <c r="T43" s="298">
        <v>0</v>
      </c>
      <c r="U43" s="298">
        <v>0</v>
      </c>
      <c r="V43" s="298">
        <v>0</v>
      </c>
      <c r="W43" s="298">
        <v>0</v>
      </c>
      <c r="X43" s="298">
        <v>0</v>
      </c>
      <c r="Y43" s="298">
        <v>0</v>
      </c>
      <c r="Z43" s="298">
        <v>0</v>
      </c>
      <c r="AA43" s="341">
        <v>0</v>
      </c>
      <c r="AB43" s="501"/>
      <c r="AC43" s="502"/>
      <c r="AD43" s="417"/>
      <c r="AE43" s="316"/>
    </row>
    <row r="44" spans="1:31" s="73" customFormat="1">
      <c r="A44" s="235"/>
      <c r="B44" s="236" t="s">
        <v>82</v>
      </c>
      <c r="C44" s="237">
        <v>0</v>
      </c>
      <c r="D44" s="238"/>
      <c r="E44" s="238">
        <v>0</v>
      </c>
      <c r="F44" s="238">
        <v>0</v>
      </c>
      <c r="G44" s="238"/>
      <c r="H44" s="238">
        <v>0</v>
      </c>
      <c r="I44" s="237">
        <v>0</v>
      </c>
      <c r="J44" s="237">
        <v>16526.211111111112</v>
      </c>
      <c r="K44" s="238">
        <v>3246.0144444444445</v>
      </c>
      <c r="L44" s="238">
        <v>926.08888888888896</v>
      </c>
      <c r="M44" s="238">
        <v>115.72555555555556</v>
      </c>
      <c r="N44" s="237">
        <v>20814.04</v>
      </c>
      <c r="O44" s="299"/>
      <c r="P44" s="238"/>
      <c r="Q44" s="237"/>
      <c r="R44" s="237"/>
      <c r="S44" s="237"/>
      <c r="T44" s="297"/>
      <c r="U44" s="297"/>
      <c r="V44" s="297"/>
      <c r="W44" s="297"/>
      <c r="X44" s="297"/>
      <c r="Y44" s="297"/>
      <c r="Z44" s="297"/>
      <c r="AA44" s="342"/>
      <c r="AB44" s="499"/>
      <c r="AC44" s="500"/>
      <c r="AD44" s="416"/>
      <c r="AE44" s="316"/>
    </row>
    <row r="45" spans="1:31" s="73" customFormat="1">
      <c r="A45" s="235"/>
      <c r="B45" s="236" t="s">
        <v>80</v>
      </c>
      <c r="C45" s="237">
        <v>0</v>
      </c>
      <c r="D45" s="238"/>
      <c r="E45" s="238">
        <v>0</v>
      </c>
      <c r="F45" s="238">
        <v>0</v>
      </c>
      <c r="G45" s="238"/>
      <c r="H45" s="238">
        <v>0</v>
      </c>
      <c r="I45" s="237">
        <v>0</v>
      </c>
      <c r="J45" s="237">
        <v>16593.296666666669</v>
      </c>
      <c r="K45" s="238">
        <v>3179.7666666666669</v>
      </c>
      <c r="L45" s="238">
        <v>932.18333333333328</v>
      </c>
      <c r="M45" s="238">
        <v>156.45333333333332</v>
      </c>
      <c r="N45" s="237">
        <v>20861.700000000004</v>
      </c>
      <c r="O45" s="299"/>
      <c r="P45" s="238"/>
      <c r="Q45" s="237"/>
      <c r="R45" s="237"/>
      <c r="S45" s="237"/>
      <c r="T45" s="297"/>
      <c r="U45" s="297"/>
      <c r="V45" s="297"/>
      <c r="W45" s="297"/>
      <c r="X45" s="297"/>
      <c r="Y45" s="297"/>
      <c r="Z45" s="297"/>
      <c r="AA45" s="342"/>
      <c r="AB45" s="499"/>
      <c r="AC45" s="500"/>
      <c r="AD45" s="416"/>
      <c r="AE45" s="316"/>
    </row>
    <row r="46" spans="1:31" s="73" customFormat="1">
      <c r="A46" s="235"/>
      <c r="B46" s="239" t="s">
        <v>100</v>
      </c>
      <c r="C46" s="246">
        <v>0</v>
      </c>
      <c r="D46" s="247">
        <v>0</v>
      </c>
      <c r="E46" s="247">
        <v>0</v>
      </c>
      <c r="F46" s="247">
        <v>0</v>
      </c>
      <c r="G46" s="247">
        <v>0</v>
      </c>
      <c r="H46" s="247">
        <v>0</v>
      </c>
      <c r="I46" s="246">
        <v>0</v>
      </c>
      <c r="J46" s="246">
        <v>4.059342767953231E-3</v>
      </c>
      <c r="K46" s="247">
        <v>-2.0408959636997528E-2</v>
      </c>
      <c r="L46" s="247">
        <v>6.5808417718480209E-3</v>
      </c>
      <c r="M46" s="458">
        <v>0.35193417376359765</v>
      </c>
      <c r="N46" s="246">
        <v>2.2898005384824958E-3</v>
      </c>
      <c r="O46" s="338">
        <v>0</v>
      </c>
      <c r="P46" s="247">
        <v>0</v>
      </c>
      <c r="Q46" s="246">
        <v>0</v>
      </c>
      <c r="R46" s="246">
        <v>0</v>
      </c>
      <c r="S46" s="246">
        <v>0</v>
      </c>
      <c r="T46" s="298">
        <v>0</v>
      </c>
      <c r="U46" s="298">
        <v>0</v>
      </c>
      <c r="V46" s="298">
        <v>0</v>
      </c>
      <c r="W46" s="298">
        <v>0</v>
      </c>
      <c r="X46" s="298">
        <v>0</v>
      </c>
      <c r="Y46" s="298">
        <v>0</v>
      </c>
      <c r="Z46" s="298">
        <v>0</v>
      </c>
      <c r="AA46" s="341">
        <v>0</v>
      </c>
      <c r="AB46" s="501"/>
      <c r="AC46" s="502"/>
      <c r="AD46" s="417"/>
      <c r="AE46" s="316"/>
    </row>
    <row r="47" spans="1:31" s="73" customFormat="1">
      <c r="A47" s="235"/>
      <c r="B47" s="236" t="s">
        <v>88</v>
      </c>
      <c r="C47" s="237">
        <v>51011.020833333328</v>
      </c>
      <c r="D47" s="238"/>
      <c r="E47" s="238">
        <v>4800.625</v>
      </c>
      <c r="F47" s="238">
        <v>853.75</v>
      </c>
      <c r="G47" s="238"/>
      <c r="H47" s="238">
        <v>0</v>
      </c>
      <c r="I47" s="237">
        <v>56665.395833333328</v>
      </c>
      <c r="J47" s="237">
        <v>0</v>
      </c>
      <c r="K47" s="238">
        <v>0</v>
      </c>
      <c r="L47" s="238">
        <v>0</v>
      </c>
      <c r="M47" s="238">
        <v>0</v>
      </c>
      <c r="N47" s="237">
        <v>0</v>
      </c>
      <c r="O47" s="299"/>
      <c r="P47" s="238"/>
      <c r="Q47" s="237"/>
      <c r="R47" s="237"/>
      <c r="S47" s="237"/>
      <c r="T47" s="297"/>
      <c r="U47" s="297"/>
      <c r="V47" s="297"/>
      <c r="W47" s="297"/>
      <c r="X47" s="297"/>
      <c r="Y47" s="297"/>
      <c r="Z47" s="297"/>
      <c r="AA47" s="342"/>
      <c r="AB47" s="499"/>
      <c r="AC47" s="500"/>
      <c r="AD47" s="416"/>
      <c r="AE47" s="316"/>
    </row>
    <row r="48" spans="1:31" s="73" customFormat="1">
      <c r="A48" s="235"/>
      <c r="B48" s="236" t="s">
        <v>90</v>
      </c>
      <c r="C48" s="237">
        <v>46865.599999999999</v>
      </c>
      <c r="D48" s="238"/>
      <c r="E48" s="238">
        <v>4797</v>
      </c>
      <c r="F48" s="238">
        <v>825.5</v>
      </c>
      <c r="G48" s="238"/>
      <c r="H48" s="238">
        <v>0</v>
      </c>
      <c r="I48" s="237">
        <v>52488.1</v>
      </c>
      <c r="J48" s="237">
        <v>0</v>
      </c>
      <c r="K48" s="238">
        <v>0</v>
      </c>
      <c r="L48" s="238">
        <v>0</v>
      </c>
      <c r="M48" s="238">
        <v>0</v>
      </c>
      <c r="N48" s="237">
        <v>0</v>
      </c>
      <c r="O48" s="299"/>
      <c r="P48" s="238"/>
      <c r="Q48" s="237"/>
      <c r="R48" s="237"/>
      <c r="S48" s="237"/>
      <c r="T48" s="297"/>
      <c r="U48" s="297"/>
      <c r="V48" s="297"/>
      <c r="W48" s="297"/>
      <c r="X48" s="297"/>
      <c r="Y48" s="297"/>
      <c r="Z48" s="297"/>
      <c r="AA48" s="342"/>
      <c r="AB48" s="499"/>
      <c r="AC48" s="500"/>
      <c r="AD48" s="416"/>
      <c r="AE48" s="316"/>
    </row>
    <row r="49" spans="1:31" s="73" customFormat="1">
      <c r="A49" s="235"/>
      <c r="B49" s="239" t="s">
        <v>92</v>
      </c>
      <c r="C49" s="457">
        <v>-8.1265200453006628E-2</v>
      </c>
      <c r="D49" s="247">
        <v>0</v>
      </c>
      <c r="E49" s="247">
        <v>-7.5511001171722433E-4</v>
      </c>
      <c r="F49" s="247">
        <v>-3.3089311859443631E-2</v>
      </c>
      <c r="G49" s="247">
        <v>0</v>
      </c>
      <c r="H49" s="247">
        <v>0</v>
      </c>
      <c r="I49" s="457">
        <v>-7.3718638542996567E-2</v>
      </c>
      <c r="J49" s="246">
        <v>0</v>
      </c>
      <c r="K49" s="247">
        <v>0</v>
      </c>
      <c r="L49" s="247">
        <v>0</v>
      </c>
      <c r="M49" s="247">
        <v>0</v>
      </c>
      <c r="N49" s="246">
        <v>0</v>
      </c>
      <c r="O49" s="338">
        <v>0</v>
      </c>
      <c r="P49" s="247">
        <v>0</v>
      </c>
      <c r="Q49" s="246">
        <v>0</v>
      </c>
      <c r="R49" s="246">
        <v>0</v>
      </c>
      <c r="S49" s="246">
        <v>0</v>
      </c>
      <c r="T49" s="298">
        <v>0</v>
      </c>
      <c r="U49" s="298">
        <v>0</v>
      </c>
      <c r="V49" s="298">
        <v>0</v>
      </c>
      <c r="W49" s="298">
        <v>0</v>
      </c>
      <c r="X49" s="298">
        <v>0</v>
      </c>
      <c r="Y49" s="298">
        <v>0</v>
      </c>
      <c r="Z49" s="298">
        <v>0</v>
      </c>
      <c r="AA49" s="341">
        <v>0</v>
      </c>
      <c r="AB49" s="501"/>
      <c r="AC49" s="502"/>
      <c r="AD49" s="417"/>
      <c r="AE49" s="316"/>
    </row>
    <row r="50" spans="1:31" s="73" customFormat="1">
      <c r="A50" s="235"/>
      <c r="B50" s="236" t="s">
        <v>8</v>
      </c>
      <c r="C50" s="237">
        <v>251243.80416666667</v>
      </c>
      <c r="D50" s="238"/>
      <c r="E50" s="238">
        <v>34045.291666666664</v>
      </c>
      <c r="F50" s="238">
        <v>12070.85</v>
      </c>
      <c r="G50" s="238"/>
      <c r="H50" s="238">
        <v>921.33333333333337</v>
      </c>
      <c r="I50" s="237">
        <v>298281.27916666662</v>
      </c>
      <c r="J50" s="237">
        <v>280249.47777777776</v>
      </c>
      <c r="K50" s="238">
        <v>49085.847777777773</v>
      </c>
      <c r="L50" s="238">
        <v>7046.0888888888894</v>
      </c>
      <c r="M50" s="238">
        <v>1525.3922222222222</v>
      </c>
      <c r="N50" s="237">
        <v>337906.80666666664</v>
      </c>
      <c r="O50" s="299"/>
      <c r="P50" s="238"/>
      <c r="Q50" s="237"/>
      <c r="R50" s="237"/>
      <c r="S50" s="237"/>
      <c r="T50" s="297"/>
      <c r="U50" s="297"/>
      <c r="V50" s="297"/>
      <c r="W50" s="297"/>
      <c r="X50" s="297"/>
      <c r="Y50" s="297"/>
      <c r="Z50" s="297"/>
      <c r="AA50" s="342"/>
      <c r="AB50" s="499"/>
      <c r="AC50" s="500"/>
      <c r="AD50" s="416"/>
      <c r="AE50" s="316"/>
    </row>
    <row r="51" spans="1:31" s="73" customFormat="1">
      <c r="A51" s="235"/>
      <c r="B51" s="236" t="s">
        <v>94</v>
      </c>
      <c r="C51" s="237">
        <v>250021.36666666664</v>
      </c>
      <c r="D51" s="238"/>
      <c r="E51" s="238">
        <v>33367.133333333331</v>
      </c>
      <c r="F51" s="238">
        <v>12456.9</v>
      </c>
      <c r="G51" s="238"/>
      <c r="H51" s="238">
        <v>974.93333333333317</v>
      </c>
      <c r="I51" s="237">
        <v>296820.33333333337</v>
      </c>
      <c r="J51" s="237">
        <v>274703.43000000005</v>
      </c>
      <c r="K51" s="238">
        <v>48138.933333333327</v>
      </c>
      <c r="L51" s="238">
        <v>6996.3166666666675</v>
      </c>
      <c r="M51" s="238">
        <v>1531.4533333333334</v>
      </c>
      <c r="N51" s="237">
        <v>331370.13333333336</v>
      </c>
      <c r="O51" s="299"/>
      <c r="P51" s="238"/>
      <c r="Q51" s="237"/>
      <c r="R51" s="237"/>
      <c r="S51" s="237"/>
      <c r="T51" s="297"/>
      <c r="U51" s="297"/>
      <c r="V51" s="297"/>
      <c r="W51" s="297"/>
      <c r="X51" s="297"/>
      <c r="Y51" s="297"/>
      <c r="Z51" s="297"/>
      <c r="AA51" s="342"/>
      <c r="AB51" s="499"/>
      <c r="AC51" s="500"/>
      <c r="AD51" s="416"/>
      <c r="AE51" s="316"/>
    </row>
    <row r="52" spans="1:31" s="73" customFormat="1">
      <c r="A52" s="240"/>
      <c r="B52" s="296" t="s">
        <v>96</v>
      </c>
      <c r="C52" s="246">
        <v>-4.8655428700208076E-3</v>
      </c>
      <c r="D52" s="247">
        <v>0</v>
      </c>
      <c r="E52" s="247">
        <v>-1.9919298679332786E-2</v>
      </c>
      <c r="F52" s="247">
        <v>3.1982006238168749E-2</v>
      </c>
      <c r="G52" s="247">
        <v>0</v>
      </c>
      <c r="H52" s="247">
        <v>5.8176555716352885E-2</v>
      </c>
      <c r="I52" s="246">
        <v>-4.8978797375915399E-3</v>
      </c>
      <c r="J52" s="246">
        <v>-1.9789681043314626E-2</v>
      </c>
      <c r="K52" s="247">
        <v>-1.9290986859009391E-2</v>
      </c>
      <c r="L52" s="247">
        <v>-7.0638084485009347E-3</v>
      </c>
      <c r="M52" s="247">
        <v>3.9734771312005136E-3</v>
      </c>
      <c r="N52" s="246">
        <v>-1.934460390962613E-2</v>
      </c>
      <c r="O52" s="338">
        <v>0</v>
      </c>
      <c r="P52" s="247">
        <v>0</v>
      </c>
      <c r="Q52" s="246">
        <v>0</v>
      </c>
      <c r="R52" s="246">
        <v>0</v>
      </c>
      <c r="S52" s="246">
        <v>0</v>
      </c>
      <c r="T52" s="298">
        <v>0</v>
      </c>
      <c r="U52" s="298">
        <v>0</v>
      </c>
      <c r="V52" s="298">
        <v>0</v>
      </c>
      <c r="W52" s="298">
        <v>0</v>
      </c>
      <c r="X52" s="298">
        <v>0</v>
      </c>
      <c r="Y52" s="298">
        <v>0</v>
      </c>
      <c r="Z52" s="298">
        <v>0</v>
      </c>
      <c r="AA52" s="341">
        <v>0</v>
      </c>
      <c r="AB52" s="499"/>
      <c r="AC52" s="500"/>
      <c r="AD52" s="417"/>
      <c r="AE52" s="316"/>
    </row>
    <row r="53" spans="1:31" s="73" customFormat="1">
      <c r="A53" s="324" t="s">
        <v>142</v>
      </c>
      <c r="B53" s="322" t="s">
        <v>86</v>
      </c>
      <c r="C53" s="319">
        <v>47548.983333333337</v>
      </c>
      <c r="D53" s="323">
        <v>14295.033333333333</v>
      </c>
      <c r="E53" s="323">
        <v>58807.5</v>
      </c>
      <c r="F53" s="323">
        <v>45456.700000000004</v>
      </c>
      <c r="G53" s="323">
        <v>6611.6333333333332</v>
      </c>
      <c r="H53" s="323">
        <v>18904.800000000003</v>
      </c>
      <c r="I53" s="319">
        <v>191624.65000000002</v>
      </c>
      <c r="J53" s="319">
        <v>8365.9000000000015</v>
      </c>
      <c r="K53" s="323">
        <v>15378.033333333333</v>
      </c>
      <c r="L53" s="323">
        <v>17123.050000000003</v>
      </c>
      <c r="M53" s="323"/>
      <c r="N53" s="319">
        <v>40866.983333333337</v>
      </c>
      <c r="O53" s="319"/>
      <c r="P53" s="323"/>
      <c r="Q53" s="319">
        <v>71686.516666666663</v>
      </c>
      <c r="R53" s="319"/>
      <c r="S53" s="319">
        <v>71686.516666666663</v>
      </c>
      <c r="T53" s="331"/>
      <c r="U53" s="331"/>
      <c r="V53" s="331"/>
      <c r="W53" s="331"/>
      <c r="X53" s="331"/>
      <c r="Y53" s="331"/>
      <c r="Z53" s="331"/>
      <c r="AA53" s="339"/>
      <c r="AB53" s="494"/>
      <c r="AC53" s="497"/>
      <c r="AD53" s="416"/>
      <c r="AE53" s="316"/>
    </row>
    <row r="54" spans="1:31" s="73" customFormat="1">
      <c r="A54" s="235"/>
      <c r="B54" s="236" t="s">
        <v>84</v>
      </c>
      <c r="C54" s="237">
        <v>48074.95</v>
      </c>
      <c r="D54" s="238">
        <v>14453.966333333334</v>
      </c>
      <c r="E54" s="238">
        <v>61139.80000000001</v>
      </c>
      <c r="F54" s="238">
        <v>45588.066666666666</v>
      </c>
      <c r="G54" s="238">
        <v>6372.5666666666675</v>
      </c>
      <c r="H54" s="238">
        <v>19351.933333333331</v>
      </c>
      <c r="I54" s="237">
        <v>194981.283</v>
      </c>
      <c r="J54" s="237">
        <v>8397.2333333333336</v>
      </c>
      <c r="K54" s="238">
        <v>15173.966666666667</v>
      </c>
      <c r="L54" s="238">
        <v>16808.45</v>
      </c>
      <c r="M54" s="238"/>
      <c r="N54" s="237">
        <v>40379.65</v>
      </c>
      <c r="O54" s="237"/>
      <c r="P54" s="238"/>
      <c r="Q54" s="237">
        <v>67506.233333333323</v>
      </c>
      <c r="R54" s="237"/>
      <c r="S54" s="237">
        <v>67506.233333333323</v>
      </c>
      <c r="T54" s="297"/>
      <c r="U54" s="297"/>
      <c r="V54" s="297"/>
      <c r="W54" s="297"/>
      <c r="X54" s="297"/>
      <c r="Y54" s="297"/>
      <c r="Z54" s="297"/>
      <c r="AA54" s="340"/>
      <c r="AB54" s="499"/>
      <c r="AC54" s="500"/>
      <c r="AD54" s="416"/>
      <c r="AE54" s="316"/>
    </row>
    <row r="55" spans="1:31" s="73" customFormat="1">
      <c r="A55" s="235"/>
      <c r="B55" s="239" t="s">
        <v>98</v>
      </c>
      <c r="C55" s="246">
        <v>1.1061575449036796E-2</v>
      </c>
      <c r="D55" s="247">
        <v>1.1118057320607921E-2</v>
      </c>
      <c r="E55" s="247">
        <v>3.9659907324746169E-2</v>
      </c>
      <c r="F55" s="247">
        <v>2.8899296839995274E-3</v>
      </c>
      <c r="G55" s="247">
        <v>-3.6158488321090455E-2</v>
      </c>
      <c r="H55" s="247">
        <v>2.3651841507623866E-2</v>
      </c>
      <c r="I55" s="246">
        <v>1.7516707793073141E-2</v>
      </c>
      <c r="J55" s="246">
        <v>3.7453631209232855E-3</v>
      </c>
      <c r="K55" s="247">
        <v>-1.3270010686238533E-2</v>
      </c>
      <c r="L55" s="247">
        <v>-1.8372895015782945E-2</v>
      </c>
      <c r="M55" s="247">
        <v>0</v>
      </c>
      <c r="N55" s="246">
        <v>-1.1924866813837785E-2</v>
      </c>
      <c r="O55" s="338">
        <v>0</v>
      </c>
      <c r="P55" s="247">
        <v>0</v>
      </c>
      <c r="Q55" s="246">
        <v>-5.8313383432635382E-2</v>
      </c>
      <c r="R55" s="246">
        <v>0</v>
      </c>
      <c r="S55" s="246">
        <v>-5.8313383432635382E-2</v>
      </c>
      <c r="T55" s="298">
        <v>0</v>
      </c>
      <c r="U55" s="298">
        <v>0</v>
      </c>
      <c r="V55" s="298">
        <v>0</v>
      </c>
      <c r="W55" s="298">
        <v>0</v>
      </c>
      <c r="X55" s="298">
        <v>0</v>
      </c>
      <c r="Y55" s="298">
        <v>0</v>
      </c>
      <c r="Z55" s="298">
        <v>0</v>
      </c>
      <c r="AA55" s="341">
        <v>0</v>
      </c>
      <c r="AB55" s="501"/>
      <c r="AC55" s="502"/>
      <c r="AD55" s="417"/>
      <c r="AE55" s="316"/>
    </row>
    <row r="56" spans="1:31" s="73" customFormat="1">
      <c r="A56" s="235"/>
      <c r="B56" s="236" t="s">
        <v>82</v>
      </c>
      <c r="C56" s="237">
        <v>0</v>
      </c>
      <c r="D56" s="238">
        <v>0</v>
      </c>
      <c r="E56" s="238">
        <v>0</v>
      </c>
      <c r="F56" s="238">
        <v>0</v>
      </c>
      <c r="G56" s="238">
        <v>0</v>
      </c>
      <c r="H56" s="238">
        <v>0</v>
      </c>
      <c r="I56" s="237">
        <v>0</v>
      </c>
      <c r="J56" s="237">
        <v>0</v>
      </c>
      <c r="K56" s="238">
        <v>0</v>
      </c>
      <c r="L56" s="238">
        <v>0</v>
      </c>
      <c r="M56" s="238"/>
      <c r="N56" s="237">
        <v>0</v>
      </c>
      <c r="O56" s="299"/>
      <c r="P56" s="238"/>
      <c r="Q56" s="237">
        <v>0</v>
      </c>
      <c r="R56" s="237"/>
      <c r="S56" s="237">
        <v>0</v>
      </c>
      <c r="T56" s="297"/>
      <c r="U56" s="297"/>
      <c r="V56" s="297"/>
      <c r="W56" s="297"/>
      <c r="X56" s="297"/>
      <c r="Y56" s="297"/>
      <c r="Z56" s="297"/>
      <c r="AA56" s="342"/>
      <c r="AB56" s="499"/>
      <c r="AC56" s="500"/>
      <c r="AD56" s="416"/>
      <c r="AE56" s="316"/>
    </row>
    <row r="57" spans="1:31" s="73" customFormat="1">
      <c r="A57" s="235"/>
      <c r="B57" s="236" t="s">
        <v>80</v>
      </c>
      <c r="C57" s="237">
        <v>0</v>
      </c>
      <c r="D57" s="238">
        <v>0</v>
      </c>
      <c r="E57" s="238">
        <v>0</v>
      </c>
      <c r="F57" s="238">
        <v>0</v>
      </c>
      <c r="G57" s="238">
        <v>0</v>
      </c>
      <c r="H57" s="238">
        <v>0</v>
      </c>
      <c r="I57" s="237">
        <v>0</v>
      </c>
      <c r="J57" s="237">
        <v>0</v>
      </c>
      <c r="K57" s="238">
        <v>0</v>
      </c>
      <c r="L57" s="238">
        <v>0</v>
      </c>
      <c r="M57" s="238"/>
      <c r="N57" s="237">
        <v>0</v>
      </c>
      <c r="O57" s="299"/>
      <c r="P57" s="238"/>
      <c r="Q57" s="237">
        <v>0</v>
      </c>
      <c r="R57" s="237"/>
      <c r="S57" s="237">
        <v>0</v>
      </c>
      <c r="T57" s="297"/>
      <c r="U57" s="297"/>
      <c r="V57" s="297"/>
      <c r="W57" s="297"/>
      <c r="X57" s="297"/>
      <c r="Y57" s="297"/>
      <c r="Z57" s="297"/>
      <c r="AA57" s="342"/>
      <c r="AB57" s="499"/>
      <c r="AC57" s="500"/>
      <c r="AD57" s="416"/>
      <c r="AE57" s="316"/>
    </row>
    <row r="58" spans="1:31" s="73" customFormat="1">
      <c r="A58" s="235"/>
      <c r="B58" s="239" t="s">
        <v>100</v>
      </c>
      <c r="C58" s="246">
        <v>0</v>
      </c>
      <c r="D58" s="247">
        <v>0</v>
      </c>
      <c r="E58" s="247">
        <v>0</v>
      </c>
      <c r="F58" s="247">
        <v>0</v>
      </c>
      <c r="G58" s="247">
        <v>0</v>
      </c>
      <c r="H58" s="247">
        <v>0</v>
      </c>
      <c r="I58" s="246">
        <v>0</v>
      </c>
      <c r="J58" s="246">
        <v>0</v>
      </c>
      <c r="K58" s="247">
        <v>0</v>
      </c>
      <c r="L58" s="247">
        <v>0</v>
      </c>
      <c r="M58" s="247">
        <v>0</v>
      </c>
      <c r="N58" s="246">
        <v>0</v>
      </c>
      <c r="O58" s="338">
        <v>0</v>
      </c>
      <c r="P58" s="247">
        <v>0</v>
      </c>
      <c r="Q58" s="246">
        <v>0</v>
      </c>
      <c r="R58" s="246">
        <v>0</v>
      </c>
      <c r="S58" s="246">
        <v>0</v>
      </c>
      <c r="T58" s="298">
        <v>0</v>
      </c>
      <c r="U58" s="298">
        <v>0</v>
      </c>
      <c r="V58" s="298">
        <v>0</v>
      </c>
      <c r="W58" s="298">
        <v>0</v>
      </c>
      <c r="X58" s="298">
        <v>0</v>
      </c>
      <c r="Y58" s="298">
        <v>0</v>
      </c>
      <c r="Z58" s="298">
        <v>0</v>
      </c>
      <c r="AA58" s="341">
        <v>0</v>
      </c>
      <c r="AB58" s="501"/>
      <c r="AC58" s="502"/>
      <c r="AD58" s="417"/>
      <c r="AE58" s="316"/>
    </row>
    <row r="59" spans="1:31" s="73" customFormat="1">
      <c r="A59" s="235"/>
      <c r="B59" s="236" t="s">
        <v>88</v>
      </c>
      <c r="C59" s="237">
        <v>19717.916666666664</v>
      </c>
      <c r="D59" s="238">
        <v>10114.416666666666</v>
      </c>
      <c r="E59" s="238">
        <v>7104.5625</v>
      </c>
      <c r="F59" s="238">
        <v>5490.541666666667</v>
      </c>
      <c r="G59" s="238">
        <v>287.125</v>
      </c>
      <c r="H59" s="238">
        <v>0</v>
      </c>
      <c r="I59" s="237">
        <v>42714.562499999993</v>
      </c>
      <c r="J59" s="237">
        <v>0</v>
      </c>
      <c r="K59" s="238">
        <v>0</v>
      </c>
      <c r="L59" s="238">
        <v>0</v>
      </c>
      <c r="M59" s="238"/>
      <c r="N59" s="237">
        <v>0</v>
      </c>
      <c r="O59" s="299"/>
      <c r="P59" s="238"/>
      <c r="Q59" s="237">
        <v>0</v>
      </c>
      <c r="R59" s="237"/>
      <c r="S59" s="237">
        <v>0</v>
      </c>
      <c r="T59" s="297"/>
      <c r="U59" s="297"/>
      <c r="V59" s="297"/>
      <c r="W59" s="297"/>
      <c r="X59" s="297"/>
      <c r="Y59" s="297"/>
      <c r="Z59" s="297"/>
      <c r="AA59" s="342"/>
      <c r="AB59" s="499"/>
      <c r="AC59" s="500"/>
      <c r="AD59" s="416"/>
      <c r="AE59" s="316"/>
    </row>
    <row r="60" spans="1:31" s="73" customFormat="1">
      <c r="A60" s="235"/>
      <c r="B60" s="236" t="s">
        <v>90</v>
      </c>
      <c r="C60" s="237">
        <v>19973.966666666667</v>
      </c>
      <c r="D60" s="238">
        <v>10934.505833333335</v>
      </c>
      <c r="E60" s="238">
        <v>7280.875</v>
      </c>
      <c r="F60" s="238">
        <v>5607.6666666666661</v>
      </c>
      <c r="G60" s="238">
        <v>393.45833333333337</v>
      </c>
      <c r="H60" s="238">
        <v>0</v>
      </c>
      <c r="I60" s="237">
        <v>44190.472500000003</v>
      </c>
      <c r="J60" s="237">
        <v>0</v>
      </c>
      <c r="K60" s="238">
        <v>0</v>
      </c>
      <c r="L60" s="238">
        <v>0</v>
      </c>
      <c r="M60" s="238"/>
      <c r="N60" s="237">
        <v>0</v>
      </c>
      <c r="O60" s="299"/>
      <c r="P60" s="238"/>
      <c r="Q60" s="237">
        <v>0</v>
      </c>
      <c r="R60" s="237"/>
      <c r="S60" s="237">
        <v>0</v>
      </c>
      <c r="T60" s="297"/>
      <c r="U60" s="297"/>
      <c r="V60" s="297"/>
      <c r="W60" s="297"/>
      <c r="X60" s="297"/>
      <c r="Y60" s="297"/>
      <c r="Z60" s="297"/>
      <c r="AA60" s="342"/>
      <c r="AB60" s="499"/>
      <c r="AC60" s="500"/>
      <c r="AD60" s="416"/>
      <c r="AE60" s="316"/>
    </row>
    <row r="61" spans="1:31" s="73" customFormat="1">
      <c r="A61" s="235"/>
      <c r="B61" s="239" t="s">
        <v>92</v>
      </c>
      <c r="C61" s="246">
        <v>1.2985651797223486E-2</v>
      </c>
      <c r="D61" s="458">
        <v>8.1081212460761637E-2</v>
      </c>
      <c r="E61" s="247">
        <v>2.4816799063981772E-2</v>
      </c>
      <c r="F61" s="247">
        <v>2.133213936087042E-2</v>
      </c>
      <c r="G61" s="458">
        <v>0.37033812218836176</v>
      </c>
      <c r="H61" s="247">
        <v>0</v>
      </c>
      <c r="I61" s="246">
        <v>3.4552853022900822E-2</v>
      </c>
      <c r="J61" s="246">
        <v>0</v>
      </c>
      <c r="K61" s="247">
        <v>0</v>
      </c>
      <c r="L61" s="247">
        <v>0</v>
      </c>
      <c r="M61" s="247">
        <v>0</v>
      </c>
      <c r="N61" s="246">
        <v>0</v>
      </c>
      <c r="O61" s="338">
        <v>0</v>
      </c>
      <c r="P61" s="247">
        <v>0</v>
      </c>
      <c r="Q61" s="246">
        <v>0</v>
      </c>
      <c r="R61" s="246">
        <v>0</v>
      </c>
      <c r="S61" s="246">
        <v>0</v>
      </c>
      <c r="T61" s="298">
        <v>0</v>
      </c>
      <c r="U61" s="298">
        <v>0</v>
      </c>
      <c r="V61" s="298">
        <v>0</v>
      </c>
      <c r="W61" s="298">
        <v>0</v>
      </c>
      <c r="X61" s="298">
        <v>0</v>
      </c>
      <c r="Y61" s="298">
        <v>0</v>
      </c>
      <c r="Z61" s="298">
        <v>0</v>
      </c>
      <c r="AA61" s="341">
        <v>0</v>
      </c>
      <c r="AB61" s="501"/>
      <c r="AC61" s="502"/>
      <c r="AD61" s="417"/>
      <c r="AE61" s="316"/>
    </row>
    <row r="62" spans="1:31" s="73" customFormat="1">
      <c r="A62" s="235"/>
      <c r="B62" s="236" t="s">
        <v>8</v>
      </c>
      <c r="C62" s="237">
        <v>67266.899999999994</v>
      </c>
      <c r="D62" s="238">
        <v>24409.449999999997</v>
      </c>
      <c r="E62" s="238">
        <v>65912.0625</v>
      </c>
      <c r="F62" s="238">
        <v>50947.241666666661</v>
      </c>
      <c r="G62" s="238">
        <v>6898.7583333333332</v>
      </c>
      <c r="H62" s="238">
        <v>18904.800000000003</v>
      </c>
      <c r="I62" s="237">
        <v>234339.21249999997</v>
      </c>
      <c r="J62" s="237">
        <v>8365.9000000000015</v>
      </c>
      <c r="K62" s="238">
        <v>15378.033333333333</v>
      </c>
      <c r="L62" s="238">
        <v>17123.050000000003</v>
      </c>
      <c r="M62" s="238"/>
      <c r="N62" s="237">
        <v>40866.983333333337</v>
      </c>
      <c r="O62" s="299"/>
      <c r="P62" s="238"/>
      <c r="Q62" s="237">
        <v>71686.516666666663</v>
      </c>
      <c r="R62" s="237"/>
      <c r="S62" s="237">
        <v>71686.516666666663</v>
      </c>
      <c r="T62" s="297"/>
      <c r="U62" s="297"/>
      <c r="V62" s="297"/>
      <c r="W62" s="297"/>
      <c r="X62" s="297"/>
      <c r="Y62" s="297"/>
      <c r="Z62" s="297"/>
      <c r="AA62" s="342"/>
      <c r="AB62" s="499"/>
      <c r="AC62" s="500"/>
      <c r="AD62" s="416"/>
      <c r="AE62" s="316"/>
    </row>
    <row r="63" spans="1:31" s="73" customFormat="1">
      <c r="A63" s="235"/>
      <c r="B63" s="236" t="s">
        <v>94</v>
      </c>
      <c r="C63" s="237">
        <v>68048.916666666672</v>
      </c>
      <c r="D63" s="238">
        <v>25388.472166666666</v>
      </c>
      <c r="E63" s="238">
        <v>68420.675000000003</v>
      </c>
      <c r="F63" s="238">
        <v>51195.733333333337</v>
      </c>
      <c r="G63" s="238">
        <v>6766.0249999999996</v>
      </c>
      <c r="H63" s="238">
        <v>19351.933333333331</v>
      </c>
      <c r="I63" s="237">
        <v>239171.75549999997</v>
      </c>
      <c r="J63" s="237">
        <v>8397.2333333333336</v>
      </c>
      <c r="K63" s="238">
        <v>15173.966666666667</v>
      </c>
      <c r="L63" s="238">
        <v>16808.45</v>
      </c>
      <c r="M63" s="238"/>
      <c r="N63" s="237">
        <v>40379.65</v>
      </c>
      <c r="O63" s="299"/>
      <c r="P63" s="238"/>
      <c r="Q63" s="237">
        <v>67506.233333333323</v>
      </c>
      <c r="R63" s="237"/>
      <c r="S63" s="237">
        <v>67506.233333333323</v>
      </c>
      <c r="T63" s="297"/>
      <c r="U63" s="297"/>
      <c r="V63" s="297"/>
      <c r="W63" s="297"/>
      <c r="X63" s="297"/>
      <c r="Y63" s="297"/>
      <c r="Z63" s="297"/>
      <c r="AA63" s="342"/>
      <c r="AB63" s="499"/>
      <c r="AC63" s="500"/>
      <c r="AD63" s="416"/>
      <c r="AE63" s="316"/>
    </row>
    <row r="64" spans="1:31" s="73" customFormat="1">
      <c r="A64" s="240"/>
      <c r="B64" s="296" t="s">
        <v>96</v>
      </c>
      <c r="C64" s="246">
        <v>1.1625579098586041E-2</v>
      </c>
      <c r="D64" s="247">
        <v>4.0108325532392963E-2</v>
      </c>
      <c r="E64" s="247">
        <v>3.805999091592685E-2</v>
      </c>
      <c r="F64" s="247">
        <v>4.8774312119287304E-3</v>
      </c>
      <c r="G64" s="247">
        <v>-1.9240177278278373E-2</v>
      </c>
      <c r="H64" s="247">
        <v>2.3651841507623866E-2</v>
      </c>
      <c r="I64" s="246">
        <v>2.0621998975096985E-2</v>
      </c>
      <c r="J64" s="246">
        <v>3.7453631209232855E-3</v>
      </c>
      <c r="K64" s="247">
        <v>-1.3270010686238533E-2</v>
      </c>
      <c r="L64" s="247">
        <v>-1.8372895015782945E-2</v>
      </c>
      <c r="M64" s="247">
        <v>0</v>
      </c>
      <c r="N64" s="246">
        <v>-1.1924866813837785E-2</v>
      </c>
      <c r="O64" s="338">
        <v>0</v>
      </c>
      <c r="P64" s="247">
        <v>0</v>
      </c>
      <c r="Q64" s="246">
        <v>-5.8313383432635382E-2</v>
      </c>
      <c r="R64" s="246">
        <v>0</v>
      </c>
      <c r="S64" s="246">
        <v>-5.8313383432635382E-2</v>
      </c>
      <c r="T64" s="298">
        <v>0</v>
      </c>
      <c r="U64" s="298">
        <v>0</v>
      </c>
      <c r="V64" s="298">
        <v>0</v>
      </c>
      <c r="W64" s="298">
        <v>0</v>
      </c>
      <c r="X64" s="298">
        <v>0</v>
      </c>
      <c r="Y64" s="298">
        <v>0</v>
      </c>
      <c r="Z64" s="298">
        <v>0</v>
      </c>
      <c r="AA64" s="341">
        <v>0</v>
      </c>
      <c r="AB64" s="499"/>
      <c r="AC64" s="500"/>
      <c r="AD64" s="417"/>
      <c r="AE64" s="316"/>
    </row>
    <row r="65" spans="1:31" s="73" customFormat="1">
      <c r="A65" s="324" t="s">
        <v>219</v>
      </c>
      <c r="B65" s="322" t="s">
        <v>86</v>
      </c>
      <c r="C65" s="319">
        <v>33828.266666666663</v>
      </c>
      <c r="D65" s="323"/>
      <c r="E65" s="323">
        <v>51913.733333333337</v>
      </c>
      <c r="F65" s="323">
        <v>1571.4333333333334</v>
      </c>
      <c r="G65" s="323"/>
      <c r="H65" s="323"/>
      <c r="I65" s="319">
        <v>87313.433333333334</v>
      </c>
      <c r="J65" s="319"/>
      <c r="K65" s="323">
        <v>14732.5</v>
      </c>
      <c r="L65" s="323">
        <v>30483.166666666668</v>
      </c>
      <c r="M65" s="323">
        <v>1128.7666666666667</v>
      </c>
      <c r="N65" s="319">
        <v>46344.433333333342</v>
      </c>
      <c r="O65" s="319"/>
      <c r="P65" s="323"/>
      <c r="Q65" s="319">
        <v>5098.7333333333336</v>
      </c>
      <c r="R65" s="319"/>
      <c r="S65" s="319">
        <v>5098.7333333333336</v>
      </c>
      <c r="T65" s="331"/>
      <c r="U65" s="331"/>
      <c r="V65" s="331"/>
      <c r="W65" s="331"/>
      <c r="X65" s="331"/>
      <c r="Y65" s="331"/>
      <c r="Z65" s="331"/>
      <c r="AA65" s="339"/>
      <c r="AB65" s="494"/>
      <c r="AC65" s="497"/>
      <c r="AD65" s="416"/>
      <c r="AE65" s="316"/>
    </row>
    <row r="66" spans="1:31" s="73" customFormat="1">
      <c r="A66" s="235"/>
      <c r="B66" s="236" t="s">
        <v>84</v>
      </c>
      <c r="C66" s="237">
        <v>34419.1</v>
      </c>
      <c r="D66" s="238"/>
      <c r="E66" s="238">
        <v>51873.966666666674</v>
      </c>
      <c r="F66" s="238">
        <v>1371.8666666666666</v>
      </c>
      <c r="G66" s="238"/>
      <c r="H66" s="238"/>
      <c r="I66" s="237">
        <v>87664.933333333349</v>
      </c>
      <c r="J66" s="237"/>
      <c r="K66" s="238">
        <v>13931.1</v>
      </c>
      <c r="L66" s="238">
        <v>27879.033333333333</v>
      </c>
      <c r="M66" s="238">
        <v>978.36666666666667</v>
      </c>
      <c r="N66" s="237">
        <v>42788.5</v>
      </c>
      <c r="O66" s="237"/>
      <c r="P66" s="238"/>
      <c r="Q66" s="237">
        <v>4898.7</v>
      </c>
      <c r="R66" s="237"/>
      <c r="S66" s="237">
        <v>4898.7</v>
      </c>
      <c r="T66" s="297"/>
      <c r="U66" s="297"/>
      <c r="V66" s="297"/>
      <c r="W66" s="297"/>
      <c r="X66" s="297"/>
      <c r="Y66" s="297"/>
      <c r="Z66" s="297"/>
      <c r="AA66" s="340"/>
      <c r="AB66" s="499"/>
      <c r="AC66" s="500"/>
      <c r="AD66" s="416"/>
      <c r="AE66" s="316"/>
    </row>
    <row r="67" spans="1:31" s="73" customFormat="1">
      <c r="A67" s="235"/>
      <c r="B67" s="239" t="s">
        <v>98</v>
      </c>
      <c r="C67" s="246">
        <v>1.746566973576346E-2</v>
      </c>
      <c r="D67" s="247">
        <v>0</v>
      </c>
      <c r="E67" s="247">
        <v>-7.6601438797176569E-4</v>
      </c>
      <c r="F67" s="458">
        <v>-0.12699658485883386</v>
      </c>
      <c r="G67" s="247">
        <v>0</v>
      </c>
      <c r="H67" s="247">
        <v>0</v>
      </c>
      <c r="I67" s="246">
        <v>4.0257264727878829E-3</v>
      </c>
      <c r="J67" s="246">
        <v>0</v>
      </c>
      <c r="K67" s="458">
        <v>-5.4396741897166104E-2</v>
      </c>
      <c r="L67" s="458">
        <v>-8.5428569866429063E-2</v>
      </c>
      <c r="M67" s="458">
        <v>-0.13324277234739978</v>
      </c>
      <c r="N67" s="457">
        <v>-7.6728380898676798E-2</v>
      </c>
      <c r="O67" s="338">
        <v>0</v>
      </c>
      <c r="P67" s="247">
        <v>0</v>
      </c>
      <c r="Q67" s="246">
        <v>-3.9231966109229827E-2</v>
      </c>
      <c r="R67" s="246">
        <v>0</v>
      </c>
      <c r="S67" s="246">
        <v>-3.9231966109229827E-2</v>
      </c>
      <c r="T67" s="298">
        <v>0</v>
      </c>
      <c r="U67" s="298">
        <v>0</v>
      </c>
      <c r="V67" s="298">
        <v>0</v>
      </c>
      <c r="W67" s="298">
        <v>0</v>
      </c>
      <c r="X67" s="298">
        <v>0</v>
      </c>
      <c r="Y67" s="298">
        <v>0</v>
      </c>
      <c r="Z67" s="298">
        <v>0</v>
      </c>
      <c r="AA67" s="341">
        <v>0</v>
      </c>
      <c r="AB67" s="501"/>
      <c r="AC67" s="502"/>
      <c r="AD67" s="417"/>
      <c r="AE67" s="316"/>
    </row>
    <row r="68" spans="1:31" s="73" customFormat="1">
      <c r="A68" s="235"/>
      <c r="B68" s="236" t="s">
        <v>82</v>
      </c>
      <c r="C68" s="237">
        <v>0</v>
      </c>
      <c r="D68" s="238"/>
      <c r="E68" s="238">
        <v>0</v>
      </c>
      <c r="F68" s="238">
        <v>0</v>
      </c>
      <c r="G68" s="238"/>
      <c r="H68" s="238"/>
      <c r="I68" s="237">
        <v>0</v>
      </c>
      <c r="J68" s="237"/>
      <c r="K68" s="238">
        <v>0</v>
      </c>
      <c r="L68" s="238">
        <v>0</v>
      </c>
      <c r="M68" s="238">
        <v>0</v>
      </c>
      <c r="N68" s="237">
        <v>0</v>
      </c>
      <c r="O68" s="299"/>
      <c r="P68" s="238"/>
      <c r="Q68" s="237">
        <v>0</v>
      </c>
      <c r="R68" s="237"/>
      <c r="S68" s="237">
        <v>0</v>
      </c>
      <c r="T68" s="297"/>
      <c r="U68" s="297"/>
      <c r="V68" s="297"/>
      <c r="W68" s="297"/>
      <c r="X68" s="297"/>
      <c r="Y68" s="297"/>
      <c r="Z68" s="297"/>
      <c r="AA68" s="342"/>
      <c r="AB68" s="499"/>
      <c r="AC68" s="500"/>
      <c r="AD68" s="416"/>
      <c r="AE68" s="316"/>
    </row>
    <row r="69" spans="1:31" s="73" customFormat="1">
      <c r="A69" s="235"/>
      <c r="B69" s="236" t="s">
        <v>80</v>
      </c>
      <c r="C69" s="237">
        <v>0</v>
      </c>
      <c r="D69" s="238"/>
      <c r="E69" s="238">
        <v>0</v>
      </c>
      <c r="F69" s="238">
        <v>0</v>
      </c>
      <c r="G69" s="238"/>
      <c r="H69" s="238"/>
      <c r="I69" s="237">
        <v>0</v>
      </c>
      <c r="J69" s="237"/>
      <c r="K69" s="238">
        <v>0</v>
      </c>
      <c r="L69" s="238">
        <v>0</v>
      </c>
      <c r="M69" s="238">
        <v>0</v>
      </c>
      <c r="N69" s="237">
        <v>0</v>
      </c>
      <c r="O69" s="299"/>
      <c r="P69" s="238"/>
      <c r="Q69" s="237">
        <v>0</v>
      </c>
      <c r="R69" s="237"/>
      <c r="S69" s="237">
        <v>0</v>
      </c>
      <c r="T69" s="297"/>
      <c r="U69" s="297"/>
      <c r="V69" s="297"/>
      <c r="W69" s="297"/>
      <c r="X69" s="297"/>
      <c r="Y69" s="297"/>
      <c r="Z69" s="297"/>
      <c r="AA69" s="342"/>
      <c r="AB69" s="499"/>
      <c r="AC69" s="500"/>
      <c r="AD69" s="416"/>
      <c r="AE69" s="316"/>
    </row>
    <row r="70" spans="1:31" s="73" customFormat="1">
      <c r="A70" s="235"/>
      <c r="B70" s="239" t="s">
        <v>100</v>
      </c>
      <c r="C70" s="246">
        <v>0</v>
      </c>
      <c r="D70" s="247">
        <v>0</v>
      </c>
      <c r="E70" s="247">
        <v>0</v>
      </c>
      <c r="F70" s="247">
        <v>0</v>
      </c>
      <c r="G70" s="247">
        <v>0</v>
      </c>
      <c r="H70" s="247">
        <v>0</v>
      </c>
      <c r="I70" s="246">
        <v>0</v>
      </c>
      <c r="J70" s="246">
        <v>0</v>
      </c>
      <c r="K70" s="247">
        <v>0</v>
      </c>
      <c r="L70" s="247">
        <v>0</v>
      </c>
      <c r="M70" s="247">
        <v>0</v>
      </c>
      <c r="N70" s="246">
        <v>0</v>
      </c>
      <c r="O70" s="338">
        <v>0</v>
      </c>
      <c r="P70" s="247">
        <v>0</v>
      </c>
      <c r="Q70" s="246">
        <v>0</v>
      </c>
      <c r="R70" s="246">
        <v>0</v>
      </c>
      <c r="S70" s="246">
        <v>0</v>
      </c>
      <c r="T70" s="298">
        <v>0</v>
      </c>
      <c r="U70" s="298">
        <v>0</v>
      </c>
      <c r="V70" s="298">
        <v>0</v>
      </c>
      <c r="W70" s="298">
        <v>0</v>
      </c>
      <c r="X70" s="298">
        <v>0</v>
      </c>
      <c r="Y70" s="298">
        <v>0</v>
      </c>
      <c r="Z70" s="298">
        <v>0</v>
      </c>
      <c r="AA70" s="341">
        <v>0</v>
      </c>
      <c r="AB70" s="501"/>
      <c r="AC70" s="502"/>
      <c r="AD70" s="417"/>
      <c r="AE70" s="316"/>
    </row>
    <row r="71" spans="1:31" s="73" customFormat="1">
      <c r="A71" s="235"/>
      <c r="B71" s="236" t="s">
        <v>88</v>
      </c>
      <c r="C71" s="237">
        <v>6568.4583333333339</v>
      </c>
      <c r="D71" s="238"/>
      <c r="E71" s="238">
        <v>6836.5</v>
      </c>
      <c r="F71" s="238">
        <v>84.208333333333329</v>
      </c>
      <c r="G71" s="238"/>
      <c r="H71" s="238"/>
      <c r="I71" s="237">
        <v>13489.166666666668</v>
      </c>
      <c r="J71" s="237"/>
      <c r="K71" s="238">
        <v>0</v>
      </c>
      <c r="L71" s="238">
        <v>0</v>
      </c>
      <c r="M71" s="238">
        <v>0</v>
      </c>
      <c r="N71" s="237">
        <v>0</v>
      </c>
      <c r="O71" s="299"/>
      <c r="P71" s="238"/>
      <c r="Q71" s="237">
        <v>0</v>
      </c>
      <c r="R71" s="237"/>
      <c r="S71" s="237">
        <v>0</v>
      </c>
      <c r="T71" s="297"/>
      <c r="U71" s="297"/>
      <c r="V71" s="297"/>
      <c r="W71" s="297"/>
      <c r="X71" s="297"/>
      <c r="Y71" s="297"/>
      <c r="Z71" s="297"/>
      <c r="AA71" s="342"/>
      <c r="AB71" s="499"/>
      <c r="AC71" s="500"/>
      <c r="AD71" s="416"/>
      <c r="AE71" s="316"/>
    </row>
    <row r="72" spans="1:31" s="73" customFormat="1">
      <c r="A72" s="235"/>
      <c r="B72" s="236" t="s">
        <v>90</v>
      </c>
      <c r="C72" s="237">
        <v>6541.7916666666661</v>
      </c>
      <c r="D72" s="238"/>
      <c r="E72" s="238">
        <v>6793.5</v>
      </c>
      <c r="F72" s="238">
        <v>92.041666666666671</v>
      </c>
      <c r="G72" s="238"/>
      <c r="H72" s="238"/>
      <c r="I72" s="237">
        <v>13427.333333333332</v>
      </c>
      <c r="J72" s="237"/>
      <c r="K72" s="238">
        <v>0</v>
      </c>
      <c r="L72" s="238">
        <v>0</v>
      </c>
      <c r="M72" s="238">
        <v>0</v>
      </c>
      <c r="N72" s="237">
        <v>0</v>
      </c>
      <c r="O72" s="299"/>
      <c r="P72" s="238"/>
      <c r="Q72" s="237">
        <v>0</v>
      </c>
      <c r="R72" s="237"/>
      <c r="S72" s="237">
        <v>0</v>
      </c>
      <c r="T72" s="297"/>
      <c r="U72" s="297"/>
      <c r="V72" s="297"/>
      <c r="W72" s="297"/>
      <c r="X72" s="297"/>
      <c r="Y72" s="297"/>
      <c r="Z72" s="297"/>
      <c r="AA72" s="342"/>
      <c r="AB72" s="499"/>
      <c r="AC72" s="500"/>
      <c r="AD72" s="416"/>
      <c r="AE72" s="316"/>
    </row>
    <row r="73" spans="1:31" s="73" customFormat="1">
      <c r="A73" s="235"/>
      <c r="B73" s="239" t="s">
        <v>92</v>
      </c>
      <c r="C73" s="246">
        <v>-4.0598060173939153E-3</v>
      </c>
      <c r="D73" s="247">
        <v>0</v>
      </c>
      <c r="E73" s="247">
        <v>-6.2897681562202878E-3</v>
      </c>
      <c r="F73" s="458">
        <v>9.3023255813953612E-2</v>
      </c>
      <c r="G73" s="247">
        <v>0</v>
      </c>
      <c r="H73" s="247">
        <v>0</v>
      </c>
      <c r="I73" s="246">
        <v>-4.5839253722124483E-3</v>
      </c>
      <c r="J73" s="246">
        <v>0</v>
      </c>
      <c r="K73" s="247">
        <v>0</v>
      </c>
      <c r="L73" s="247">
        <v>0</v>
      </c>
      <c r="M73" s="247">
        <v>0</v>
      </c>
      <c r="N73" s="246">
        <v>0</v>
      </c>
      <c r="O73" s="338">
        <v>0</v>
      </c>
      <c r="P73" s="247">
        <v>0</v>
      </c>
      <c r="Q73" s="246">
        <v>0</v>
      </c>
      <c r="R73" s="246">
        <v>0</v>
      </c>
      <c r="S73" s="246">
        <v>0</v>
      </c>
      <c r="T73" s="298">
        <v>0</v>
      </c>
      <c r="U73" s="298">
        <v>0</v>
      </c>
      <c r="V73" s="298">
        <v>0</v>
      </c>
      <c r="W73" s="298">
        <v>0</v>
      </c>
      <c r="X73" s="298">
        <v>0</v>
      </c>
      <c r="Y73" s="298">
        <v>0</v>
      </c>
      <c r="Z73" s="298">
        <v>0</v>
      </c>
      <c r="AA73" s="341">
        <v>0</v>
      </c>
      <c r="AB73" s="501"/>
      <c r="AC73" s="502"/>
      <c r="AD73" s="417"/>
      <c r="AE73" s="316"/>
    </row>
    <row r="74" spans="1:31" s="73" customFormat="1">
      <c r="A74" s="235"/>
      <c r="B74" s="236" t="s">
        <v>8</v>
      </c>
      <c r="C74" s="237">
        <v>40396.724999999999</v>
      </c>
      <c r="D74" s="238"/>
      <c r="E74" s="238">
        <v>58750.233333333337</v>
      </c>
      <c r="F74" s="238">
        <v>1655.6416666666667</v>
      </c>
      <c r="G74" s="238"/>
      <c r="H74" s="238"/>
      <c r="I74" s="237">
        <v>100802.6</v>
      </c>
      <c r="J74" s="237"/>
      <c r="K74" s="238">
        <v>14732.5</v>
      </c>
      <c r="L74" s="238">
        <v>30483.166666666668</v>
      </c>
      <c r="M74" s="238">
        <v>1128.7666666666667</v>
      </c>
      <c r="N74" s="237">
        <v>46344.433333333342</v>
      </c>
      <c r="O74" s="299"/>
      <c r="P74" s="238"/>
      <c r="Q74" s="237">
        <v>5098.7333333333336</v>
      </c>
      <c r="R74" s="237"/>
      <c r="S74" s="237">
        <v>5098.7333333333336</v>
      </c>
      <c r="T74" s="297"/>
      <c r="U74" s="297"/>
      <c r="V74" s="297"/>
      <c r="W74" s="297"/>
      <c r="X74" s="297"/>
      <c r="Y74" s="297"/>
      <c r="Z74" s="297"/>
      <c r="AA74" s="342"/>
      <c r="AB74" s="499"/>
      <c r="AC74" s="500"/>
      <c r="AD74" s="416"/>
      <c r="AE74" s="316"/>
    </row>
    <row r="75" spans="1:31" s="73" customFormat="1">
      <c r="A75" s="235"/>
      <c r="B75" s="236" t="s">
        <v>94</v>
      </c>
      <c r="C75" s="237">
        <v>40960.891666666663</v>
      </c>
      <c r="D75" s="238"/>
      <c r="E75" s="238">
        <v>58667.466666666667</v>
      </c>
      <c r="F75" s="238">
        <v>1463.9083333333333</v>
      </c>
      <c r="G75" s="238"/>
      <c r="H75" s="238"/>
      <c r="I75" s="237">
        <v>101092.26666666668</v>
      </c>
      <c r="J75" s="237"/>
      <c r="K75" s="238">
        <v>13931.1</v>
      </c>
      <c r="L75" s="238">
        <v>27879.033333333333</v>
      </c>
      <c r="M75" s="238">
        <v>978.36666666666667</v>
      </c>
      <c r="N75" s="237">
        <v>42788.5</v>
      </c>
      <c r="O75" s="299"/>
      <c r="P75" s="238"/>
      <c r="Q75" s="237">
        <v>4898.7</v>
      </c>
      <c r="R75" s="237"/>
      <c r="S75" s="237">
        <v>4898.7</v>
      </c>
      <c r="T75" s="297"/>
      <c r="U75" s="297"/>
      <c r="V75" s="297"/>
      <c r="W75" s="297"/>
      <c r="X75" s="297"/>
      <c r="Y75" s="297"/>
      <c r="Z75" s="297"/>
      <c r="AA75" s="342"/>
      <c r="AB75" s="499"/>
      <c r="AC75" s="500"/>
      <c r="AD75" s="416"/>
      <c r="AE75" s="316"/>
    </row>
    <row r="76" spans="1:31" s="73" customFormat="1">
      <c r="A76" s="240"/>
      <c r="B76" s="296" t="s">
        <v>96</v>
      </c>
      <c r="C76" s="246">
        <v>1.3965653568863918E-2</v>
      </c>
      <c r="D76" s="247">
        <v>0</v>
      </c>
      <c r="E76" s="247">
        <v>-1.4087887310519061E-3</v>
      </c>
      <c r="F76" s="458">
        <v>-0.11580605706750154</v>
      </c>
      <c r="G76" s="247">
        <v>0</v>
      </c>
      <c r="H76" s="247">
        <v>0</v>
      </c>
      <c r="I76" s="246">
        <v>2.8736031279616948E-3</v>
      </c>
      <c r="J76" s="246">
        <v>0</v>
      </c>
      <c r="K76" s="247">
        <v>-5.4396741897166104E-2</v>
      </c>
      <c r="L76" s="247">
        <v>-8.5428569866429063E-2</v>
      </c>
      <c r="M76" s="247">
        <v>-0.13324277234739978</v>
      </c>
      <c r="N76" s="246">
        <v>-7.6728380898676798E-2</v>
      </c>
      <c r="O76" s="338">
        <v>0</v>
      </c>
      <c r="P76" s="247">
        <v>0</v>
      </c>
      <c r="Q76" s="246">
        <v>-3.9231966109229827E-2</v>
      </c>
      <c r="R76" s="246">
        <v>0</v>
      </c>
      <c r="S76" s="246">
        <v>-3.9231966109229827E-2</v>
      </c>
      <c r="T76" s="298">
        <v>0</v>
      </c>
      <c r="U76" s="298">
        <v>0</v>
      </c>
      <c r="V76" s="298">
        <v>0</v>
      </c>
      <c r="W76" s="298">
        <v>0</v>
      </c>
      <c r="X76" s="298">
        <v>0</v>
      </c>
      <c r="Y76" s="298">
        <v>0</v>
      </c>
      <c r="Z76" s="298">
        <v>0</v>
      </c>
      <c r="AA76" s="341">
        <v>0</v>
      </c>
      <c r="AB76" s="499"/>
      <c r="AC76" s="500"/>
      <c r="AD76" s="417"/>
      <c r="AE76" s="316"/>
    </row>
    <row r="77" spans="1:31" s="73" customFormat="1">
      <c r="A77" s="324" t="s">
        <v>228</v>
      </c>
      <c r="B77" s="322" t="s">
        <v>86</v>
      </c>
      <c r="C77" s="319">
        <v>24214.2</v>
      </c>
      <c r="D77" s="323">
        <v>27217.166666666664</v>
      </c>
      <c r="E77" s="323">
        <v>21852.633333333335</v>
      </c>
      <c r="F77" s="323">
        <v>24508.066666666669</v>
      </c>
      <c r="G77" s="323">
        <v>2169.0666666666666</v>
      </c>
      <c r="H77" s="323">
        <v>1845.5</v>
      </c>
      <c r="I77" s="319">
        <v>101806.63333333333</v>
      </c>
      <c r="J77" s="319"/>
      <c r="K77" s="323">
        <v>24773.98333333333</v>
      </c>
      <c r="L77" s="323">
        <v>9220.5333333333328</v>
      </c>
      <c r="M77" s="323">
        <v>4599.7333333333336</v>
      </c>
      <c r="N77" s="319">
        <v>38594.25</v>
      </c>
      <c r="O77" s="319"/>
      <c r="P77" s="323"/>
      <c r="Q77" s="319">
        <v>10249.516666666666</v>
      </c>
      <c r="R77" s="319"/>
      <c r="S77" s="319">
        <v>10249.516666666666</v>
      </c>
      <c r="T77" s="331"/>
      <c r="U77" s="331"/>
      <c r="V77" s="331"/>
      <c r="W77" s="331"/>
      <c r="X77" s="331"/>
      <c r="Y77" s="331"/>
      <c r="Z77" s="331"/>
      <c r="AA77" s="339"/>
      <c r="AB77" s="494"/>
      <c r="AC77" s="497"/>
      <c r="AD77" s="416"/>
      <c r="AE77" s="316"/>
    </row>
    <row r="78" spans="1:31" s="73" customFormat="1">
      <c r="A78" s="235"/>
      <c r="B78" s="236" t="s">
        <v>84</v>
      </c>
      <c r="C78" s="237">
        <v>24616.400000000001</v>
      </c>
      <c r="D78" s="238">
        <v>27936.533333333333</v>
      </c>
      <c r="E78" s="238">
        <v>21635.833333333332</v>
      </c>
      <c r="F78" s="238">
        <v>23738.833333333336</v>
      </c>
      <c r="G78" s="238">
        <v>1912.3333333333333</v>
      </c>
      <c r="H78" s="238">
        <v>2026.6</v>
      </c>
      <c r="I78" s="237">
        <v>101866.53333333334</v>
      </c>
      <c r="J78" s="237"/>
      <c r="K78" s="238">
        <v>22957.266666666666</v>
      </c>
      <c r="L78" s="238">
        <v>9229.7333333333336</v>
      </c>
      <c r="M78" s="238">
        <v>4471.8666666666668</v>
      </c>
      <c r="N78" s="237">
        <v>36658.866666666669</v>
      </c>
      <c r="O78" s="237"/>
      <c r="P78" s="238"/>
      <c r="Q78" s="237">
        <v>9758</v>
      </c>
      <c r="R78" s="237"/>
      <c r="S78" s="237">
        <v>9758</v>
      </c>
      <c r="T78" s="297"/>
      <c r="U78" s="297"/>
      <c r="V78" s="297"/>
      <c r="W78" s="297"/>
      <c r="X78" s="297"/>
      <c r="Y78" s="297"/>
      <c r="Z78" s="297"/>
      <c r="AA78" s="340"/>
      <c r="AB78" s="499"/>
      <c r="AC78" s="500"/>
      <c r="AD78" s="416"/>
      <c r="AE78" s="316"/>
    </row>
    <row r="79" spans="1:31" s="73" customFormat="1">
      <c r="A79" s="235"/>
      <c r="B79" s="239" t="s">
        <v>98</v>
      </c>
      <c r="C79" s="246">
        <v>1.661008829529783E-2</v>
      </c>
      <c r="D79" s="247">
        <v>2.6430622829954207E-2</v>
      </c>
      <c r="E79" s="247">
        <v>-9.9210011302986924E-3</v>
      </c>
      <c r="F79" s="247">
        <v>-3.1386944706640815E-2</v>
      </c>
      <c r="G79" s="458">
        <v>-0.11836119990164741</v>
      </c>
      <c r="H79" s="458">
        <v>9.8130587916553727E-2</v>
      </c>
      <c r="I79" s="246">
        <v>5.8837030592972562E-4</v>
      </c>
      <c r="J79" s="246">
        <v>0</v>
      </c>
      <c r="K79" s="458">
        <v>-7.3331633521456191E-2</v>
      </c>
      <c r="L79" s="247">
        <v>9.9777308615561582E-4</v>
      </c>
      <c r="M79" s="247">
        <v>-2.7798712968867784E-2</v>
      </c>
      <c r="N79" s="246">
        <v>-5.0146934668592637E-2</v>
      </c>
      <c r="O79" s="338">
        <v>0</v>
      </c>
      <c r="P79" s="247">
        <v>0</v>
      </c>
      <c r="Q79" s="246">
        <v>-4.7955106826175521E-2</v>
      </c>
      <c r="R79" s="246">
        <v>0</v>
      </c>
      <c r="S79" s="246">
        <v>-4.7955106826175521E-2</v>
      </c>
      <c r="T79" s="298">
        <v>0</v>
      </c>
      <c r="U79" s="298">
        <v>0</v>
      </c>
      <c r="V79" s="298">
        <v>0</v>
      </c>
      <c r="W79" s="298">
        <v>0</v>
      </c>
      <c r="X79" s="298">
        <v>0</v>
      </c>
      <c r="Y79" s="298">
        <v>0</v>
      </c>
      <c r="Z79" s="298">
        <v>0</v>
      </c>
      <c r="AA79" s="341">
        <v>0</v>
      </c>
      <c r="AB79" s="501"/>
      <c r="AC79" s="502"/>
      <c r="AD79" s="417"/>
      <c r="AE79" s="316"/>
    </row>
    <row r="80" spans="1:31" s="73" customFormat="1">
      <c r="A80" s="235"/>
      <c r="B80" s="236" t="s">
        <v>82</v>
      </c>
      <c r="C80" s="237">
        <v>0</v>
      </c>
      <c r="D80" s="238">
        <v>0</v>
      </c>
      <c r="E80" s="238">
        <v>0</v>
      </c>
      <c r="F80" s="238">
        <v>0</v>
      </c>
      <c r="G80" s="238">
        <v>0</v>
      </c>
      <c r="H80" s="238">
        <v>0</v>
      </c>
      <c r="I80" s="237">
        <v>0</v>
      </c>
      <c r="J80" s="237"/>
      <c r="K80" s="238">
        <v>0</v>
      </c>
      <c r="L80" s="474">
        <v>0</v>
      </c>
      <c r="M80" s="238">
        <v>0</v>
      </c>
      <c r="N80" s="475">
        <v>0</v>
      </c>
      <c r="O80" s="299"/>
      <c r="P80" s="238"/>
      <c r="Q80" s="237">
        <v>117.355</v>
      </c>
      <c r="R80" s="237"/>
      <c r="S80" s="237">
        <v>117.355</v>
      </c>
      <c r="T80" s="297"/>
      <c r="U80" s="297"/>
      <c r="V80" s="297"/>
      <c r="W80" s="297"/>
      <c r="X80" s="297"/>
      <c r="Y80" s="297"/>
      <c r="Z80" s="297"/>
      <c r="AA80" s="342"/>
      <c r="AB80" s="499"/>
      <c r="AC80" s="500"/>
      <c r="AD80" s="416"/>
      <c r="AE80" s="316"/>
    </row>
    <row r="81" spans="1:31" s="73" customFormat="1">
      <c r="A81" s="235"/>
      <c r="B81" s="236" t="s">
        <v>80</v>
      </c>
      <c r="C81" s="237">
        <v>0</v>
      </c>
      <c r="D81" s="238">
        <v>0</v>
      </c>
      <c r="E81" s="238">
        <v>0</v>
      </c>
      <c r="F81" s="238">
        <v>0</v>
      </c>
      <c r="G81" s="238">
        <v>0</v>
      </c>
      <c r="H81" s="238">
        <v>0</v>
      </c>
      <c r="I81" s="237">
        <v>0</v>
      </c>
      <c r="J81" s="237"/>
      <c r="K81" s="238">
        <v>0</v>
      </c>
      <c r="L81" s="238">
        <v>0</v>
      </c>
      <c r="M81" s="238">
        <v>0</v>
      </c>
      <c r="N81" s="237">
        <v>0</v>
      </c>
      <c r="O81" s="299"/>
      <c r="P81" s="238"/>
      <c r="Q81" s="237">
        <v>66.081111111111113</v>
      </c>
      <c r="R81" s="237"/>
      <c r="S81" s="237">
        <v>66.081111111111113</v>
      </c>
      <c r="T81" s="297"/>
      <c r="U81" s="297"/>
      <c r="V81" s="297"/>
      <c r="W81" s="297"/>
      <c r="X81" s="297"/>
      <c r="Y81" s="297"/>
      <c r="Z81" s="297"/>
      <c r="AA81" s="342"/>
      <c r="AB81" s="499"/>
      <c r="AC81" s="500"/>
      <c r="AD81" s="416"/>
      <c r="AE81" s="316"/>
    </row>
    <row r="82" spans="1:31" s="73" customFormat="1">
      <c r="A82" s="235"/>
      <c r="B82" s="239" t="s">
        <v>100</v>
      </c>
      <c r="C82" s="246">
        <v>0</v>
      </c>
      <c r="D82" s="247">
        <v>0</v>
      </c>
      <c r="E82" s="247">
        <v>0</v>
      </c>
      <c r="F82" s="247">
        <v>0</v>
      </c>
      <c r="G82" s="247">
        <v>0</v>
      </c>
      <c r="H82" s="247">
        <v>0</v>
      </c>
      <c r="I82" s="246">
        <v>0</v>
      </c>
      <c r="J82" s="246">
        <v>0</v>
      </c>
      <c r="K82" s="247">
        <v>0</v>
      </c>
      <c r="L82" s="247">
        <v>0</v>
      </c>
      <c r="M82" s="247">
        <v>0</v>
      </c>
      <c r="N82" s="246">
        <v>0</v>
      </c>
      <c r="O82" s="338">
        <v>0</v>
      </c>
      <c r="P82" s="247">
        <v>0</v>
      </c>
      <c r="Q82" s="246">
        <v>-0.43691269131173693</v>
      </c>
      <c r="R82" s="246">
        <v>0</v>
      </c>
      <c r="S82" s="246">
        <v>-0.43691269131173693</v>
      </c>
      <c r="T82" s="298">
        <v>0</v>
      </c>
      <c r="U82" s="298">
        <v>0</v>
      </c>
      <c r="V82" s="298">
        <v>0</v>
      </c>
      <c r="W82" s="298">
        <v>0</v>
      </c>
      <c r="X82" s="298">
        <v>0</v>
      </c>
      <c r="Y82" s="298">
        <v>0</v>
      </c>
      <c r="Z82" s="298">
        <v>0</v>
      </c>
      <c r="AA82" s="341">
        <v>0</v>
      </c>
      <c r="AB82" s="501"/>
      <c r="AC82" s="502"/>
      <c r="AD82" s="417"/>
      <c r="AE82" s="316"/>
    </row>
    <row r="83" spans="1:31" s="73" customFormat="1">
      <c r="A83" s="235"/>
      <c r="B83" s="236" t="s">
        <v>88</v>
      </c>
      <c r="C83" s="237">
        <v>5452.833333333333</v>
      </c>
      <c r="D83" s="238">
        <v>3755.875</v>
      </c>
      <c r="E83" s="238">
        <v>3746.083333333333</v>
      </c>
      <c r="F83" s="238">
        <v>2782.2083333333335</v>
      </c>
      <c r="G83" s="238">
        <v>85.666666666666671</v>
      </c>
      <c r="H83" s="238">
        <v>0</v>
      </c>
      <c r="I83" s="237">
        <v>15822.666666666664</v>
      </c>
      <c r="J83" s="237"/>
      <c r="K83" s="238">
        <v>0</v>
      </c>
      <c r="L83" s="238">
        <v>0</v>
      </c>
      <c r="M83" s="238">
        <v>0</v>
      </c>
      <c r="N83" s="237">
        <v>0</v>
      </c>
      <c r="O83" s="299"/>
      <c r="P83" s="238"/>
      <c r="Q83" s="237">
        <v>0</v>
      </c>
      <c r="R83" s="237"/>
      <c r="S83" s="237">
        <v>0</v>
      </c>
      <c r="T83" s="297"/>
      <c r="U83" s="297"/>
      <c r="V83" s="297"/>
      <c r="W83" s="297"/>
      <c r="X83" s="297"/>
      <c r="Y83" s="297"/>
      <c r="Z83" s="297"/>
      <c r="AA83" s="342"/>
      <c r="AB83" s="499"/>
      <c r="AC83" s="500"/>
      <c r="AD83" s="416"/>
      <c r="AE83" s="316"/>
    </row>
    <row r="84" spans="1:31" s="73" customFormat="1">
      <c r="A84" s="235"/>
      <c r="B84" s="236" t="s">
        <v>90</v>
      </c>
      <c r="C84" s="237">
        <v>5446.4708333333338</v>
      </c>
      <c r="D84" s="238">
        <v>3609.958333333333</v>
      </c>
      <c r="E84" s="238">
        <v>3643.125</v>
      </c>
      <c r="F84" s="238">
        <v>3409.6666666666665</v>
      </c>
      <c r="G84" s="238">
        <v>96.916666666666671</v>
      </c>
      <c r="H84" s="238">
        <v>0</v>
      </c>
      <c r="I84" s="237">
        <v>16206.137499999999</v>
      </c>
      <c r="J84" s="237"/>
      <c r="K84" s="238">
        <v>0</v>
      </c>
      <c r="L84" s="238">
        <v>0</v>
      </c>
      <c r="M84" s="238">
        <v>0</v>
      </c>
      <c r="N84" s="237">
        <v>0</v>
      </c>
      <c r="O84" s="299"/>
      <c r="P84" s="238"/>
      <c r="Q84" s="237">
        <v>0</v>
      </c>
      <c r="R84" s="237"/>
      <c r="S84" s="237">
        <v>0</v>
      </c>
      <c r="T84" s="297"/>
      <c r="U84" s="297"/>
      <c r="V84" s="297"/>
      <c r="W84" s="297"/>
      <c r="X84" s="297"/>
      <c r="Y84" s="297"/>
      <c r="Z84" s="297"/>
      <c r="AA84" s="342"/>
      <c r="AB84" s="499"/>
      <c r="AC84" s="500"/>
      <c r="AD84" s="416"/>
      <c r="AE84" s="316"/>
    </row>
    <row r="85" spans="1:31" s="73" customFormat="1">
      <c r="A85" s="235"/>
      <c r="B85" s="239" t="s">
        <v>92</v>
      </c>
      <c r="C85" s="246">
        <v>-1.1668245866062181E-3</v>
      </c>
      <c r="D85" s="247">
        <v>-3.8850245726140237E-2</v>
      </c>
      <c r="E85" s="247">
        <v>-2.7484261339621303E-2</v>
      </c>
      <c r="F85" s="458">
        <v>0.22552528716696857</v>
      </c>
      <c r="G85" s="458">
        <v>0.13132295719844359</v>
      </c>
      <c r="H85" s="247">
        <v>0</v>
      </c>
      <c r="I85" s="246">
        <v>2.4235537625347692E-2</v>
      </c>
      <c r="J85" s="246">
        <v>0</v>
      </c>
      <c r="K85" s="247">
        <v>0</v>
      </c>
      <c r="L85" s="247">
        <v>0</v>
      </c>
      <c r="M85" s="247">
        <v>0</v>
      </c>
      <c r="N85" s="246">
        <v>0</v>
      </c>
      <c r="O85" s="338">
        <v>0</v>
      </c>
      <c r="P85" s="247">
        <v>0</v>
      </c>
      <c r="Q85" s="246">
        <v>0</v>
      </c>
      <c r="R85" s="246">
        <v>0</v>
      </c>
      <c r="S85" s="246">
        <v>0</v>
      </c>
      <c r="T85" s="298">
        <v>0</v>
      </c>
      <c r="U85" s="298">
        <v>0</v>
      </c>
      <c r="V85" s="298">
        <v>0</v>
      </c>
      <c r="W85" s="298">
        <v>0</v>
      </c>
      <c r="X85" s="298">
        <v>0</v>
      </c>
      <c r="Y85" s="298">
        <v>0</v>
      </c>
      <c r="Z85" s="298">
        <v>0</v>
      </c>
      <c r="AA85" s="341">
        <v>0</v>
      </c>
      <c r="AB85" s="501"/>
      <c r="AC85" s="502"/>
      <c r="AD85" s="417"/>
      <c r="AE85" s="316"/>
    </row>
    <row r="86" spans="1:31" s="73" customFormat="1">
      <c r="A86" s="235"/>
      <c r="B86" s="236" t="s">
        <v>8</v>
      </c>
      <c r="C86" s="237">
        <v>29667.033333333333</v>
      </c>
      <c r="D86" s="238">
        <v>30973.041666666668</v>
      </c>
      <c r="E86" s="238">
        <v>25598.716666666667</v>
      </c>
      <c r="F86" s="238">
        <v>27290.275000000001</v>
      </c>
      <c r="G86" s="238">
        <v>2254.7333333333331</v>
      </c>
      <c r="H86" s="238">
        <v>1845.5</v>
      </c>
      <c r="I86" s="237">
        <v>117629.29999999999</v>
      </c>
      <c r="J86" s="237"/>
      <c r="K86" s="238">
        <v>24773.98333333333</v>
      </c>
      <c r="L86" s="238">
        <v>9220.5333333333328</v>
      </c>
      <c r="M86" s="238">
        <v>4599.7333333333336</v>
      </c>
      <c r="N86" s="237">
        <v>38594.25</v>
      </c>
      <c r="O86" s="299"/>
      <c r="P86" s="238"/>
      <c r="Q86" s="237">
        <v>10366.871666666666</v>
      </c>
      <c r="R86" s="237"/>
      <c r="S86" s="237">
        <v>10366.871666666666</v>
      </c>
      <c r="T86" s="297"/>
      <c r="U86" s="297"/>
      <c r="V86" s="297"/>
      <c r="W86" s="297"/>
      <c r="X86" s="297"/>
      <c r="Y86" s="297"/>
      <c r="Z86" s="297"/>
      <c r="AA86" s="342"/>
      <c r="AB86" s="499"/>
      <c r="AC86" s="500"/>
      <c r="AD86" s="416"/>
      <c r="AE86" s="316"/>
    </row>
    <row r="87" spans="1:31" s="73" customFormat="1">
      <c r="A87" s="235"/>
      <c r="B87" s="236" t="s">
        <v>94</v>
      </c>
      <c r="C87" s="237">
        <v>30062.870833333334</v>
      </c>
      <c r="D87" s="238">
        <v>31546.491666666669</v>
      </c>
      <c r="E87" s="238">
        <v>25278.958333333332</v>
      </c>
      <c r="F87" s="238">
        <v>27148.5</v>
      </c>
      <c r="G87" s="238">
        <v>2009.25</v>
      </c>
      <c r="H87" s="238">
        <v>2026.6</v>
      </c>
      <c r="I87" s="237">
        <v>118072.67083333334</v>
      </c>
      <c r="J87" s="237"/>
      <c r="K87" s="238">
        <v>22957.266666666666</v>
      </c>
      <c r="L87" s="238">
        <v>9229.7333333333336</v>
      </c>
      <c r="M87" s="238">
        <v>4471.8666666666668</v>
      </c>
      <c r="N87" s="237">
        <v>36658.866666666669</v>
      </c>
      <c r="O87" s="299"/>
      <c r="P87" s="238"/>
      <c r="Q87" s="237">
        <v>9824.0811111111107</v>
      </c>
      <c r="R87" s="237"/>
      <c r="S87" s="237">
        <v>9824.0811111111107</v>
      </c>
      <c r="T87" s="297"/>
      <c r="U87" s="297"/>
      <c r="V87" s="297"/>
      <c r="W87" s="297"/>
      <c r="X87" s="297"/>
      <c r="Y87" s="297"/>
      <c r="Z87" s="297"/>
      <c r="AA87" s="342"/>
      <c r="AB87" s="499"/>
      <c r="AC87" s="500"/>
      <c r="AD87" s="416"/>
      <c r="AE87" s="316"/>
    </row>
    <row r="88" spans="1:31" s="73" customFormat="1">
      <c r="A88" s="240"/>
      <c r="B88" s="296" t="s">
        <v>96</v>
      </c>
      <c r="C88" s="246">
        <v>1.3342672169220429E-2</v>
      </c>
      <c r="D88" s="247">
        <v>1.8514487733284211E-2</v>
      </c>
      <c r="E88" s="247">
        <v>-1.2491186081594E-2</v>
      </c>
      <c r="F88" s="247">
        <v>-5.1950740694258835E-3</v>
      </c>
      <c r="G88" s="458">
        <v>-0.1088746636705005</v>
      </c>
      <c r="H88" s="458">
        <v>9.8130587916553727E-2</v>
      </c>
      <c r="I88" s="246">
        <v>3.7692210472504237E-3</v>
      </c>
      <c r="J88" s="246">
        <v>0</v>
      </c>
      <c r="K88" s="247">
        <v>-7.3331633521456191E-2</v>
      </c>
      <c r="L88" s="247">
        <v>9.9777308615561582E-4</v>
      </c>
      <c r="M88" s="247">
        <v>-2.7798712968867784E-2</v>
      </c>
      <c r="N88" s="246">
        <v>-5.0146934668592637E-2</v>
      </c>
      <c r="O88" s="338">
        <v>0</v>
      </c>
      <c r="P88" s="247">
        <v>0</v>
      </c>
      <c r="Q88" s="246">
        <v>-5.235818219886218E-2</v>
      </c>
      <c r="R88" s="246">
        <v>0</v>
      </c>
      <c r="S88" s="246">
        <v>-5.235818219886218E-2</v>
      </c>
      <c r="T88" s="298">
        <v>0</v>
      </c>
      <c r="U88" s="298">
        <v>0</v>
      </c>
      <c r="V88" s="298">
        <v>0</v>
      </c>
      <c r="W88" s="298">
        <v>0</v>
      </c>
      <c r="X88" s="298">
        <v>0</v>
      </c>
      <c r="Y88" s="298">
        <v>0</v>
      </c>
      <c r="Z88" s="298">
        <v>0</v>
      </c>
      <c r="AA88" s="341">
        <v>0</v>
      </c>
      <c r="AB88" s="499"/>
      <c r="AC88" s="500"/>
      <c r="AD88" s="417"/>
      <c r="AE88" s="316"/>
    </row>
    <row r="89" spans="1:31" s="73" customFormat="1">
      <c r="A89" s="324" t="s">
        <v>247</v>
      </c>
      <c r="B89" s="322" t="s">
        <v>86</v>
      </c>
      <c r="C89" s="319">
        <v>26712.033333333333</v>
      </c>
      <c r="D89" s="323">
        <v>16543.533333333333</v>
      </c>
      <c r="E89" s="323">
        <v>17942.599999999999</v>
      </c>
      <c r="F89" s="323">
        <v>22486.033333333333</v>
      </c>
      <c r="G89" s="323">
        <v>2408.3000000000002</v>
      </c>
      <c r="H89" s="323">
        <v>1804.6833333333334</v>
      </c>
      <c r="I89" s="319">
        <v>87897.183333333334</v>
      </c>
      <c r="J89" s="319"/>
      <c r="K89" s="323">
        <v>71035.849999999991</v>
      </c>
      <c r="L89" s="323">
        <v>20908.283333333333</v>
      </c>
      <c r="M89" s="323">
        <v>3669.2</v>
      </c>
      <c r="N89" s="319">
        <v>95613.333333333328</v>
      </c>
      <c r="O89" s="319"/>
      <c r="P89" s="323"/>
      <c r="Q89" s="319"/>
      <c r="R89" s="319"/>
      <c r="S89" s="319"/>
      <c r="T89" s="331"/>
      <c r="U89" s="331"/>
      <c r="V89" s="331"/>
      <c r="W89" s="331"/>
      <c r="X89" s="331"/>
      <c r="Y89" s="331"/>
      <c r="Z89" s="331"/>
      <c r="AA89" s="339"/>
      <c r="AB89" s="494"/>
      <c r="AC89" s="497"/>
      <c r="AD89" s="416"/>
      <c r="AE89" s="316"/>
    </row>
    <row r="90" spans="1:31" s="73" customFormat="1">
      <c r="A90" s="235"/>
      <c r="B90" s="236" t="s">
        <v>84</v>
      </c>
      <c r="C90" s="237">
        <v>27151.466666666667</v>
      </c>
      <c r="D90" s="238">
        <v>16778.25</v>
      </c>
      <c r="E90" s="238">
        <v>18059.849999999999</v>
      </c>
      <c r="F90" s="238">
        <v>22247.516666666666</v>
      </c>
      <c r="G90" s="238">
        <v>2336.6666666666665</v>
      </c>
      <c r="H90" s="238">
        <v>1786.15</v>
      </c>
      <c r="I90" s="237">
        <v>88359.9</v>
      </c>
      <c r="J90" s="237"/>
      <c r="K90" s="238">
        <v>67112.533333333326</v>
      </c>
      <c r="L90" s="238">
        <v>18634.099999999999</v>
      </c>
      <c r="M90" s="238">
        <v>3499.0250000000001</v>
      </c>
      <c r="N90" s="237">
        <v>89245.658333333326</v>
      </c>
      <c r="O90" s="237"/>
      <c r="P90" s="238"/>
      <c r="Q90" s="237"/>
      <c r="R90" s="237"/>
      <c r="S90" s="237"/>
      <c r="T90" s="297"/>
      <c r="U90" s="297"/>
      <c r="V90" s="297"/>
      <c r="W90" s="297"/>
      <c r="X90" s="297"/>
      <c r="Y90" s="297"/>
      <c r="Z90" s="297"/>
      <c r="AA90" s="340"/>
      <c r="AB90" s="499"/>
      <c r="AC90" s="500"/>
      <c r="AD90" s="416"/>
      <c r="AE90" s="316"/>
    </row>
    <row r="91" spans="1:31" s="73" customFormat="1">
      <c r="A91" s="235"/>
      <c r="B91" s="239" t="s">
        <v>98</v>
      </c>
      <c r="C91" s="246">
        <v>1.6450763139209457E-2</v>
      </c>
      <c r="D91" s="247">
        <v>1.4187819611288227E-2</v>
      </c>
      <c r="E91" s="247">
        <v>6.5347274085138171E-3</v>
      </c>
      <c r="F91" s="247">
        <v>-1.0607325139605167E-2</v>
      </c>
      <c r="G91" s="247">
        <v>-2.9744356323271045E-2</v>
      </c>
      <c r="H91" s="247">
        <v>-1.026957637997431E-2</v>
      </c>
      <c r="I91" s="246">
        <v>5.2642945896446934E-3</v>
      </c>
      <c r="J91" s="246">
        <v>0</v>
      </c>
      <c r="K91" s="247">
        <v>-5.5230093912674603E-2</v>
      </c>
      <c r="L91" s="458">
        <v>-0.10876949087961156</v>
      </c>
      <c r="M91" s="247">
        <v>-4.6379319742723135E-2</v>
      </c>
      <c r="N91" s="246">
        <v>-6.6598190628922083E-2</v>
      </c>
      <c r="O91" s="338">
        <v>0</v>
      </c>
      <c r="P91" s="247">
        <v>0</v>
      </c>
      <c r="Q91" s="246">
        <v>0</v>
      </c>
      <c r="R91" s="246">
        <v>0</v>
      </c>
      <c r="S91" s="246">
        <v>0</v>
      </c>
      <c r="T91" s="298">
        <v>0</v>
      </c>
      <c r="U91" s="298">
        <v>0</v>
      </c>
      <c r="V91" s="298">
        <v>0</v>
      </c>
      <c r="W91" s="298">
        <v>0</v>
      </c>
      <c r="X91" s="298">
        <v>0</v>
      </c>
      <c r="Y91" s="298">
        <v>0</v>
      </c>
      <c r="Z91" s="298">
        <v>0</v>
      </c>
      <c r="AA91" s="341">
        <v>0</v>
      </c>
      <c r="AB91" s="501"/>
      <c r="AC91" s="502"/>
      <c r="AD91" s="417"/>
      <c r="AE91" s="316"/>
    </row>
    <row r="92" spans="1:31" s="73" customFormat="1">
      <c r="A92" s="235"/>
      <c r="B92" s="236" t="s">
        <v>82</v>
      </c>
      <c r="C92" s="237">
        <v>0</v>
      </c>
      <c r="D92" s="238">
        <v>0</v>
      </c>
      <c r="E92" s="238">
        <v>0</v>
      </c>
      <c r="F92" s="238">
        <v>0</v>
      </c>
      <c r="G92" s="238">
        <v>0</v>
      </c>
      <c r="H92" s="238">
        <v>0</v>
      </c>
      <c r="I92" s="237">
        <v>0</v>
      </c>
      <c r="J92" s="237"/>
      <c r="K92" s="238">
        <v>0</v>
      </c>
      <c r="L92" s="238">
        <v>0</v>
      </c>
      <c r="M92" s="238">
        <v>0</v>
      </c>
      <c r="N92" s="237">
        <v>0</v>
      </c>
      <c r="O92" s="299"/>
      <c r="P92" s="238"/>
      <c r="Q92" s="237"/>
      <c r="R92" s="237"/>
      <c r="S92" s="237"/>
      <c r="T92" s="297"/>
      <c r="U92" s="297"/>
      <c r="V92" s="297"/>
      <c r="W92" s="297"/>
      <c r="X92" s="297"/>
      <c r="Y92" s="297"/>
      <c r="Z92" s="297"/>
      <c r="AA92" s="342"/>
      <c r="AB92" s="499"/>
      <c r="AC92" s="500"/>
      <c r="AD92" s="416"/>
      <c r="AE92" s="316"/>
    </row>
    <row r="93" spans="1:31" s="73" customFormat="1">
      <c r="A93" s="235"/>
      <c r="B93" s="236" t="s">
        <v>80</v>
      </c>
      <c r="C93" s="237">
        <v>0</v>
      </c>
      <c r="D93" s="238">
        <v>0</v>
      </c>
      <c r="E93" s="238">
        <v>0</v>
      </c>
      <c r="F93" s="238">
        <v>0</v>
      </c>
      <c r="G93" s="238">
        <v>0</v>
      </c>
      <c r="H93" s="238">
        <v>0</v>
      </c>
      <c r="I93" s="237">
        <v>0</v>
      </c>
      <c r="J93" s="237"/>
      <c r="K93" s="238">
        <v>0</v>
      </c>
      <c r="L93" s="238">
        <v>0</v>
      </c>
      <c r="M93" s="238">
        <v>0</v>
      </c>
      <c r="N93" s="237">
        <v>0</v>
      </c>
      <c r="O93" s="299"/>
      <c r="P93" s="238"/>
      <c r="Q93" s="237"/>
      <c r="R93" s="237"/>
      <c r="S93" s="237"/>
      <c r="T93" s="297"/>
      <c r="U93" s="297"/>
      <c r="V93" s="297"/>
      <c r="W93" s="297"/>
      <c r="X93" s="297"/>
      <c r="Y93" s="297"/>
      <c r="Z93" s="297"/>
      <c r="AA93" s="342"/>
      <c r="AB93" s="499"/>
      <c r="AC93" s="500"/>
      <c r="AD93" s="416"/>
      <c r="AE93" s="316"/>
    </row>
    <row r="94" spans="1:31" s="73" customFormat="1">
      <c r="A94" s="235"/>
      <c r="B94" s="239" t="s">
        <v>100</v>
      </c>
      <c r="C94" s="246">
        <v>0</v>
      </c>
      <c r="D94" s="247">
        <v>0</v>
      </c>
      <c r="E94" s="247">
        <v>0</v>
      </c>
      <c r="F94" s="247">
        <v>0</v>
      </c>
      <c r="G94" s="247">
        <v>0</v>
      </c>
      <c r="H94" s="247">
        <v>0</v>
      </c>
      <c r="I94" s="246">
        <v>0</v>
      </c>
      <c r="J94" s="246">
        <v>0</v>
      </c>
      <c r="K94" s="247">
        <v>0</v>
      </c>
      <c r="L94" s="247">
        <v>0</v>
      </c>
      <c r="M94" s="247">
        <v>0</v>
      </c>
      <c r="N94" s="246">
        <v>0</v>
      </c>
      <c r="O94" s="338">
        <v>0</v>
      </c>
      <c r="P94" s="247">
        <v>0</v>
      </c>
      <c r="Q94" s="246">
        <v>0</v>
      </c>
      <c r="R94" s="246">
        <v>0</v>
      </c>
      <c r="S94" s="246">
        <v>0</v>
      </c>
      <c r="T94" s="298">
        <v>0</v>
      </c>
      <c r="U94" s="298">
        <v>0</v>
      </c>
      <c r="V94" s="298">
        <v>0</v>
      </c>
      <c r="W94" s="298">
        <v>0</v>
      </c>
      <c r="X94" s="298">
        <v>0</v>
      </c>
      <c r="Y94" s="298">
        <v>0</v>
      </c>
      <c r="Z94" s="298">
        <v>0</v>
      </c>
      <c r="AA94" s="341">
        <v>0</v>
      </c>
      <c r="AB94" s="501"/>
      <c r="AC94" s="502"/>
      <c r="AD94" s="417"/>
      <c r="AE94" s="316"/>
    </row>
    <row r="95" spans="1:31" s="73" customFormat="1">
      <c r="A95" s="235"/>
      <c r="B95" s="236" t="s">
        <v>88</v>
      </c>
      <c r="C95" s="237">
        <v>6473.416666666667</v>
      </c>
      <c r="D95" s="238">
        <v>2353.208333333333</v>
      </c>
      <c r="E95" s="238">
        <v>2141.9791666666665</v>
      </c>
      <c r="F95" s="238">
        <v>4787.6458333333339</v>
      </c>
      <c r="G95" s="238">
        <v>241.375</v>
      </c>
      <c r="H95" s="238">
        <v>57.583333333333336</v>
      </c>
      <c r="I95" s="237">
        <v>16055.208333333334</v>
      </c>
      <c r="J95" s="237"/>
      <c r="K95" s="238">
        <v>0</v>
      </c>
      <c r="L95" s="238">
        <v>0</v>
      </c>
      <c r="M95" s="238">
        <v>0</v>
      </c>
      <c r="N95" s="237">
        <v>0</v>
      </c>
      <c r="O95" s="299"/>
      <c r="P95" s="238"/>
      <c r="Q95" s="237"/>
      <c r="R95" s="237"/>
      <c r="S95" s="237"/>
      <c r="T95" s="297"/>
      <c r="U95" s="297"/>
      <c r="V95" s="297"/>
      <c r="W95" s="297"/>
      <c r="X95" s="297"/>
      <c r="Y95" s="297"/>
      <c r="Z95" s="297"/>
      <c r="AA95" s="342"/>
      <c r="AB95" s="499"/>
      <c r="AC95" s="500"/>
      <c r="AD95" s="416"/>
      <c r="AE95" s="316"/>
    </row>
    <row r="96" spans="1:31" s="73" customFormat="1">
      <c r="A96" s="235"/>
      <c r="B96" s="236" t="s">
        <v>90</v>
      </c>
      <c r="C96" s="237">
        <v>6561.340416666666</v>
      </c>
      <c r="D96" s="238">
        <v>2528.7083333333335</v>
      </c>
      <c r="E96" s="238">
        <v>1920.9375</v>
      </c>
      <c r="F96" s="238">
        <v>4775.6875</v>
      </c>
      <c r="G96" s="238">
        <v>248</v>
      </c>
      <c r="H96" s="238">
        <v>55.833333333333336</v>
      </c>
      <c r="I96" s="237">
        <v>16090.507083333334</v>
      </c>
      <c r="J96" s="237"/>
      <c r="K96" s="238">
        <v>0</v>
      </c>
      <c r="L96" s="238">
        <v>0</v>
      </c>
      <c r="M96" s="238">
        <v>0</v>
      </c>
      <c r="N96" s="237">
        <v>0</v>
      </c>
      <c r="O96" s="299"/>
      <c r="P96" s="238"/>
      <c r="Q96" s="237"/>
      <c r="R96" s="237"/>
      <c r="S96" s="237"/>
      <c r="T96" s="297"/>
      <c r="U96" s="297"/>
      <c r="V96" s="297"/>
      <c r="W96" s="297"/>
      <c r="X96" s="297"/>
      <c r="Y96" s="297"/>
      <c r="Z96" s="297"/>
      <c r="AA96" s="342"/>
      <c r="AB96" s="499"/>
      <c r="AC96" s="500"/>
      <c r="AD96" s="416"/>
      <c r="AE96" s="316"/>
    </row>
    <row r="97" spans="1:31" s="73" customFormat="1">
      <c r="A97" s="235"/>
      <c r="B97" s="239" t="s">
        <v>92</v>
      </c>
      <c r="C97" s="246">
        <v>1.358227880691531E-2</v>
      </c>
      <c r="D97" s="247">
        <v>7.4579032172388968E-2</v>
      </c>
      <c r="E97" s="458">
        <v>-0.10319505908670908</v>
      </c>
      <c r="F97" s="247">
        <v>-2.4977481103710029E-3</v>
      </c>
      <c r="G97" s="247">
        <v>2.7446918694976695E-2</v>
      </c>
      <c r="H97" s="247">
        <v>-3.0390738060781474E-2</v>
      </c>
      <c r="I97" s="246">
        <v>2.1985856095502617E-3</v>
      </c>
      <c r="J97" s="246">
        <v>0</v>
      </c>
      <c r="K97" s="247">
        <v>0</v>
      </c>
      <c r="L97" s="247">
        <v>0</v>
      </c>
      <c r="M97" s="247">
        <v>0</v>
      </c>
      <c r="N97" s="246">
        <v>0</v>
      </c>
      <c r="O97" s="338">
        <v>0</v>
      </c>
      <c r="P97" s="247">
        <v>0</v>
      </c>
      <c r="Q97" s="246">
        <v>0</v>
      </c>
      <c r="R97" s="246">
        <v>0</v>
      </c>
      <c r="S97" s="246">
        <v>0</v>
      </c>
      <c r="T97" s="298">
        <v>0</v>
      </c>
      <c r="U97" s="298">
        <v>0</v>
      </c>
      <c r="V97" s="298">
        <v>0</v>
      </c>
      <c r="W97" s="298">
        <v>0</v>
      </c>
      <c r="X97" s="298">
        <v>0</v>
      </c>
      <c r="Y97" s="298">
        <v>0</v>
      </c>
      <c r="Z97" s="298">
        <v>0</v>
      </c>
      <c r="AA97" s="341">
        <v>0</v>
      </c>
      <c r="AB97" s="501"/>
      <c r="AC97" s="502"/>
      <c r="AD97" s="417"/>
      <c r="AE97" s="316"/>
    </row>
    <row r="98" spans="1:31" s="73" customFormat="1">
      <c r="A98" s="235"/>
      <c r="B98" s="236" t="s">
        <v>8</v>
      </c>
      <c r="C98" s="237">
        <v>33185.449999999997</v>
      </c>
      <c r="D98" s="238">
        <v>18896.741666666669</v>
      </c>
      <c r="E98" s="238">
        <v>20084.579166666666</v>
      </c>
      <c r="F98" s="238">
        <v>27273.679166666669</v>
      </c>
      <c r="G98" s="238">
        <v>2649.6750000000002</v>
      </c>
      <c r="H98" s="238">
        <v>1862.2666666666667</v>
      </c>
      <c r="I98" s="237">
        <v>103952.39166666666</v>
      </c>
      <c r="J98" s="237"/>
      <c r="K98" s="238">
        <v>71035.849999999991</v>
      </c>
      <c r="L98" s="238">
        <v>20908.283333333333</v>
      </c>
      <c r="M98" s="238">
        <v>3669.2</v>
      </c>
      <c r="N98" s="237">
        <v>95613.333333333328</v>
      </c>
      <c r="O98" s="299"/>
      <c r="P98" s="238"/>
      <c r="Q98" s="237"/>
      <c r="R98" s="237"/>
      <c r="S98" s="237"/>
      <c r="T98" s="297"/>
      <c r="U98" s="297"/>
      <c r="V98" s="297"/>
      <c r="W98" s="297"/>
      <c r="X98" s="297"/>
      <c r="Y98" s="297"/>
      <c r="Z98" s="297"/>
      <c r="AA98" s="342"/>
      <c r="AB98" s="499"/>
      <c r="AC98" s="500"/>
      <c r="AD98" s="416"/>
      <c r="AE98" s="316"/>
    </row>
    <row r="99" spans="1:31" s="73" customFormat="1">
      <c r="A99" s="235"/>
      <c r="B99" s="236" t="s">
        <v>94</v>
      </c>
      <c r="C99" s="237">
        <v>33712.807083333333</v>
      </c>
      <c r="D99" s="238">
        <v>19306.958333333336</v>
      </c>
      <c r="E99" s="238">
        <v>19980.787499999999</v>
      </c>
      <c r="F99" s="238">
        <v>27023.20416666667</v>
      </c>
      <c r="G99" s="238">
        <v>2584.6666666666665</v>
      </c>
      <c r="H99" s="238">
        <v>1841.9833333333333</v>
      </c>
      <c r="I99" s="237">
        <v>104450.40708333334</v>
      </c>
      <c r="J99" s="237"/>
      <c r="K99" s="238">
        <v>67112.533333333326</v>
      </c>
      <c r="L99" s="238">
        <v>18634.099999999999</v>
      </c>
      <c r="M99" s="238">
        <v>3499.0250000000001</v>
      </c>
      <c r="N99" s="237">
        <v>89245.658333333326</v>
      </c>
      <c r="O99" s="299"/>
      <c r="P99" s="238"/>
      <c r="Q99" s="237"/>
      <c r="R99" s="237"/>
      <c r="S99" s="237"/>
      <c r="T99" s="297"/>
      <c r="U99" s="297"/>
      <c r="V99" s="297"/>
      <c r="W99" s="297"/>
      <c r="X99" s="297"/>
      <c r="Y99" s="297"/>
      <c r="Z99" s="297"/>
      <c r="AA99" s="342"/>
      <c r="AB99" s="499"/>
      <c r="AC99" s="500"/>
      <c r="AD99" s="416"/>
      <c r="AE99" s="316"/>
    </row>
    <row r="100" spans="1:31" s="73" customFormat="1">
      <c r="A100" s="240"/>
      <c r="B100" s="296" t="s">
        <v>96</v>
      </c>
      <c r="C100" s="246">
        <v>1.5891213870335829E-2</v>
      </c>
      <c r="D100" s="247">
        <v>2.1708328023041033E-2</v>
      </c>
      <c r="E100" s="247">
        <v>-5.1677292217765522E-3</v>
      </c>
      <c r="F100" s="247">
        <v>-9.1837627945012996E-3</v>
      </c>
      <c r="G100" s="247">
        <v>-2.4534455483534268E-2</v>
      </c>
      <c r="H100" s="247">
        <v>-1.0891744827092415E-2</v>
      </c>
      <c r="I100" s="246">
        <v>4.7908028731424007E-3</v>
      </c>
      <c r="J100" s="246">
        <v>0</v>
      </c>
      <c r="K100" s="247">
        <v>-5.5230093912674603E-2</v>
      </c>
      <c r="L100" s="247">
        <v>-0.10876949087961156</v>
      </c>
      <c r="M100" s="247">
        <v>-4.6379319742723135E-2</v>
      </c>
      <c r="N100" s="246">
        <v>-6.6598190628922083E-2</v>
      </c>
      <c r="O100" s="338">
        <v>0</v>
      </c>
      <c r="P100" s="247">
        <v>0</v>
      </c>
      <c r="Q100" s="246">
        <v>0</v>
      </c>
      <c r="R100" s="246">
        <v>0</v>
      </c>
      <c r="S100" s="246">
        <v>0</v>
      </c>
      <c r="T100" s="298">
        <v>0</v>
      </c>
      <c r="U100" s="298">
        <v>0</v>
      </c>
      <c r="V100" s="298">
        <v>0</v>
      </c>
      <c r="W100" s="298">
        <v>0</v>
      </c>
      <c r="X100" s="298">
        <v>0</v>
      </c>
      <c r="Y100" s="298">
        <v>0</v>
      </c>
      <c r="Z100" s="298">
        <v>0</v>
      </c>
      <c r="AA100" s="341">
        <v>0</v>
      </c>
      <c r="AB100" s="499"/>
      <c r="AC100" s="500"/>
      <c r="AD100" s="417"/>
      <c r="AE100" s="316"/>
    </row>
    <row r="101" spans="1:31" s="73" customFormat="1">
      <c r="A101" s="324" t="s">
        <v>231</v>
      </c>
      <c r="B101" s="322" t="s">
        <v>86</v>
      </c>
      <c r="C101" s="319">
        <v>26569.1</v>
      </c>
      <c r="D101" s="323">
        <v>22512.7</v>
      </c>
      <c r="E101" s="323"/>
      <c r="F101" s="323">
        <v>6839.7000000000007</v>
      </c>
      <c r="G101" s="323">
        <v>2309.0666666666666</v>
      </c>
      <c r="H101" s="323"/>
      <c r="I101" s="319">
        <v>58230.566666666666</v>
      </c>
      <c r="J101" s="319"/>
      <c r="K101" s="323">
        <v>30403.76666666667</v>
      </c>
      <c r="L101" s="323">
        <v>31313.133333333331</v>
      </c>
      <c r="M101" s="323">
        <v>3614.5</v>
      </c>
      <c r="N101" s="319">
        <v>65331.4</v>
      </c>
      <c r="O101" s="319"/>
      <c r="P101" s="323"/>
      <c r="Q101" s="319"/>
      <c r="R101" s="319"/>
      <c r="S101" s="319"/>
      <c r="T101" s="331"/>
      <c r="U101" s="331"/>
      <c r="V101" s="331"/>
      <c r="W101" s="331"/>
      <c r="X101" s="331"/>
      <c r="Y101" s="331"/>
      <c r="Z101" s="331"/>
      <c r="AA101" s="339"/>
      <c r="AB101" s="494"/>
      <c r="AC101" s="497"/>
      <c r="AD101" s="416"/>
      <c r="AE101" s="316"/>
    </row>
    <row r="102" spans="1:31" s="73" customFormat="1">
      <c r="A102" s="235"/>
      <c r="B102" s="236" t="s">
        <v>84</v>
      </c>
      <c r="C102" s="237">
        <v>26479.466666666667</v>
      </c>
      <c r="D102" s="238">
        <v>23353.333333333336</v>
      </c>
      <c r="E102" s="238"/>
      <c r="F102" s="238">
        <v>6810.0666666666666</v>
      </c>
      <c r="G102" s="238">
        <v>2322.1666666666665</v>
      </c>
      <c r="H102" s="238"/>
      <c r="I102" s="237">
        <v>58965.033333333333</v>
      </c>
      <c r="J102" s="237"/>
      <c r="K102" s="238">
        <v>29990.933333333331</v>
      </c>
      <c r="L102" s="238">
        <v>31231.966666666667</v>
      </c>
      <c r="M102" s="238">
        <v>3591.666666666667</v>
      </c>
      <c r="N102" s="237">
        <v>64814.566666666658</v>
      </c>
      <c r="O102" s="237"/>
      <c r="P102" s="238"/>
      <c r="Q102" s="237"/>
      <c r="R102" s="237"/>
      <c r="S102" s="237"/>
      <c r="T102" s="297"/>
      <c r="U102" s="297"/>
      <c r="V102" s="297"/>
      <c r="W102" s="297"/>
      <c r="X102" s="297"/>
      <c r="Y102" s="297"/>
      <c r="Z102" s="297"/>
      <c r="AA102" s="340"/>
      <c r="AB102" s="499"/>
      <c r="AC102" s="500"/>
      <c r="AD102" s="416"/>
      <c r="AE102" s="316"/>
    </row>
    <row r="103" spans="1:31" s="73" customFormat="1">
      <c r="A103" s="235"/>
      <c r="B103" s="239" t="s">
        <v>98</v>
      </c>
      <c r="C103" s="246">
        <v>-3.3735931338785053E-3</v>
      </c>
      <c r="D103" s="247">
        <v>3.7340404897383918E-2</v>
      </c>
      <c r="E103" s="247">
        <v>0</v>
      </c>
      <c r="F103" s="247">
        <v>-4.3325486985297777E-3</v>
      </c>
      <c r="G103" s="247">
        <v>5.6732879085344334E-3</v>
      </c>
      <c r="H103" s="247">
        <v>0</v>
      </c>
      <c r="I103" s="246">
        <v>1.2613077782172829E-2</v>
      </c>
      <c r="J103" s="246">
        <v>0</v>
      </c>
      <c r="K103" s="247">
        <v>-1.3578361453021917E-2</v>
      </c>
      <c r="L103" s="247">
        <v>-2.592096606961432E-3</v>
      </c>
      <c r="M103" s="247">
        <v>-6.3171485221560466E-3</v>
      </c>
      <c r="N103" s="246">
        <v>-7.9109483852072421E-3</v>
      </c>
      <c r="O103" s="338">
        <v>0</v>
      </c>
      <c r="P103" s="247">
        <v>0</v>
      </c>
      <c r="Q103" s="246">
        <v>0</v>
      </c>
      <c r="R103" s="246">
        <v>0</v>
      </c>
      <c r="S103" s="246">
        <v>0</v>
      </c>
      <c r="T103" s="298">
        <v>0</v>
      </c>
      <c r="U103" s="298">
        <v>0</v>
      </c>
      <c r="V103" s="298">
        <v>0</v>
      </c>
      <c r="W103" s="298">
        <v>0</v>
      </c>
      <c r="X103" s="298">
        <v>0</v>
      </c>
      <c r="Y103" s="298">
        <v>0</v>
      </c>
      <c r="Z103" s="298">
        <v>0</v>
      </c>
      <c r="AA103" s="341">
        <v>0</v>
      </c>
      <c r="AB103" s="501"/>
      <c r="AC103" s="502"/>
      <c r="AD103" s="417"/>
      <c r="AE103" s="316"/>
    </row>
    <row r="104" spans="1:31" s="73" customFormat="1">
      <c r="A104" s="235"/>
      <c r="B104" s="236" t="s">
        <v>82</v>
      </c>
      <c r="C104" s="237">
        <v>0</v>
      </c>
      <c r="D104" s="238">
        <v>0</v>
      </c>
      <c r="E104" s="238"/>
      <c r="F104" s="238">
        <v>0</v>
      </c>
      <c r="G104" s="238">
        <v>0</v>
      </c>
      <c r="H104" s="238"/>
      <c r="I104" s="237">
        <v>0</v>
      </c>
      <c r="J104" s="237"/>
      <c r="K104" s="238">
        <v>0</v>
      </c>
      <c r="L104" s="238">
        <v>0</v>
      </c>
      <c r="M104" s="238">
        <v>0</v>
      </c>
      <c r="N104" s="237">
        <v>0</v>
      </c>
      <c r="O104" s="299"/>
      <c r="P104" s="238"/>
      <c r="Q104" s="237"/>
      <c r="R104" s="237"/>
      <c r="S104" s="237"/>
      <c r="T104" s="297"/>
      <c r="U104" s="297"/>
      <c r="V104" s="297"/>
      <c r="W104" s="297"/>
      <c r="X104" s="297"/>
      <c r="Y104" s="297"/>
      <c r="Z104" s="297"/>
      <c r="AA104" s="342"/>
      <c r="AB104" s="499"/>
      <c r="AC104" s="500"/>
      <c r="AD104" s="416"/>
      <c r="AE104" s="316"/>
    </row>
    <row r="105" spans="1:31" s="73" customFormat="1">
      <c r="A105" s="235"/>
      <c r="B105" s="236" t="s">
        <v>80</v>
      </c>
      <c r="C105" s="237">
        <v>0</v>
      </c>
      <c r="D105" s="238">
        <v>0</v>
      </c>
      <c r="E105" s="238"/>
      <c r="F105" s="238">
        <v>0</v>
      </c>
      <c r="G105" s="238">
        <v>0</v>
      </c>
      <c r="H105" s="238"/>
      <c r="I105" s="237">
        <v>0</v>
      </c>
      <c r="J105" s="237"/>
      <c r="K105" s="238">
        <v>0</v>
      </c>
      <c r="L105" s="238">
        <v>0</v>
      </c>
      <c r="M105" s="238">
        <v>0</v>
      </c>
      <c r="N105" s="237">
        <v>0</v>
      </c>
      <c r="O105" s="299"/>
      <c r="P105" s="238"/>
      <c r="Q105" s="237"/>
      <c r="R105" s="237"/>
      <c r="S105" s="237"/>
      <c r="T105" s="297"/>
      <c r="U105" s="297"/>
      <c r="V105" s="297"/>
      <c r="W105" s="297"/>
      <c r="X105" s="297"/>
      <c r="Y105" s="297"/>
      <c r="Z105" s="297"/>
      <c r="AA105" s="342"/>
      <c r="AB105" s="499"/>
      <c r="AC105" s="500"/>
      <c r="AD105" s="416"/>
      <c r="AE105" s="316"/>
    </row>
    <row r="106" spans="1:31" s="73" customFormat="1">
      <c r="A106" s="235"/>
      <c r="B106" s="239" t="s">
        <v>100</v>
      </c>
      <c r="C106" s="246">
        <v>0</v>
      </c>
      <c r="D106" s="247">
        <v>0</v>
      </c>
      <c r="E106" s="247">
        <v>0</v>
      </c>
      <c r="F106" s="247">
        <v>0</v>
      </c>
      <c r="G106" s="247">
        <v>0</v>
      </c>
      <c r="H106" s="247">
        <v>0</v>
      </c>
      <c r="I106" s="246">
        <v>0</v>
      </c>
      <c r="J106" s="246">
        <v>0</v>
      </c>
      <c r="K106" s="247">
        <v>0</v>
      </c>
      <c r="L106" s="247">
        <v>0</v>
      </c>
      <c r="M106" s="247">
        <v>0</v>
      </c>
      <c r="N106" s="246">
        <v>0</v>
      </c>
      <c r="O106" s="338">
        <v>0</v>
      </c>
      <c r="P106" s="247">
        <v>0</v>
      </c>
      <c r="Q106" s="246">
        <v>0</v>
      </c>
      <c r="R106" s="246">
        <v>0</v>
      </c>
      <c r="S106" s="246">
        <v>0</v>
      </c>
      <c r="T106" s="298">
        <v>0</v>
      </c>
      <c r="U106" s="298">
        <v>0</v>
      </c>
      <c r="V106" s="298">
        <v>0</v>
      </c>
      <c r="W106" s="298">
        <v>0</v>
      </c>
      <c r="X106" s="298">
        <v>0</v>
      </c>
      <c r="Y106" s="298">
        <v>0</v>
      </c>
      <c r="Z106" s="298">
        <v>0</v>
      </c>
      <c r="AA106" s="341">
        <v>0</v>
      </c>
      <c r="AB106" s="501"/>
      <c r="AC106" s="502"/>
      <c r="AD106" s="417"/>
      <c r="AE106" s="316"/>
    </row>
    <row r="107" spans="1:31" s="73" customFormat="1">
      <c r="A107" s="235"/>
      <c r="B107" s="236" t="s">
        <v>88</v>
      </c>
      <c r="C107" s="237">
        <v>4743.5</v>
      </c>
      <c r="D107" s="238">
        <v>4123.625</v>
      </c>
      <c r="E107" s="238"/>
      <c r="F107" s="238">
        <v>1799.1666666666667</v>
      </c>
      <c r="G107" s="238">
        <v>172.79166666666666</v>
      </c>
      <c r="H107" s="238"/>
      <c r="I107" s="237">
        <v>10839.083333333332</v>
      </c>
      <c r="J107" s="237"/>
      <c r="K107" s="238">
        <v>0</v>
      </c>
      <c r="L107" s="238">
        <v>0</v>
      </c>
      <c r="M107" s="238">
        <v>0</v>
      </c>
      <c r="N107" s="237">
        <v>0</v>
      </c>
      <c r="O107" s="299"/>
      <c r="P107" s="238"/>
      <c r="Q107" s="237"/>
      <c r="R107" s="237"/>
      <c r="S107" s="237"/>
      <c r="T107" s="297"/>
      <c r="U107" s="297"/>
      <c r="V107" s="297"/>
      <c r="W107" s="297"/>
      <c r="X107" s="297"/>
      <c r="Y107" s="297"/>
      <c r="Z107" s="297"/>
      <c r="AA107" s="342"/>
      <c r="AB107" s="499"/>
      <c r="AC107" s="500"/>
      <c r="AD107" s="416"/>
      <c r="AE107" s="316"/>
    </row>
    <row r="108" spans="1:31" s="73" customFormat="1">
      <c r="A108" s="235"/>
      <c r="B108" s="236" t="s">
        <v>90</v>
      </c>
      <c r="C108" s="237">
        <v>4389.2916666666661</v>
      </c>
      <c r="D108" s="238">
        <v>4150.9375</v>
      </c>
      <c r="E108" s="238"/>
      <c r="F108" s="238">
        <v>1687.8333333333333</v>
      </c>
      <c r="G108" s="238">
        <v>173.08333333333334</v>
      </c>
      <c r="H108" s="238"/>
      <c r="I108" s="237">
        <v>10401.145833333334</v>
      </c>
      <c r="J108" s="237"/>
      <c r="K108" s="238">
        <v>0</v>
      </c>
      <c r="L108" s="238">
        <v>0</v>
      </c>
      <c r="M108" s="238">
        <v>0</v>
      </c>
      <c r="N108" s="237">
        <v>0</v>
      </c>
      <c r="O108" s="299"/>
      <c r="P108" s="238"/>
      <c r="Q108" s="237"/>
      <c r="R108" s="237"/>
      <c r="S108" s="237"/>
      <c r="T108" s="297"/>
      <c r="U108" s="297"/>
      <c r="V108" s="297"/>
      <c r="W108" s="297"/>
      <c r="X108" s="297"/>
      <c r="Y108" s="297"/>
      <c r="Z108" s="297"/>
      <c r="AA108" s="342"/>
      <c r="AB108" s="499"/>
      <c r="AC108" s="500"/>
      <c r="AD108" s="416"/>
      <c r="AE108" s="316"/>
    </row>
    <row r="109" spans="1:31" s="73" customFormat="1">
      <c r="A109" s="235"/>
      <c r="B109" s="239" t="s">
        <v>92</v>
      </c>
      <c r="C109" s="246">
        <v>-7.4672358666245164E-2</v>
      </c>
      <c r="D109" s="247">
        <v>6.6234199278547394E-3</v>
      </c>
      <c r="E109" s="247">
        <v>0</v>
      </c>
      <c r="F109" s="247">
        <v>-6.1880500231588781E-2</v>
      </c>
      <c r="G109" s="247">
        <v>1.6879672052086943E-3</v>
      </c>
      <c r="H109" s="247">
        <v>0</v>
      </c>
      <c r="I109" s="246">
        <v>-4.0403555036172947E-2</v>
      </c>
      <c r="J109" s="246">
        <v>0</v>
      </c>
      <c r="K109" s="247">
        <v>0</v>
      </c>
      <c r="L109" s="247">
        <v>0</v>
      </c>
      <c r="M109" s="247">
        <v>0</v>
      </c>
      <c r="N109" s="246">
        <v>0</v>
      </c>
      <c r="O109" s="338">
        <v>0</v>
      </c>
      <c r="P109" s="247">
        <v>0</v>
      </c>
      <c r="Q109" s="246">
        <v>0</v>
      </c>
      <c r="R109" s="246">
        <v>0</v>
      </c>
      <c r="S109" s="246">
        <v>0</v>
      </c>
      <c r="T109" s="298">
        <v>0</v>
      </c>
      <c r="U109" s="298">
        <v>0</v>
      </c>
      <c r="V109" s="298">
        <v>0</v>
      </c>
      <c r="W109" s="298">
        <v>0</v>
      </c>
      <c r="X109" s="298">
        <v>0</v>
      </c>
      <c r="Y109" s="298">
        <v>0</v>
      </c>
      <c r="Z109" s="298">
        <v>0</v>
      </c>
      <c r="AA109" s="341">
        <v>0</v>
      </c>
      <c r="AB109" s="501"/>
      <c r="AC109" s="502"/>
      <c r="AD109" s="417"/>
      <c r="AE109" s="316"/>
    </row>
    <row r="110" spans="1:31" s="73" customFormat="1">
      <c r="A110" s="235"/>
      <c r="B110" s="236" t="s">
        <v>8</v>
      </c>
      <c r="C110" s="237">
        <v>31312.6</v>
      </c>
      <c r="D110" s="238">
        <v>26636.324999999997</v>
      </c>
      <c r="E110" s="238"/>
      <c r="F110" s="238">
        <v>8638.8666666666668</v>
      </c>
      <c r="G110" s="238">
        <v>2481.8583333333331</v>
      </c>
      <c r="H110" s="238"/>
      <c r="I110" s="237">
        <v>69069.649999999994</v>
      </c>
      <c r="J110" s="237"/>
      <c r="K110" s="238">
        <v>30403.76666666667</v>
      </c>
      <c r="L110" s="238">
        <v>31313.133333333331</v>
      </c>
      <c r="M110" s="238">
        <v>3614.5</v>
      </c>
      <c r="N110" s="237">
        <v>65331.4</v>
      </c>
      <c r="O110" s="299"/>
      <c r="P110" s="238"/>
      <c r="Q110" s="237"/>
      <c r="R110" s="237"/>
      <c r="S110" s="237"/>
      <c r="T110" s="297"/>
      <c r="U110" s="297"/>
      <c r="V110" s="297"/>
      <c r="W110" s="297"/>
      <c r="X110" s="297"/>
      <c r="Y110" s="297"/>
      <c r="Z110" s="297"/>
      <c r="AA110" s="342"/>
      <c r="AB110" s="499"/>
      <c r="AC110" s="500"/>
      <c r="AD110" s="416"/>
      <c r="AE110" s="316"/>
    </row>
    <row r="111" spans="1:31" s="73" customFormat="1">
      <c r="A111" s="235"/>
      <c r="B111" s="236" t="s">
        <v>94</v>
      </c>
      <c r="C111" s="237">
        <v>30868.758333333335</v>
      </c>
      <c r="D111" s="238">
        <v>27504.270833333332</v>
      </c>
      <c r="E111" s="238"/>
      <c r="F111" s="238">
        <v>8497.9</v>
      </c>
      <c r="G111" s="238">
        <v>2495.25</v>
      </c>
      <c r="H111" s="238"/>
      <c r="I111" s="237">
        <v>69366.179166666669</v>
      </c>
      <c r="J111" s="237"/>
      <c r="K111" s="238">
        <v>29990.933333333331</v>
      </c>
      <c r="L111" s="238">
        <v>31231.966666666667</v>
      </c>
      <c r="M111" s="238">
        <v>3591.666666666667</v>
      </c>
      <c r="N111" s="237">
        <v>64814.566666666658</v>
      </c>
      <c r="O111" s="299"/>
      <c r="P111" s="238"/>
      <c r="Q111" s="237"/>
      <c r="R111" s="237"/>
      <c r="S111" s="237"/>
      <c r="T111" s="297"/>
      <c r="U111" s="297"/>
      <c r="V111" s="297"/>
      <c r="W111" s="297"/>
      <c r="X111" s="297"/>
      <c r="Y111" s="297"/>
      <c r="Z111" s="297"/>
      <c r="AA111" s="342"/>
      <c r="AB111" s="499"/>
      <c r="AC111" s="500"/>
      <c r="AD111" s="416"/>
      <c r="AE111" s="316"/>
    </row>
    <row r="112" spans="1:31" s="73" customFormat="1">
      <c r="A112" s="240"/>
      <c r="B112" s="296" t="s">
        <v>96</v>
      </c>
      <c r="C112" s="246">
        <v>-1.4174538897014734E-2</v>
      </c>
      <c r="D112" s="247">
        <v>3.2585044420855171E-2</v>
      </c>
      <c r="E112" s="247">
        <v>0</v>
      </c>
      <c r="F112" s="247">
        <v>-1.631772686231996E-2</v>
      </c>
      <c r="G112" s="247">
        <v>5.3958223508594888E-3</v>
      </c>
      <c r="H112" s="247">
        <v>0</v>
      </c>
      <c r="I112" s="246">
        <v>4.2931905209691937E-3</v>
      </c>
      <c r="J112" s="246">
        <v>0</v>
      </c>
      <c r="K112" s="247">
        <v>-1.3578361453021917E-2</v>
      </c>
      <c r="L112" s="247">
        <v>-2.592096606961432E-3</v>
      </c>
      <c r="M112" s="247">
        <v>-6.3171485221560466E-3</v>
      </c>
      <c r="N112" s="246">
        <v>-7.9109483852072421E-3</v>
      </c>
      <c r="O112" s="338">
        <v>0</v>
      </c>
      <c r="P112" s="247">
        <v>0</v>
      </c>
      <c r="Q112" s="246">
        <v>0</v>
      </c>
      <c r="R112" s="246">
        <v>0</v>
      </c>
      <c r="S112" s="246">
        <v>0</v>
      </c>
      <c r="T112" s="298">
        <v>0</v>
      </c>
      <c r="U112" s="298">
        <v>0</v>
      </c>
      <c r="V112" s="298">
        <v>0</v>
      </c>
      <c r="W112" s="298">
        <v>0</v>
      </c>
      <c r="X112" s="298">
        <v>0</v>
      </c>
      <c r="Y112" s="298">
        <v>0</v>
      </c>
      <c r="Z112" s="298">
        <v>0</v>
      </c>
      <c r="AA112" s="341">
        <v>0</v>
      </c>
      <c r="AB112" s="499"/>
      <c r="AC112" s="500"/>
      <c r="AD112" s="417"/>
      <c r="AE112" s="316"/>
    </row>
    <row r="113" spans="1:31" s="73" customFormat="1">
      <c r="A113" s="324" t="s">
        <v>229</v>
      </c>
      <c r="B113" s="322" t="s">
        <v>86</v>
      </c>
      <c r="C113" s="319">
        <v>73978.5</v>
      </c>
      <c r="D113" s="323">
        <v>19896.900000000001</v>
      </c>
      <c r="E113" s="323">
        <v>51487.4</v>
      </c>
      <c r="F113" s="323">
        <v>4952.833333333333</v>
      </c>
      <c r="G113" s="323">
        <v>9566.1666666666679</v>
      </c>
      <c r="H113" s="323">
        <v>5391.9333333333334</v>
      </c>
      <c r="I113" s="319">
        <v>165273.73333333331</v>
      </c>
      <c r="J113" s="319"/>
      <c r="K113" s="323">
        <v>75999.666666666657</v>
      </c>
      <c r="L113" s="323">
        <v>59540.900000000016</v>
      </c>
      <c r="M113" s="323">
        <v>23352.100000000002</v>
      </c>
      <c r="N113" s="319">
        <v>158892.66666666669</v>
      </c>
      <c r="O113" s="319"/>
      <c r="P113" s="323"/>
      <c r="Q113" s="319"/>
      <c r="R113" s="319"/>
      <c r="S113" s="319"/>
      <c r="T113" s="331"/>
      <c r="U113" s="331"/>
      <c r="V113" s="331"/>
      <c r="W113" s="331"/>
      <c r="X113" s="331"/>
      <c r="Y113" s="331"/>
      <c r="Z113" s="331"/>
      <c r="AA113" s="339"/>
      <c r="AB113" s="494"/>
      <c r="AC113" s="497"/>
      <c r="AD113" s="416"/>
      <c r="AE113" s="316"/>
    </row>
    <row r="114" spans="1:31" s="73" customFormat="1">
      <c r="A114" s="235"/>
      <c r="B114" s="236" t="s">
        <v>84</v>
      </c>
      <c r="C114" s="237">
        <v>74944.633333333331</v>
      </c>
      <c r="D114" s="238">
        <v>20511.133333333335</v>
      </c>
      <c r="E114" s="238">
        <v>51861.533333333333</v>
      </c>
      <c r="F114" s="238">
        <v>5046.1000000000004</v>
      </c>
      <c r="G114" s="238">
        <v>9373.7000000000007</v>
      </c>
      <c r="H114" s="238">
        <v>5067.6666666666661</v>
      </c>
      <c r="I114" s="237">
        <v>166804.76666666666</v>
      </c>
      <c r="J114" s="237"/>
      <c r="K114" s="238">
        <v>72378.333333333343</v>
      </c>
      <c r="L114" s="238">
        <v>55524.43333333332</v>
      </c>
      <c r="M114" s="238">
        <v>21399.166666666661</v>
      </c>
      <c r="N114" s="237">
        <v>149301.93333333332</v>
      </c>
      <c r="O114" s="237"/>
      <c r="P114" s="238"/>
      <c r="Q114" s="237"/>
      <c r="R114" s="237"/>
      <c r="S114" s="237"/>
      <c r="T114" s="297"/>
      <c r="U114" s="297"/>
      <c r="V114" s="297"/>
      <c r="W114" s="297"/>
      <c r="X114" s="297"/>
      <c r="Y114" s="297"/>
      <c r="Z114" s="297"/>
      <c r="AA114" s="340"/>
      <c r="AB114" s="499"/>
      <c r="AC114" s="500"/>
      <c r="AD114" s="416"/>
      <c r="AE114" s="316"/>
    </row>
    <row r="115" spans="1:31" s="73" customFormat="1">
      <c r="A115" s="235"/>
      <c r="B115" s="239" t="s">
        <v>98</v>
      </c>
      <c r="C115" s="246">
        <v>1.3059650213688184E-2</v>
      </c>
      <c r="D115" s="247">
        <v>3.0870805669894984E-2</v>
      </c>
      <c r="E115" s="247">
        <v>7.2665027430659033E-3</v>
      </c>
      <c r="F115" s="247">
        <v>1.8830972170811457E-2</v>
      </c>
      <c r="G115" s="247">
        <v>-2.0119518441730454E-2</v>
      </c>
      <c r="H115" s="458">
        <v>-6.0139220316769618E-2</v>
      </c>
      <c r="I115" s="246">
        <v>9.2636216442539693E-3</v>
      </c>
      <c r="J115" s="246">
        <v>0</v>
      </c>
      <c r="K115" s="247">
        <v>-4.7649331795314644E-2</v>
      </c>
      <c r="L115" s="247">
        <v>-6.7457271668159111E-2</v>
      </c>
      <c r="M115" s="247">
        <v>-8.3629880538938314E-2</v>
      </c>
      <c r="N115" s="246">
        <v>-6.0359823612585621E-2</v>
      </c>
      <c r="O115" s="338">
        <v>0</v>
      </c>
      <c r="P115" s="247">
        <v>0</v>
      </c>
      <c r="Q115" s="246">
        <v>0</v>
      </c>
      <c r="R115" s="246">
        <v>0</v>
      </c>
      <c r="S115" s="246">
        <v>0</v>
      </c>
      <c r="T115" s="298">
        <v>0</v>
      </c>
      <c r="U115" s="298">
        <v>0</v>
      </c>
      <c r="V115" s="298">
        <v>0</v>
      </c>
      <c r="W115" s="298">
        <v>0</v>
      </c>
      <c r="X115" s="298">
        <v>0</v>
      </c>
      <c r="Y115" s="298">
        <v>0</v>
      </c>
      <c r="Z115" s="298">
        <v>0</v>
      </c>
      <c r="AA115" s="341">
        <v>0</v>
      </c>
      <c r="AB115" s="501"/>
      <c r="AC115" s="502"/>
      <c r="AD115" s="417"/>
      <c r="AE115" s="316"/>
    </row>
    <row r="116" spans="1:31" s="73" customFormat="1">
      <c r="A116" s="235"/>
      <c r="B116" s="236" t="s">
        <v>82</v>
      </c>
      <c r="C116" s="237">
        <v>0</v>
      </c>
      <c r="D116" s="238">
        <v>0</v>
      </c>
      <c r="E116" s="238">
        <v>0</v>
      </c>
      <c r="F116" s="238">
        <v>0</v>
      </c>
      <c r="G116" s="238">
        <v>0</v>
      </c>
      <c r="H116" s="238">
        <v>0</v>
      </c>
      <c r="I116" s="237">
        <v>0</v>
      </c>
      <c r="J116" s="237"/>
      <c r="K116" s="238">
        <v>12630.86</v>
      </c>
      <c r="L116" s="238">
        <v>15127.434444444447</v>
      </c>
      <c r="M116" s="238">
        <v>8383.6322222222207</v>
      </c>
      <c r="N116" s="237">
        <v>36141.926666666666</v>
      </c>
      <c r="O116" s="299"/>
      <c r="P116" s="238"/>
      <c r="Q116" s="237"/>
      <c r="R116" s="237"/>
      <c r="S116" s="237"/>
      <c r="T116" s="297"/>
      <c r="U116" s="297"/>
      <c r="V116" s="297"/>
      <c r="W116" s="297"/>
      <c r="X116" s="297"/>
      <c r="Y116" s="297"/>
      <c r="Z116" s="297"/>
      <c r="AA116" s="342"/>
      <c r="AB116" s="499"/>
      <c r="AC116" s="500"/>
      <c r="AD116" s="416"/>
      <c r="AE116" s="316"/>
    </row>
    <row r="117" spans="1:31" s="73" customFormat="1">
      <c r="A117" s="235"/>
      <c r="B117" s="236" t="s">
        <v>80</v>
      </c>
      <c r="C117" s="237">
        <v>0</v>
      </c>
      <c r="D117" s="238">
        <v>0</v>
      </c>
      <c r="E117" s="238">
        <v>0</v>
      </c>
      <c r="F117" s="238">
        <v>0</v>
      </c>
      <c r="G117" s="238">
        <v>0</v>
      </c>
      <c r="H117" s="238">
        <v>0</v>
      </c>
      <c r="I117" s="237">
        <v>0</v>
      </c>
      <c r="J117" s="237"/>
      <c r="K117" s="238">
        <v>11969.885555555555</v>
      </c>
      <c r="L117" s="238">
        <v>14017.975555555555</v>
      </c>
      <c r="M117" s="238">
        <v>7903.1044444444433</v>
      </c>
      <c r="N117" s="237">
        <v>33890.965555555551</v>
      </c>
      <c r="O117" s="299"/>
      <c r="P117" s="238"/>
      <c r="Q117" s="237"/>
      <c r="R117" s="237"/>
      <c r="S117" s="237"/>
      <c r="T117" s="297"/>
      <c r="U117" s="297"/>
      <c r="V117" s="297"/>
      <c r="W117" s="297"/>
      <c r="X117" s="297"/>
      <c r="Y117" s="297"/>
      <c r="Z117" s="297"/>
      <c r="AA117" s="342"/>
      <c r="AB117" s="499"/>
      <c r="AC117" s="500"/>
      <c r="AD117" s="416"/>
      <c r="AE117" s="316"/>
    </row>
    <row r="118" spans="1:31" s="73" customFormat="1">
      <c r="A118" s="235"/>
      <c r="B118" s="239" t="s">
        <v>100</v>
      </c>
      <c r="C118" s="246">
        <v>0</v>
      </c>
      <c r="D118" s="247">
        <v>0</v>
      </c>
      <c r="E118" s="247">
        <v>0</v>
      </c>
      <c r="F118" s="247">
        <v>0</v>
      </c>
      <c r="G118" s="247">
        <v>0</v>
      </c>
      <c r="H118" s="247">
        <v>0</v>
      </c>
      <c r="I118" s="246">
        <v>0</v>
      </c>
      <c r="J118" s="246">
        <v>0</v>
      </c>
      <c r="K118" s="247">
        <v>-5.2330121974627684E-2</v>
      </c>
      <c r="L118" s="247">
        <v>-7.3340849234110619E-2</v>
      </c>
      <c r="M118" s="247">
        <v>-5.7317373310348474E-2</v>
      </c>
      <c r="N118" s="246">
        <v>-6.2281159825028402E-2</v>
      </c>
      <c r="O118" s="338">
        <v>0</v>
      </c>
      <c r="P118" s="247">
        <v>0</v>
      </c>
      <c r="Q118" s="246">
        <v>0</v>
      </c>
      <c r="R118" s="246">
        <v>0</v>
      </c>
      <c r="S118" s="246">
        <v>0</v>
      </c>
      <c r="T118" s="298">
        <v>0</v>
      </c>
      <c r="U118" s="298">
        <v>0</v>
      </c>
      <c r="V118" s="298">
        <v>0</v>
      </c>
      <c r="W118" s="298">
        <v>0</v>
      </c>
      <c r="X118" s="298">
        <v>0</v>
      </c>
      <c r="Y118" s="298">
        <v>0</v>
      </c>
      <c r="Z118" s="298">
        <v>0</v>
      </c>
      <c r="AA118" s="341">
        <v>0</v>
      </c>
      <c r="AB118" s="501"/>
      <c r="AC118" s="502"/>
      <c r="AD118" s="417"/>
      <c r="AE118" s="316"/>
    </row>
    <row r="119" spans="1:31" s="73" customFormat="1">
      <c r="A119" s="235"/>
      <c r="B119" s="236" t="s">
        <v>88</v>
      </c>
      <c r="C119" s="237">
        <v>19368.541666666668</v>
      </c>
      <c r="D119" s="238">
        <v>3381.375</v>
      </c>
      <c r="E119" s="238">
        <v>6623.0833333333339</v>
      </c>
      <c r="F119" s="238">
        <v>484.04166666666669</v>
      </c>
      <c r="G119" s="238">
        <v>981.79166666666674</v>
      </c>
      <c r="H119" s="238">
        <v>59.5</v>
      </c>
      <c r="I119" s="237">
        <v>30898.333333333336</v>
      </c>
      <c r="J119" s="237"/>
      <c r="K119" s="238">
        <v>0</v>
      </c>
      <c r="L119" s="238">
        <v>0</v>
      </c>
      <c r="M119" s="238">
        <v>0</v>
      </c>
      <c r="N119" s="237">
        <v>0</v>
      </c>
      <c r="O119" s="299"/>
      <c r="P119" s="238"/>
      <c r="Q119" s="237"/>
      <c r="R119" s="237"/>
      <c r="S119" s="237"/>
      <c r="T119" s="297"/>
      <c r="U119" s="297"/>
      <c r="V119" s="297"/>
      <c r="W119" s="297"/>
      <c r="X119" s="297"/>
      <c r="Y119" s="297"/>
      <c r="Z119" s="297"/>
      <c r="AA119" s="342"/>
      <c r="AB119" s="499"/>
      <c r="AC119" s="500"/>
      <c r="AD119" s="416"/>
      <c r="AE119" s="316"/>
    </row>
    <row r="120" spans="1:31" s="73" customFormat="1">
      <c r="A120" s="235"/>
      <c r="B120" s="236" t="s">
        <v>90</v>
      </c>
      <c r="C120" s="237">
        <v>19959.166666666668</v>
      </c>
      <c r="D120" s="238">
        <v>3355.7083333333335</v>
      </c>
      <c r="E120" s="238">
        <v>6499.625</v>
      </c>
      <c r="F120" s="238">
        <v>420.75</v>
      </c>
      <c r="G120" s="238">
        <v>946.66666666666674</v>
      </c>
      <c r="H120" s="238">
        <v>48.208333333333336</v>
      </c>
      <c r="I120" s="237">
        <v>31230.125</v>
      </c>
      <c r="J120" s="237"/>
      <c r="K120" s="238">
        <v>0</v>
      </c>
      <c r="L120" s="238">
        <v>0</v>
      </c>
      <c r="M120" s="238">
        <v>0</v>
      </c>
      <c r="N120" s="237">
        <v>0</v>
      </c>
      <c r="O120" s="299"/>
      <c r="P120" s="238"/>
      <c r="Q120" s="237"/>
      <c r="R120" s="237"/>
      <c r="S120" s="237"/>
      <c r="T120" s="297"/>
      <c r="U120" s="297"/>
      <c r="V120" s="297"/>
      <c r="W120" s="297"/>
      <c r="X120" s="297"/>
      <c r="Y120" s="297"/>
      <c r="Z120" s="297"/>
      <c r="AA120" s="342"/>
      <c r="AB120" s="499"/>
      <c r="AC120" s="500"/>
      <c r="AD120" s="416"/>
      <c r="AE120" s="316"/>
    </row>
    <row r="121" spans="1:31" s="73" customFormat="1">
      <c r="A121" s="235"/>
      <c r="B121" s="239" t="s">
        <v>92</v>
      </c>
      <c r="C121" s="246">
        <v>3.0494035646290697E-2</v>
      </c>
      <c r="D121" s="247">
        <v>-7.5906004707157635E-3</v>
      </c>
      <c r="E121" s="247">
        <v>-1.864061300753686E-2</v>
      </c>
      <c r="F121" s="458">
        <v>-0.13075664973745377</v>
      </c>
      <c r="G121" s="247">
        <v>-3.5776429147392097E-2</v>
      </c>
      <c r="H121" s="458">
        <v>-0.18977591036414562</v>
      </c>
      <c r="I121" s="246">
        <v>1.0738173580020417E-2</v>
      </c>
      <c r="J121" s="246">
        <v>0</v>
      </c>
      <c r="K121" s="247">
        <v>0</v>
      </c>
      <c r="L121" s="247">
        <v>0</v>
      </c>
      <c r="M121" s="247">
        <v>0</v>
      </c>
      <c r="N121" s="246">
        <v>0</v>
      </c>
      <c r="O121" s="338">
        <v>0</v>
      </c>
      <c r="P121" s="247">
        <v>0</v>
      </c>
      <c r="Q121" s="246">
        <v>0</v>
      </c>
      <c r="R121" s="246">
        <v>0</v>
      </c>
      <c r="S121" s="246">
        <v>0</v>
      </c>
      <c r="T121" s="298">
        <v>0</v>
      </c>
      <c r="U121" s="298">
        <v>0</v>
      </c>
      <c r="V121" s="298">
        <v>0</v>
      </c>
      <c r="W121" s="298">
        <v>0</v>
      </c>
      <c r="X121" s="298">
        <v>0</v>
      </c>
      <c r="Y121" s="298">
        <v>0</v>
      </c>
      <c r="Z121" s="298">
        <v>0</v>
      </c>
      <c r="AA121" s="341">
        <v>0</v>
      </c>
      <c r="AB121" s="501"/>
      <c r="AC121" s="502"/>
      <c r="AD121" s="417"/>
      <c r="AE121" s="316"/>
    </row>
    <row r="122" spans="1:31" s="73" customFormat="1">
      <c r="A122" s="235"/>
      <c r="B122" s="236" t="s">
        <v>8</v>
      </c>
      <c r="C122" s="237">
        <v>93347.041666666672</v>
      </c>
      <c r="D122" s="238">
        <v>23278.275000000001</v>
      </c>
      <c r="E122" s="238">
        <v>58110.483333333337</v>
      </c>
      <c r="F122" s="238">
        <v>5436.875</v>
      </c>
      <c r="G122" s="238">
        <v>10547.958333333332</v>
      </c>
      <c r="H122" s="238">
        <v>5451.4333333333325</v>
      </c>
      <c r="I122" s="237">
        <v>196172.06666666668</v>
      </c>
      <c r="J122" s="237"/>
      <c r="K122" s="238">
        <v>88630.526666666672</v>
      </c>
      <c r="L122" s="238">
        <v>74668.334444444437</v>
      </c>
      <c r="M122" s="238">
        <v>31735.732222222221</v>
      </c>
      <c r="N122" s="237">
        <v>195034.59333333335</v>
      </c>
      <c r="O122" s="299"/>
      <c r="P122" s="238"/>
      <c r="Q122" s="237"/>
      <c r="R122" s="237"/>
      <c r="S122" s="237"/>
      <c r="T122" s="297"/>
      <c r="U122" s="297"/>
      <c r="V122" s="297"/>
      <c r="W122" s="297"/>
      <c r="X122" s="297"/>
      <c r="Y122" s="297"/>
      <c r="Z122" s="297"/>
      <c r="AA122" s="342"/>
      <c r="AB122" s="499"/>
      <c r="AC122" s="500"/>
      <c r="AD122" s="416"/>
      <c r="AE122" s="316"/>
    </row>
    <row r="123" spans="1:31" s="73" customFormat="1">
      <c r="A123" s="235"/>
      <c r="B123" s="236" t="s">
        <v>94</v>
      </c>
      <c r="C123" s="237">
        <v>94903.799999999988</v>
      </c>
      <c r="D123" s="238">
        <v>23866.841666666667</v>
      </c>
      <c r="E123" s="238">
        <v>58361.158333333326</v>
      </c>
      <c r="F123" s="238">
        <v>5466.85</v>
      </c>
      <c r="G123" s="238">
        <v>10320.366666666665</v>
      </c>
      <c r="H123" s="238">
        <v>5115.875</v>
      </c>
      <c r="I123" s="237">
        <v>198034.89166666666</v>
      </c>
      <c r="J123" s="237"/>
      <c r="K123" s="238">
        <v>84348.218888888892</v>
      </c>
      <c r="L123" s="238">
        <v>69542.408888888895</v>
      </c>
      <c r="M123" s="238">
        <v>29302.271111111109</v>
      </c>
      <c r="N123" s="237">
        <v>183192.89888888889</v>
      </c>
      <c r="O123" s="299"/>
      <c r="P123" s="238"/>
      <c r="Q123" s="237"/>
      <c r="R123" s="237"/>
      <c r="S123" s="237"/>
      <c r="T123" s="297"/>
      <c r="U123" s="297"/>
      <c r="V123" s="297"/>
      <c r="W123" s="297"/>
      <c r="X123" s="297"/>
      <c r="Y123" s="297"/>
      <c r="Z123" s="297"/>
      <c r="AA123" s="342"/>
      <c r="AB123" s="499"/>
      <c r="AC123" s="500"/>
      <c r="AD123" s="416"/>
      <c r="AE123" s="316"/>
    </row>
    <row r="124" spans="1:31" s="73" customFormat="1">
      <c r="A124" s="240"/>
      <c r="B124" s="296" t="s">
        <v>96</v>
      </c>
      <c r="C124" s="246">
        <v>1.667710412176051E-2</v>
      </c>
      <c r="D124" s="247">
        <v>2.5283946798749721E-2</v>
      </c>
      <c r="E124" s="247">
        <v>4.3137655311188258E-3</v>
      </c>
      <c r="F124" s="247">
        <v>5.5132773882056079E-3</v>
      </c>
      <c r="G124" s="247">
        <v>-2.1576845440073364E-2</v>
      </c>
      <c r="H124" s="247">
        <v>-6.1554147838794544E-2</v>
      </c>
      <c r="I124" s="246">
        <v>9.4958728408837748E-3</v>
      </c>
      <c r="J124" s="246">
        <v>0</v>
      </c>
      <c r="K124" s="247">
        <v>-4.8316397733742973E-2</v>
      </c>
      <c r="L124" s="247">
        <v>-6.8649255319460631E-2</v>
      </c>
      <c r="M124" s="247">
        <v>-7.66789023196741E-2</v>
      </c>
      <c r="N124" s="246">
        <v>-6.0715867078029818E-2</v>
      </c>
      <c r="O124" s="338">
        <v>0</v>
      </c>
      <c r="P124" s="247">
        <v>0</v>
      </c>
      <c r="Q124" s="246">
        <v>0</v>
      </c>
      <c r="R124" s="246">
        <v>0</v>
      </c>
      <c r="S124" s="246">
        <v>0</v>
      </c>
      <c r="T124" s="298">
        <v>0</v>
      </c>
      <c r="U124" s="298">
        <v>0</v>
      </c>
      <c r="V124" s="298">
        <v>0</v>
      </c>
      <c r="W124" s="298">
        <v>0</v>
      </c>
      <c r="X124" s="298">
        <v>0</v>
      </c>
      <c r="Y124" s="298">
        <v>0</v>
      </c>
      <c r="Z124" s="298">
        <v>0</v>
      </c>
      <c r="AA124" s="341">
        <v>0</v>
      </c>
      <c r="AB124" s="499"/>
      <c r="AC124" s="500"/>
      <c r="AD124" s="417"/>
      <c r="AE124" s="316"/>
    </row>
    <row r="125" spans="1:31" s="73" customFormat="1">
      <c r="A125" s="324" t="s">
        <v>233</v>
      </c>
      <c r="B125" s="322" t="s">
        <v>86</v>
      </c>
      <c r="C125" s="319">
        <v>39377</v>
      </c>
      <c r="D125" s="323"/>
      <c r="E125" s="323">
        <v>18091.733333333334</v>
      </c>
      <c r="F125" s="323">
        <v>2988.5</v>
      </c>
      <c r="G125" s="323">
        <v>14784.466666666667</v>
      </c>
      <c r="H125" s="323">
        <v>4942.7999999999993</v>
      </c>
      <c r="I125" s="319">
        <v>80184.500000000015</v>
      </c>
      <c r="J125" s="319">
        <v>7513</v>
      </c>
      <c r="K125" s="323">
        <v>19723.266666666666</v>
      </c>
      <c r="L125" s="323">
        <v>7471.5</v>
      </c>
      <c r="M125" s="323">
        <v>12007.933333333334</v>
      </c>
      <c r="N125" s="319">
        <v>46715.7</v>
      </c>
      <c r="O125" s="319"/>
      <c r="P125" s="323"/>
      <c r="Q125" s="319">
        <v>0</v>
      </c>
      <c r="R125" s="319">
        <v>0</v>
      </c>
      <c r="S125" s="319">
        <v>0</v>
      </c>
      <c r="T125" s="331"/>
      <c r="U125" s="331"/>
      <c r="V125" s="331"/>
      <c r="W125" s="331"/>
      <c r="X125" s="331"/>
      <c r="Y125" s="331"/>
      <c r="Z125" s="331"/>
      <c r="AA125" s="339"/>
      <c r="AB125" s="494"/>
      <c r="AC125" s="497"/>
      <c r="AD125" s="416"/>
      <c r="AE125" s="316"/>
    </row>
    <row r="126" spans="1:31" s="73" customFormat="1">
      <c r="A126" s="235"/>
      <c r="B126" s="236" t="s">
        <v>84</v>
      </c>
      <c r="C126" s="237">
        <v>40026.1</v>
      </c>
      <c r="D126" s="238"/>
      <c r="E126" s="238">
        <v>17928.599999999999</v>
      </c>
      <c r="F126" s="238">
        <v>2811.2333333333331</v>
      </c>
      <c r="G126" s="238">
        <v>14641</v>
      </c>
      <c r="H126" s="238">
        <v>4867.6333333333332</v>
      </c>
      <c r="I126" s="237">
        <v>80274.566666666651</v>
      </c>
      <c r="J126" s="237">
        <v>6647.7</v>
      </c>
      <c r="K126" s="238">
        <v>19343.533333333333</v>
      </c>
      <c r="L126" s="238">
        <v>7302.6666666666661</v>
      </c>
      <c r="M126" s="238">
        <v>11579.599999999999</v>
      </c>
      <c r="N126" s="237">
        <v>44873.5</v>
      </c>
      <c r="O126" s="237"/>
      <c r="P126" s="238"/>
      <c r="Q126" s="237">
        <v>0</v>
      </c>
      <c r="R126" s="237">
        <v>0</v>
      </c>
      <c r="S126" s="237">
        <v>0</v>
      </c>
      <c r="T126" s="297"/>
      <c r="U126" s="297"/>
      <c r="V126" s="297"/>
      <c r="W126" s="297"/>
      <c r="X126" s="297"/>
      <c r="Y126" s="297"/>
      <c r="Z126" s="297"/>
      <c r="AA126" s="340"/>
      <c r="AB126" s="499"/>
      <c r="AC126" s="500"/>
      <c r="AD126" s="416"/>
      <c r="AE126" s="316"/>
    </row>
    <row r="127" spans="1:31" s="73" customFormat="1">
      <c r="A127" s="235"/>
      <c r="B127" s="239" t="s">
        <v>98</v>
      </c>
      <c r="C127" s="246">
        <v>1.6484242070244015E-2</v>
      </c>
      <c r="D127" s="247">
        <v>0</v>
      </c>
      <c r="E127" s="247">
        <v>-9.0170096102825063E-3</v>
      </c>
      <c r="F127" s="247">
        <v>-5.931626791589991E-2</v>
      </c>
      <c r="G127" s="247">
        <v>-9.7038783948919689E-3</v>
      </c>
      <c r="H127" s="247">
        <v>-1.520730490140529E-2</v>
      </c>
      <c r="I127" s="246">
        <v>1.1232428544997674E-3</v>
      </c>
      <c r="J127" s="457">
        <v>-0.11517369892186878</v>
      </c>
      <c r="K127" s="247">
        <v>-1.9253064908111919E-2</v>
      </c>
      <c r="L127" s="247">
        <v>-2.2596979633719327E-2</v>
      </c>
      <c r="M127" s="247">
        <v>-3.5670862041206293E-2</v>
      </c>
      <c r="N127" s="246">
        <v>-3.9434280124241286E-2</v>
      </c>
      <c r="O127" s="338">
        <v>0</v>
      </c>
      <c r="P127" s="247">
        <v>0</v>
      </c>
      <c r="Q127" s="246">
        <v>0</v>
      </c>
      <c r="R127" s="246">
        <v>0</v>
      </c>
      <c r="S127" s="246">
        <v>0</v>
      </c>
      <c r="T127" s="298">
        <v>0</v>
      </c>
      <c r="U127" s="298">
        <v>0</v>
      </c>
      <c r="V127" s="298">
        <v>0</v>
      </c>
      <c r="W127" s="298">
        <v>0</v>
      </c>
      <c r="X127" s="298">
        <v>0</v>
      </c>
      <c r="Y127" s="298">
        <v>0</v>
      </c>
      <c r="Z127" s="298">
        <v>0</v>
      </c>
      <c r="AA127" s="341">
        <v>0</v>
      </c>
      <c r="AB127" s="501"/>
      <c r="AC127" s="502"/>
      <c r="AD127" s="417"/>
      <c r="AE127" s="316"/>
    </row>
    <row r="128" spans="1:31" s="73" customFormat="1">
      <c r="A128" s="235"/>
      <c r="B128" s="236" t="s">
        <v>82</v>
      </c>
      <c r="C128" s="237">
        <v>0</v>
      </c>
      <c r="D128" s="238"/>
      <c r="E128" s="238">
        <v>0</v>
      </c>
      <c r="F128" s="238">
        <v>0</v>
      </c>
      <c r="G128" s="238">
        <v>0</v>
      </c>
      <c r="H128" s="238">
        <v>0</v>
      </c>
      <c r="I128" s="237">
        <v>0</v>
      </c>
      <c r="J128" s="237">
        <v>0</v>
      </c>
      <c r="K128" s="238">
        <v>0</v>
      </c>
      <c r="L128" s="238">
        <v>0</v>
      </c>
      <c r="M128" s="238">
        <v>0</v>
      </c>
      <c r="N128" s="237">
        <v>0</v>
      </c>
      <c r="O128" s="299"/>
      <c r="P128" s="238"/>
      <c r="Q128" s="237">
        <v>4765.8004555555563</v>
      </c>
      <c r="R128" s="237">
        <v>14933.55401111111</v>
      </c>
      <c r="S128" s="237">
        <v>19699.354466666664</v>
      </c>
      <c r="T128" s="297"/>
      <c r="U128" s="297"/>
      <c r="V128" s="297"/>
      <c r="W128" s="297"/>
      <c r="X128" s="297"/>
      <c r="Y128" s="297"/>
      <c r="Z128" s="297"/>
      <c r="AA128" s="342"/>
      <c r="AB128" s="499"/>
      <c r="AC128" s="500"/>
      <c r="AD128" s="416"/>
      <c r="AE128" s="316"/>
    </row>
    <row r="129" spans="1:31" s="73" customFormat="1">
      <c r="A129" s="235"/>
      <c r="B129" s="236" t="s">
        <v>80</v>
      </c>
      <c r="C129" s="237">
        <v>0</v>
      </c>
      <c r="D129" s="238"/>
      <c r="E129" s="238">
        <v>0</v>
      </c>
      <c r="F129" s="238">
        <v>0</v>
      </c>
      <c r="G129" s="238">
        <v>0</v>
      </c>
      <c r="H129" s="238">
        <v>0</v>
      </c>
      <c r="I129" s="237">
        <v>0</v>
      </c>
      <c r="J129" s="237">
        <v>0</v>
      </c>
      <c r="K129" s="238">
        <v>0</v>
      </c>
      <c r="L129" s="238">
        <v>0</v>
      </c>
      <c r="M129" s="238">
        <v>0</v>
      </c>
      <c r="N129" s="237">
        <v>0</v>
      </c>
      <c r="O129" s="299"/>
      <c r="P129" s="238"/>
      <c r="Q129" s="237">
        <v>4789.910322222222</v>
      </c>
      <c r="R129" s="237">
        <v>14653.944644444447</v>
      </c>
      <c r="S129" s="237">
        <v>19443.854966666669</v>
      </c>
      <c r="T129" s="297"/>
      <c r="U129" s="297"/>
      <c r="V129" s="297"/>
      <c r="W129" s="297"/>
      <c r="X129" s="297"/>
      <c r="Y129" s="297"/>
      <c r="Z129" s="297"/>
      <c r="AA129" s="342"/>
      <c r="AB129" s="499"/>
      <c r="AC129" s="500"/>
      <c r="AD129" s="416"/>
      <c r="AE129" s="316"/>
    </row>
    <row r="130" spans="1:31" s="73" customFormat="1">
      <c r="A130" s="235"/>
      <c r="B130" s="239" t="s">
        <v>100</v>
      </c>
      <c r="C130" s="246">
        <v>0</v>
      </c>
      <c r="D130" s="247">
        <v>0</v>
      </c>
      <c r="E130" s="247">
        <v>0</v>
      </c>
      <c r="F130" s="247">
        <v>0</v>
      </c>
      <c r="G130" s="247">
        <v>0</v>
      </c>
      <c r="H130" s="247">
        <v>0</v>
      </c>
      <c r="I130" s="246">
        <v>0</v>
      </c>
      <c r="J130" s="246">
        <v>0</v>
      </c>
      <c r="K130" s="247">
        <v>0</v>
      </c>
      <c r="L130" s="247">
        <v>0</v>
      </c>
      <c r="M130" s="247">
        <v>0</v>
      </c>
      <c r="N130" s="246">
        <v>0</v>
      </c>
      <c r="O130" s="338">
        <v>0</v>
      </c>
      <c r="P130" s="247">
        <v>0</v>
      </c>
      <c r="Q130" s="246">
        <v>5.0589333085821033E-3</v>
      </c>
      <c r="R130" s="246">
        <v>-1.8723564829820311E-2</v>
      </c>
      <c r="S130" s="246">
        <v>-1.2969942768039909E-2</v>
      </c>
      <c r="T130" s="298">
        <v>0</v>
      </c>
      <c r="U130" s="298">
        <v>0</v>
      </c>
      <c r="V130" s="298">
        <v>0</v>
      </c>
      <c r="W130" s="298">
        <v>0</v>
      </c>
      <c r="X130" s="298">
        <v>0</v>
      </c>
      <c r="Y130" s="298">
        <v>0</v>
      </c>
      <c r="Z130" s="298">
        <v>0</v>
      </c>
      <c r="AA130" s="341">
        <v>0</v>
      </c>
      <c r="AB130" s="501"/>
      <c r="AC130" s="502"/>
      <c r="AD130" s="417"/>
      <c r="AE130" s="316"/>
    </row>
    <row r="131" spans="1:31" s="73" customFormat="1">
      <c r="A131" s="235"/>
      <c r="B131" s="236" t="s">
        <v>88</v>
      </c>
      <c r="C131" s="237">
        <v>0</v>
      </c>
      <c r="D131" s="238"/>
      <c r="E131" s="238">
        <v>1986.6666666666665</v>
      </c>
      <c r="F131" s="238">
        <v>242.625</v>
      </c>
      <c r="G131" s="238">
        <v>1758.2916666666665</v>
      </c>
      <c r="H131" s="238">
        <v>3.125</v>
      </c>
      <c r="I131" s="237">
        <v>3990.708333333333</v>
      </c>
      <c r="J131" s="237">
        <v>0</v>
      </c>
      <c r="K131" s="238">
        <v>0</v>
      </c>
      <c r="L131" s="238">
        <v>0</v>
      </c>
      <c r="M131" s="238">
        <v>0</v>
      </c>
      <c r="N131" s="237">
        <v>0</v>
      </c>
      <c r="O131" s="299"/>
      <c r="P131" s="238"/>
      <c r="Q131" s="237">
        <v>0</v>
      </c>
      <c r="R131" s="237">
        <v>0</v>
      </c>
      <c r="S131" s="237">
        <v>0</v>
      </c>
      <c r="T131" s="297"/>
      <c r="U131" s="297"/>
      <c r="V131" s="297"/>
      <c r="W131" s="297"/>
      <c r="X131" s="297"/>
      <c r="Y131" s="297"/>
      <c r="Z131" s="297"/>
      <c r="AA131" s="342"/>
      <c r="AB131" s="499"/>
      <c r="AC131" s="500"/>
      <c r="AD131" s="416"/>
      <c r="AE131" s="316"/>
    </row>
    <row r="132" spans="1:31" s="73" customFormat="1">
      <c r="A132" s="235"/>
      <c r="B132" s="236" t="s">
        <v>90</v>
      </c>
      <c r="C132" s="237">
        <v>0</v>
      </c>
      <c r="D132" s="238"/>
      <c r="E132" s="238">
        <v>2049.041666666667</v>
      </c>
      <c r="F132" s="238">
        <v>327.41666666666669</v>
      </c>
      <c r="G132" s="238">
        <v>1724</v>
      </c>
      <c r="H132" s="238">
        <v>10.875</v>
      </c>
      <c r="I132" s="237">
        <v>4111.3333333333339</v>
      </c>
      <c r="J132" s="237">
        <v>0</v>
      </c>
      <c r="K132" s="238">
        <v>0</v>
      </c>
      <c r="L132" s="238">
        <v>0</v>
      </c>
      <c r="M132" s="238">
        <v>0</v>
      </c>
      <c r="N132" s="237">
        <v>0</v>
      </c>
      <c r="O132" s="299"/>
      <c r="P132" s="238"/>
      <c r="Q132" s="237">
        <v>0</v>
      </c>
      <c r="R132" s="237">
        <v>0</v>
      </c>
      <c r="S132" s="237">
        <v>0</v>
      </c>
      <c r="T132" s="297"/>
      <c r="U132" s="297"/>
      <c r="V132" s="297"/>
      <c r="W132" s="297"/>
      <c r="X132" s="297"/>
      <c r="Y132" s="297"/>
      <c r="Z132" s="297"/>
      <c r="AA132" s="342"/>
      <c r="AB132" s="499"/>
      <c r="AC132" s="500"/>
      <c r="AD132" s="416"/>
      <c r="AE132" s="316"/>
    </row>
    <row r="133" spans="1:31" s="73" customFormat="1">
      <c r="A133" s="235"/>
      <c r="B133" s="239" t="s">
        <v>92</v>
      </c>
      <c r="C133" s="246">
        <v>0</v>
      </c>
      <c r="D133" s="247">
        <v>0</v>
      </c>
      <c r="E133" s="247">
        <v>3.1396812080537143E-2</v>
      </c>
      <c r="F133" s="458">
        <v>0.34947621500944537</v>
      </c>
      <c r="G133" s="247">
        <v>-1.9502831820659174E-2</v>
      </c>
      <c r="H133" s="458">
        <v>2.48</v>
      </c>
      <c r="I133" s="246">
        <v>3.0226463555968665E-2</v>
      </c>
      <c r="J133" s="246">
        <v>0</v>
      </c>
      <c r="K133" s="247">
        <v>0</v>
      </c>
      <c r="L133" s="247">
        <v>0</v>
      </c>
      <c r="M133" s="247">
        <v>0</v>
      </c>
      <c r="N133" s="246">
        <v>0</v>
      </c>
      <c r="O133" s="338">
        <v>0</v>
      </c>
      <c r="P133" s="247">
        <v>0</v>
      </c>
      <c r="Q133" s="246">
        <v>0</v>
      </c>
      <c r="R133" s="246">
        <v>0</v>
      </c>
      <c r="S133" s="246">
        <v>0</v>
      </c>
      <c r="T133" s="298">
        <v>0</v>
      </c>
      <c r="U133" s="298">
        <v>0</v>
      </c>
      <c r="V133" s="298">
        <v>0</v>
      </c>
      <c r="W133" s="298">
        <v>0</v>
      </c>
      <c r="X133" s="298">
        <v>0</v>
      </c>
      <c r="Y133" s="298">
        <v>0</v>
      </c>
      <c r="Z133" s="298">
        <v>0</v>
      </c>
      <c r="AA133" s="341">
        <v>0</v>
      </c>
      <c r="AB133" s="501"/>
      <c r="AC133" s="502"/>
      <c r="AD133" s="417"/>
      <c r="AE133" s="316"/>
    </row>
    <row r="134" spans="1:31" s="73" customFormat="1">
      <c r="A134" s="235"/>
      <c r="B134" s="236" t="s">
        <v>8</v>
      </c>
      <c r="C134" s="237">
        <v>39377</v>
      </c>
      <c r="D134" s="238"/>
      <c r="E134" s="238">
        <v>20078.400000000001</v>
      </c>
      <c r="F134" s="238">
        <v>3231.125</v>
      </c>
      <c r="G134" s="238">
        <v>16542.758333333331</v>
      </c>
      <c r="H134" s="238">
        <v>4945.9249999999993</v>
      </c>
      <c r="I134" s="237">
        <v>84175.208333333328</v>
      </c>
      <c r="J134" s="237">
        <v>7513</v>
      </c>
      <c r="K134" s="238">
        <v>19723.266666666666</v>
      </c>
      <c r="L134" s="238">
        <v>7471.5</v>
      </c>
      <c r="M134" s="238">
        <v>12007.933333333334</v>
      </c>
      <c r="N134" s="237">
        <v>46715.7</v>
      </c>
      <c r="O134" s="299"/>
      <c r="P134" s="238"/>
      <c r="Q134" s="237">
        <v>4765.8004555555563</v>
      </c>
      <c r="R134" s="237">
        <v>14933.55401111111</v>
      </c>
      <c r="S134" s="237">
        <v>19699.354466666664</v>
      </c>
      <c r="T134" s="297"/>
      <c r="U134" s="297"/>
      <c r="V134" s="297"/>
      <c r="W134" s="297"/>
      <c r="X134" s="297"/>
      <c r="Y134" s="297"/>
      <c r="Z134" s="297"/>
      <c r="AA134" s="342"/>
      <c r="AB134" s="499"/>
      <c r="AC134" s="500"/>
      <c r="AD134" s="416"/>
      <c r="AE134" s="316"/>
    </row>
    <row r="135" spans="1:31" s="73" customFormat="1">
      <c r="A135" s="235"/>
      <c r="B135" s="236" t="s">
        <v>94</v>
      </c>
      <c r="C135" s="237">
        <v>40026.1</v>
      </c>
      <c r="D135" s="238"/>
      <c r="E135" s="238">
        <v>19977.641666666666</v>
      </c>
      <c r="F135" s="238">
        <v>3138.6499999999996</v>
      </c>
      <c r="G135" s="238">
        <v>16365.000000000002</v>
      </c>
      <c r="H135" s="238">
        <v>4878.5083333333332</v>
      </c>
      <c r="I135" s="237">
        <v>84385.900000000009</v>
      </c>
      <c r="J135" s="237">
        <v>6647.7</v>
      </c>
      <c r="K135" s="238">
        <v>19343.533333333333</v>
      </c>
      <c r="L135" s="238">
        <v>7302.6666666666661</v>
      </c>
      <c r="M135" s="238">
        <v>11579.599999999999</v>
      </c>
      <c r="N135" s="237">
        <v>44873.5</v>
      </c>
      <c r="O135" s="299"/>
      <c r="P135" s="238"/>
      <c r="Q135" s="237">
        <v>4789.910322222222</v>
      </c>
      <c r="R135" s="237">
        <v>14653.944644444447</v>
      </c>
      <c r="S135" s="237">
        <v>19443.854966666669</v>
      </c>
      <c r="T135" s="297"/>
      <c r="U135" s="297"/>
      <c r="V135" s="297"/>
      <c r="W135" s="297"/>
      <c r="X135" s="297"/>
      <c r="Y135" s="297"/>
      <c r="Z135" s="297"/>
      <c r="AA135" s="342"/>
      <c r="AB135" s="499"/>
      <c r="AC135" s="500"/>
      <c r="AD135" s="416"/>
      <c r="AE135" s="316"/>
    </row>
    <row r="136" spans="1:31" s="73" customFormat="1">
      <c r="A136" s="240"/>
      <c r="B136" s="296" t="s">
        <v>96</v>
      </c>
      <c r="C136" s="246">
        <v>1.6484242070244015E-2</v>
      </c>
      <c r="D136" s="247">
        <v>0</v>
      </c>
      <c r="E136" s="247">
        <v>-5.0182451456956241E-3</v>
      </c>
      <c r="F136" s="247">
        <v>-2.8620062671670197E-2</v>
      </c>
      <c r="G136" s="247">
        <v>-1.0745386576502786E-2</v>
      </c>
      <c r="H136" s="247">
        <v>-1.3630749893430667E-2</v>
      </c>
      <c r="I136" s="246">
        <v>2.5030133080553591E-3</v>
      </c>
      <c r="J136" s="457">
        <v>-0.11517369892186878</v>
      </c>
      <c r="K136" s="247">
        <v>-1.9253064908111919E-2</v>
      </c>
      <c r="L136" s="247">
        <v>-2.2596979633719327E-2</v>
      </c>
      <c r="M136" s="247">
        <v>-3.5670862041206293E-2</v>
      </c>
      <c r="N136" s="246">
        <v>-3.9434280124241286E-2</v>
      </c>
      <c r="O136" s="338">
        <v>0</v>
      </c>
      <c r="P136" s="247">
        <v>0</v>
      </c>
      <c r="Q136" s="246">
        <v>5.0589333085821033E-3</v>
      </c>
      <c r="R136" s="246">
        <v>-1.8723564829820311E-2</v>
      </c>
      <c r="S136" s="246">
        <v>-1.2969942768039909E-2</v>
      </c>
      <c r="T136" s="298">
        <v>0</v>
      </c>
      <c r="U136" s="298">
        <v>0</v>
      </c>
      <c r="V136" s="298">
        <v>0</v>
      </c>
      <c r="W136" s="298">
        <v>0</v>
      </c>
      <c r="X136" s="298">
        <v>0</v>
      </c>
      <c r="Y136" s="298">
        <v>0</v>
      </c>
      <c r="Z136" s="298">
        <v>0</v>
      </c>
      <c r="AA136" s="341">
        <v>0</v>
      </c>
      <c r="AB136" s="499"/>
      <c r="AC136" s="500"/>
      <c r="AD136" s="417"/>
      <c r="AE136" s="316"/>
    </row>
    <row r="137" spans="1:31" s="73" customFormat="1">
      <c r="A137" s="324" t="s">
        <v>248</v>
      </c>
      <c r="B137" s="322" t="s">
        <v>86</v>
      </c>
      <c r="C137" s="319">
        <v>41640.866666666669</v>
      </c>
      <c r="D137" s="323"/>
      <c r="E137" s="323">
        <v>18158.433333333334</v>
      </c>
      <c r="F137" s="323"/>
      <c r="G137" s="323">
        <v>14808.633333333333</v>
      </c>
      <c r="H137" s="323">
        <v>11971.666666666668</v>
      </c>
      <c r="I137" s="319">
        <v>86579.6</v>
      </c>
      <c r="J137" s="319"/>
      <c r="K137" s="323">
        <v>52973.4</v>
      </c>
      <c r="L137" s="323">
        <v>15147.366666666667</v>
      </c>
      <c r="M137" s="323">
        <v>8085.833333333333</v>
      </c>
      <c r="N137" s="319">
        <v>76206.599999999991</v>
      </c>
      <c r="O137" s="319"/>
      <c r="P137" s="323"/>
      <c r="Q137" s="319"/>
      <c r="R137" s="319"/>
      <c r="S137" s="319"/>
      <c r="T137" s="331"/>
      <c r="U137" s="331"/>
      <c r="V137" s="331"/>
      <c r="W137" s="331"/>
      <c r="X137" s="331"/>
      <c r="Y137" s="331"/>
      <c r="Z137" s="331"/>
      <c r="AA137" s="339"/>
      <c r="AB137" s="494"/>
      <c r="AC137" s="497"/>
      <c r="AD137" s="416"/>
      <c r="AE137" s="316"/>
    </row>
    <row r="138" spans="1:31" s="73" customFormat="1">
      <c r="A138" s="235"/>
      <c r="B138" s="236" t="s">
        <v>84</v>
      </c>
      <c r="C138" s="237">
        <v>43152.566666666666</v>
      </c>
      <c r="D138" s="238"/>
      <c r="E138" s="238">
        <v>18149.083333333332</v>
      </c>
      <c r="F138" s="238"/>
      <c r="G138" s="238">
        <v>14960.333333333332</v>
      </c>
      <c r="H138" s="238">
        <v>12213.216666666667</v>
      </c>
      <c r="I138" s="237">
        <v>88475.199999999983</v>
      </c>
      <c r="J138" s="237"/>
      <c r="K138" s="238">
        <v>50281.12733333333</v>
      </c>
      <c r="L138" s="238">
        <v>14114.827333333333</v>
      </c>
      <c r="M138" s="238">
        <v>7284.2396666666664</v>
      </c>
      <c r="N138" s="237">
        <v>71680.194333333333</v>
      </c>
      <c r="O138" s="237"/>
      <c r="P138" s="238"/>
      <c r="Q138" s="237"/>
      <c r="R138" s="237"/>
      <c r="S138" s="237"/>
      <c r="T138" s="297"/>
      <c r="U138" s="297"/>
      <c r="V138" s="297"/>
      <c r="W138" s="297"/>
      <c r="X138" s="297"/>
      <c r="Y138" s="297"/>
      <c r="Z138" s="297"/>
      <c r="AA138" s="340"/>
      <c r="AB138" s="499"/>
      <c r="AC138" s="500"/>
      <c r="AD138" s="416"/>
      <c r="AE138" s="316"/>
    </row>
    <row r="139" spans="1:31" s="73" customFormat="1">
      <c r="A139" s="235"/>
      <c r="B139" s="239" t="s">
        <v>98</v>
      </c>
      <c r="C139" s="246">
        <v>3.6303278990350754E-2</v>
      </c>
      <c r="D139" s="247">
        <v>0</v>
      </c>
      <c r="E139" s="247">
        <v>-5.1491226298903438E-4</v>
      </c>
      <c r="F139" s="247">
        <v>0</v>
      </c>
      <c r="G139" s="247">
        <v>1.024402431914709E-2</v>
      </c>
      <c r="H139" s="247">
        <v>2.0176806348322366E-2</v>
      </c>
      <c r="I139" s="246">
        <v>2.1894303045983016E-2</v>
      </c>
      <c r="J139" s="246">
        <v>0</v>
      </c>
      <c r="K139" s="247">
        <v>-5.0823104929392321E-2</v>
      </c>
      <c r="L139" s="247">
        <v>-6.8166259921966676E-2</v>
      </c>
      <c r="M139" s="247">
        <v>-9.9135566319694945E-2</v>
      </c>
      <c r="N139" s="246">
        <v>-5.9396504589715911E-2</v>
      </c>
      <c r="O139" s="338">
        <v>0</v>
      </c>
      <c r="P139" s="247">
        <v>0</v>
      </c>
      <c r="Q139" s="246">
        <v>0</v>
      </c>
      <c r="R139" s="246">
        <v>0</v>
      </c>
      <c r="S139" s="246">
        <v>0</v>
      </c>
      <c r="T139" s="298">
        <v>0</v>
      </c>
      <c r="U139" s="298">
        <v>0</v>
      </c>
      <c r="V139" s="298">
        <v>0</v>
      </c>
      <c r="W139" s="298">
        <v>0</v>
      </c>
      <c r="X139" s="298">
        <v>0</v>
      </c>
      <c r="Y139" s="298">
        <v>0</v>
      </c>
      <c r="Z139" s="298">
        <v>0</v>
      </c>
      <c r="AA139" s="341">
        <v>0</v>
      </c>
      <c r="AB139" s="501"/>
      <c r="AC139" s="502"/>
      <c r="AD139" s="417"/>
      <c r="AE139" s="316"/>
    </row>
    <row r="140" spans="1:31" s="73" customFormat="1">
      <c r="A140" s="235"/>
      <c r="B140" s="236" t="s">
        <v>82</v>
      </c>
      <c r="C140" s="237">
        <v>0</v>
      </c>
      <c r="D140" s="238"/>
      <c r="E140" s="238">
        <v>0</v>
      </c>
      <c r="F140" s="238"/>
      <c r="G140" s="238">
        <v>0</v>
      </c>
      <c r="H140" s="238">
        <v>0</v>
      </c>
      <c r="I140" s="237">
        <v>0</v>
      </c>
      <c r="J140" s="237"/>
      <c r="K140" s="238">
        <v>0</v>
      </c>
      <c r="L140" s="238">
        <v>0</v>
      </c>
      <c r="M140" s="238">
        <v>0</v>
      </c>
      <c r="N140" s="237">
        <v>0</v>
      </c>
      <c r="O140" s="299"/>
      <c r="P140" s="238"/>
      <c r="Q140" s="237"/>
      <c r="R140" s="237"/>
      <c r="S140" s="237"/>
      <c r="T140" s="297"/>
      <c r="U140" s="297"/>
      <c r="V140" s="297"/>
      <c r="W140" s="297"/>
      <c r="X140" s="297"/>
      <c r="Y140" s="297"/>
      <c r="Z140" s="297"/>
      <c r="AA140" s="342"/>
      <c r="AB140" s="499"/>
      <c r="AC140" s="500"/>
      <c r="AD140" s="416"/>
      <c r="AE140" s="316"/>
    </row>
    <row r="141" spans="1:31" s="73" customFormat="1">
      <c r="A141" s="235"/>
      <c r="B141" s="236" t="s">
        <v>80</v>
      </c>
      <c r="C141" s="237">
        <v>0</v>
      </c>
      <c r="D141" s="238"/>
      <c r="E141" s="238">
        <v>0</v>
      </c>
      <c r="F141" s="238"/>
      <c r="G141" s="238">
        <v>0</v>
      </c>
      <c r="H141" s="238">
        <v>0</v>
      </c>
      <c r="I141" s="237">
        <v>0</v>
      </c>
      <c r="J141" s="237"/>
      <c r="K141" s="238">
        <v>0</v>
      </c>
      <c r="L141" s="238">
        <v>0</v>
      </c>
      <c r="M141" s="238">
        <v>0</v>
      </c>
      <c r="N141" s="237">
        <v>0</v>
      </c>
      <c r="O141" s="299"/>
      <c r="P141" s="238"/>
      <c r="Q141" s="237"/>
      <c r="R141" s="237"/>
      <c r="S141" s="237"/>
      <c r="T141" s="297"/>
      <c r="U141" s="297"/>
      <c r="V141" s="297"/>
      <c r="W141" s="297"/>
      <c r="X141" s="297"/>
      <c r="Y141" s="297"/>
      <c r="Z141" s="297"/>
      <c r="AA141" s="342"/>
      <c r="AB141" s="499"/>
      <c r="AC141" s="500"/>
      <c r="AD141" s="416"/>
      <c r="AE141" s="316"/>
    </row>
    <row r="142" spans="1:31" s="73" customFormat="1">
      <c r="A142" s="235"/>
      <c r="B142" s="239" t="s">
        <v>100</v>
      </c>
      <c r="C142" s="246">
        <v>0</v>
      </c>
      <c r="D142" s="247">
        <v>0</v>
      </c>
      <c r="E142" s="247">
        <v>0</v>
      </c>
      <c r="F142" s="247">
        <v>0</v>
      </c>
      <c r="G142" s="247">
        <v>0</v>
      </c>
      <c r="H142" s="247">
        <v>0</v>
      </c>
      <c r="I142" s="246">
        <v>0</v>
      </c>
      <c r="J142" s="246">
        <v>0</v>
      </c>
      <c r="K142" s="247">
        <v>0</v>
      </c>
      <c r="L142" s="247">
        <v>0</v>
      </c>
      <c r="M142" s="247">
        <v>0</v>
      </c>
      <c r="N142" s="246">
        <v>0</v>
      </c>
      <c r="O142" s="338">
        <v>0</v>
      </c>
      <c r="P142" s="247">
        <v>0</v>
      </c>
      <c r="Q142" s="246">
        <v>0</v>
      </c>
      <c r="R142" s="246">
        <v>0</v>
      </c>
      <c r="S142" s="246">
        <v>0</v>
      </c>
      <c r="T142" s="298">
        <v>0</v>
      </c>
      <c r="U142" s="298">
        <v>0</v>
      </c>
      <c r="V142" s="298">
        <v>0</v>
      </c>
      <c r="W142" s="298">
        <v>0</v>
      </c>
      <c r="X142" s="298">
        <v>0</v>
      </c>
      <c r="Y142" s="298">
        <v>0</v>
      </c>
      <c r="Z142" s="298">
        <v>0</v>
      </c>
      <c r="AA142" s="341">
        <v>0</v>
      </c>
      <c r="AB142" s="501"/>
      <c r="AC142" s="502"/>
      <c r="AD142" s="417"/>
      <c r="AE142" s="316"/>
    </row>
    <row r="143" spans="1:31" s="73" customFormat="1">
      <c r="A143" s="235"/>
      <c r="B143" s="236" t="s">
        <v>88</v>
      </c>
      <c r="C143" s="237">
        <v>8595.0833333333339</v>
      </c>
      <c r="D143" s="238"/>
      <c r="E143" s="238">
        <v>1918.875</v>
      </c>
      <c r="F143" s="238"/>
      <c r="G143" s="238">
        <v>1118.4166666666667</v>
      </c>
      <c r="H143" s="238">
        <v>278.5</v>
      </c>
      <c r="I143" s="237">
        <v>11910.875</v>
      </c>
      <c r="J143" s="237"/>
      <c r="K143" s="238">
        <v>0</v>
      </c>
      <c r="L143" s="238">
        <v>0</v>
      </c>
      <c r="M143" s="238">
        <v>0</v>
      </c>
      <c r="N143" s="237">
        <v>0</v>
      </c>
      <c r="O143" s="299"/>
      <c r="P143" s="238"/>
      <c r="Q143" s="237"/>
      <c r="R143" s="237"/>
      <c r="S143" s="237"/>
      <c r="T143" s="297"/>
      <c r="U143" s="297"/>
      <c r="V143" s="297"/>
      <c r="W143" s="297"/>
      <c r="X143" s="297"/>
      <c r="Y143" s="297"/>
      <c r="Z143" s="297"/>
      <c r="AA143" s="342"/>
      <c r="AB143" s="499"/>
      <c r="AC143" s="500"/>
      <c r="AD143" s="416"/>
      <c r="AE143" s="316"/>
    </row>
    <row r="144" spans="1:31" s="73" customFormat="1">
      <c r="A144" s="235"/>
      <c r="B144" s="236" t="s">
        <v>90</v>
      </c>
      <c r="C144" s="237">
        <v>8741.4166666666679</v>
      </c>
      <c r="D144" s="238"/>
      <c r="E144" s="238">
        <v>1861.3125</v>
      </c>
      <c r="F144" s="238"/>
      <c r="G144" s="238">
        <v>1101.5</v>
      </c>
      <c r="H144" s="238">
        <v>278.16666666666663</v>
      </c>
      <c r="I144" s="237">
        <v>11982.395833333334</v>
      </c>
      <c r="J144" s="237"/>
      <c r="K144" s="238">
        <v>0</v>
      </c>
      <c r="L144" s="238">
        <v>0</v>
      </c>
      <c r="M144" s="238">
        <v>0</v>
      </c>
      <c r="N144" s="237">
        <v>0</v>
      </c>
      <c r="O144" s="299"/>
      <c r="P144" s="238"/>
      <c r="Q144" s="237"/>
      <c r="R144" s="237"/>
      <c r="S144" s="237"/>
      <c r="T144" s="297"/>
      <c r="U144" s="297"/>
      <c r="V144" s="297"/>
      <c r="W144" s="297"/>
      <c r="X144" s="297"/>
      <c r="Y144" s="297"/>
      <c r="Z144" s="297"/>
      <c r="AA144" s="342"/>
      <c r="AB144" s="499"/>
      <c r="AC144" s="500"/>
      <c r="AD144" s="416"/>
      <c r="AE144" s="316"/>
    </row>
    <row r="145" spans="1:31" s="73" customFormat="1">
      <c r="A145" s="235"/>
      <c r="B145" s="239" t="s">
        <v>92</v>
      </c>
      <c r="C145" s="246">
        <v>1.7025237296516487E-2</v>
      </c>
      <c r="D145" s="247">
        <v>0</v>
      </c>
      <c r="E145" s="247">
        <v>-2.9998045729919876E-2</v>
      </c>
      <c r="F145" s="247">
        <v>0</v>
      </c>
      <c r="G145" s="247">
        <v>-1.5125549511958937E-2</v>
      </c>
      <c r="H145" s="247">
        <v>-1.1968880909636311E-3</v>
      </c>
      <c r="I145" s="246">
        <v>6.0046666036993566E-3</v>
      </c>
      <c r="J145" s="246">
        <v>0</v>
      </c>
      <c r="K145" s="247">
        <v>0</v>
      </c>
      <c r="L145" s="247">
        <v>0</v>
      </c>
      <c r="M145" s="247">
        <v>0</v>
      </c>
      <c r="N145" s="246">
        <v>0</v>
      </c>
      <c r="O145" s="338">
        <v>0</v>
      </c>
      <c r="P145" s="247">
        <v>0</v>
      </c>
      <c r="Q145" s="246">
        <v>0</v>
      </c>
      <c r="R145" s="246">
        <v>0</v>
      </c>
      <c r="S145" s="246">
        <v>0</v>
      </c>
      <c r="T145" s="298">
        <v>0</v>
      </c>
      <c r="U145" s="298">
        <v>0</v>
      </c>
      <c r="V145" s="298">
        <v>0</v>
      </c>
      <c r="W145" s="298">
        <v>0</v>
      </c>
      <c r="X145" s="298">
        <v>0</v>
      </c>
      <c r="Y145" s="298">
        <v>0</v>
      </c>
      <c r="Z145" s="298">
        <v>0</v>
      </c>
      <c r="AA145" s="341">
        <v>0</v>
      </c>
      <c r="AB145" s="501"/>
      <c r="AC145" s="502"/>
      <c r="AD145" s="417"/>
      <c r="AE145" s="316"/>
    </row>
    <row r="146" spans="1:31" s="73" customFormat="1">
      <c r="A146" s="235"/>
      <c r="B146" s="236" t="s">
        <v>8</v>
      </c>
      <c r="C146" s="237">
        <v>50235.950000000004</v>
      </c>
      <c r="D146" s="238"/>
      <c r="E146" s="238">
        <v>20077.308333333334</v>
      </c>
      <c r="F146" s="238"/>
      <c r="G146" s="238">
        <v>15927.05</v>
      </c>
      <c r="H146" s="238">
        <v>12250.166666666668</v>
      </c>
      <c r="I146" s="237">
        <v>98490.475000000006</v>
      </c>
      <c r="J146" s="237"/>
      <c r="K146" s="238">
        <v>52973.4</v>
      </c>
      <c r="L146" s="238">
        <v>15147.366666666667</v>
      </c>
      <c r="M146" s="238">
        <v>8085.833333333333</v>
      </c>
      <c r="N146" s="237">
        <v>76206.599999999991</v>
      </c>
      <c r="O146" s="299"/>
      <c r="P146" s="238"/>
      <c r="Q146" s="237"/>
      <c r="R146" s="237"/>
      <c r="S146" s="237"/>
      <c r="T146" s="297"/>
      <c r="U146" s="297"/>
      <c r="V146" s="297"/>
      <c r="W146" s="297"/>
      <c r="X146" s="297"/>
      <c r="Y146" s="297"/>
      <c r="Z146" s="297"/>
      <c r="AA146" s="342"/>
      <c r="AB146" s="499"/>
      <c r="AC146" s="500"/>
      <c r="AD146" s="416"/>
      <c r="AE146" s="316"/>
    </row>
    <row r="147" spans="1:31" s="73" customFormat="1">
      <c r="A147" s="235"/>
      <c r="B147" s="236" t="s">
        <v>94</v>
      </c>
      <c r="C147" s="237">
        <v>51893.983333333337</v>
      </c>
      <c r="D147" s="238"/>
      <c r="E147" s="238">
        <v>20010.395833333336</v>
      </c>
      <c r="F147" s="238"/>
      <c r="G147" s="238">
        <v>16061.833333333336</v>
      </c>
      <c r="H147" s="238">
        <v>12491.383333333333</v>
      </c>
      <c r="I147" s="237">
        <v>100457.59583333335</v>
      </c>
      <c r="J147" s="237"/>
      <c r="K147" s="238">
        <v>50281.12733333333</v>
      </c>
      <c r="L147" s="238">
        <v>14114.827333333333</v>
      </c>
      <c r="M147" s="238">
        <v>7284.2396666666664</v>
      </c>
      <c r="N147" s="237">
        <v>71680.194333333333</v>
      </c>
      <c r="O147" s="299"/>
      <c r="P147" s="238"/>
      <c r="Q147" s="237"/>
      <c r="R147" s="237"/>
      <c r="S147" s="237"/>
      <c r="T147" s="297"/>
      <c r="U147" s="297"/>
      <c r="V147" s="297"/>
      <c r="W147" s="297"/>
      <c r="X147" s="297"/>
      <c r="Y147" s="297"/>
      <c r="Z147" s="297"/>
      <c r="AA147" s="342"/>
      <c r="AB147" s="499"/>
      <c r="AC147" s="500"/>
      <c r="AD147" s="416"/>
      <c r="AE147" s="316"/>
    </row>
    <row r="148" spans="1:31" s="73" customFormat="1">
      <c r="A148" s="240"/>
      <c r="B148" s="296" t="s">
        <v>96</v>
      </c>
      <c r="C148" s="246">
        <v>3.3004916465864238E-2</v>
      </c>
      <c r="D148" s="247">
        <v>0</v>
      </c>
      <c r="E148" s="247">
        <v>-3.3327425613575465E-3</v>
      </c>
      <c r="F148" s="247">
        <v>0</v>
      </c>
      <c r="G148" s="247">
        <v>8.4625422368446446E-3</v>
      </c>
      <c r="H148" s="247">
        <v>1.9690888559339217E-2</v>
      </c>
      <c r="I148" s="246">
        <v>1.997270125190603E-2</v>
      </c>
      <c r="J148" s="246">
        <v>0</v>
      </c>
      <c r="K148" s="247">
        <v>-5.0823104929392321E-2</v>
      </c>
      <c r="L148" s="247">
        <v>-6.8166259921966676E-2</v>
      </c>
      <c r="M148" s="247">
        <v>-9.9135566319694945E-2</v>
      </c>
      <c r="N148" s="246">
        <v>-5.9396504589715911E-2</v>
      </c>
      <c r="O148" s="338">
        <v>0</v>
      </c>
      <c r="P148" s="247">
        <v>0</v>
      </c>
      <c r="Q148" s="246">
        <v>0</v>
      </c>
      <c r="R148" s="246">
        <v>0</v>
      </c>
      <c r="S148" s="246">
        <v>0</v>
      </c>
      <c r="T148" s="298">
        <v>0</v>
      </c>
      <c r="U148" s="298">
        <v>0</v>
      </c>
      <c r="V148" s="298">
        <v>0</v>
      </c>
      <c r="W148" s="298">
        <v>0</v>
      </c>
      <c r="X148" s="298">
        <v>0</v>
      </c>
      <c r="Y148" s="298">
        <v>0</v>
      </c>
      <c r="Z148" s="298">
        <v>0</v>
      </c>
      <c r="AA148" s="341">
        <v>0</v>
      </c>
      <c r="AB148" s="499"/>
      <c r="AC148" s="500"/>
      <c r="AD148" s="417"/>
      <c r="AE148" s="316"/>
    </row>
    <row r="149" spans="1:31" s="73" customFormat="1">
      <c r="A149" s="324" t="s">
        <v>237</v>
      </c>
      <c r="B149" s="322" t="s">
        <v>86</v>
      </c>
      <c r="C149" s="319">
        <v>33874.6</v>
      </c>
      <c r="D149" s="323">
        <v>16685.633333333331</v>
      </c>
      <c r="E149" s="323">
        <v>44816.46666666666</v>
      </c>
      <c r="F149" s="323"/>
      <c r="G149" s="323">
        <v>6334.5666666666666</v>
      </c>
      <c r="H149" s="323"/>
      <c r="I149" s="319">
        <v>101711.26666666665</v>
      </c>
      <c r="J149" s="319"/>
      <c r="K149" s="323">
        <v>31617.699999999997</v>
      </c>
      <c r="L149" s="323">
        <v>25256.799999999996</v>
      </c>
      <c r="M149" s="323"/>
      <c r="N149" s="319">
        <v>56874.499999999993</v>
      </c>
      <c r="O149" s="319"/>
      <c r="P149" s="323"/>
      <c r="Q149" s="319">
        <v>0</v>
      </c>
      <c r="R149" s="319">
        <v>0</v>
      </c>
      <c r="S149" s="319">
        <v>0</v>
      </c>
      <c r="T149" s="331"/>
      <c r="U149" s="331"/>
      <c r="V149" s="331"/>
      <c r="W149" s="331"/>
      <c r="X149" s="331"/>
      <c r="Y149" s="331"/>
      <c r="Z149" s="331"/>
      <c r="AA149" s="339"/>
      <c r="AB149" s="494"/>
      <c r="AC149" s="497"/>
      <c r="AD149" s="416"/>
      <c r="AE149" s="316"/>
    </row>
    <row r="150" spans="1:31" s="73" customFormat="1">
      <c r="A150" s="235"/>
      <c r="B150" s="236" t="s">
        <v>84</v>
      </c>
      <c r="C150" s="237">
        <v>34191.033333333333</v>
      </c>
      <c r="D150" s="238">
        <v>16905.933333333334</v>
      </c>
      <c r="E150" s="238">
        <v>44060.933333333334</v>
      </c>
      <c r="F150" s="238"/>
      <c r="G150" s="238">
        <v>6028.2666666666664</v>
      </c>
      <c r="H150" s="238"/>
      <c r="I150" s="237">
        <v>101186.16666666666</v>
      </c>
      <c r="J150" s="237"/>
      <c r="K150" s="238">
        <v>31691.966666666667</v>
      </c>
      <c r="L150" s="238">
        <v>25723.266666666666</v>
      </c>
      <c r="M150" s="238"/>
      <c r="N150" s="237">
        <v>57415.233333333337</v>
      </c>
      <c r="O150" s="237"/>
      <c r="P150" s="238"/>
      <c r="Q150" s="237">
        <v>0</v>
      </c>
      <c r="R150" s="237">
        <v>0</v>
      </c>
      <c r="S150" s="237">
        <v>0</v>
      </c>
      <c r="T150" s="297"/>
      <c r="U150" s="297"/>
      <c r="V150" s="297"/>
      <c r="W150" s="297"/>
      <c r="X150" s="297"/>
      <c r="Y150" s="297"/>
      <c r="Z150" s="297"/>
      <c r="AA150" s="340"/>
      <c r="AB150" s="499"/>
      <c r="AC150" s="500"/>
      <c r="AD150" s="416"/>
      <c r="AE150" s="316"/>
    </row>
    <row r="151" spans="1:31" s="73" customFormat="1">
      <c r="A151" s="235"/>
      <c r="B151" s="239" t="s">
        <v>98</v>
      </c>
      <c r="C151" s="246">
        <v>9.3413157154131499E-3</v>
      </c>
      <c r="D151" s="247">
        <v>1.320297501443375E-2</v>
      </c>
      <c r="E151" s="247">
        <v>-1.6858386872682044E-2</v>
      </c>
      <c r="F151" s="247">
        <v>0</v>
      </c>
      <c r="G151" s="247">
        <v>-4.8353741639785966E-2</v>
      </c>
      <c r="H151" s="247">
        <v>0</v>
      </c>
      <c r="I151" s="246">
        <v>-5.1626532360557033E-3</v>
      </c>
      <c r="J151" s="246">
        <v>0</v>
      </c>
      <c r="K151" s="247">
        <v>2.3488952917723321E-3</v>
      </c>
      <c r="L151" s="247">
        <v>1.8468953575538898E-2</v>
      </c>
      <c r="M151" s="247">
        <v>0</v>
      </c>
      <c r="N151" s="246">
        <v>9.5074828496658891E-3</v>
      </c>
      <c r="O151" s="338">
        <v>0</v>
      </c>
      <c r="P151" s="247">
        <v>0</v>
      </c>
      <c r="Q151" s="246">
        <v>0</v>
      </c>
      <c r="R151" s="246">
        <v>0</v>
      </c>
      <c r="S151" s="246">
        <v>0</v>
      </c>
      <c r="T151" s="298">
        <v>0</v>
      </c>
      <c r="U151" s="298">
        <v>0</v>
      </c>
      <c r="V151" s="298">
        <v>0</v>
      </c>
      <c r="W151" s="298">
        <v>0</v>
      </c>
      <c r="X151" s="298">
        <v>0</v>
      </c>
      <c r="Y151" s="298">
        <v>0</v>
      </c>
      <c r="Z151" s="298">
        <v>0</v>
      </c>
      <c r="AA151" s="341">
        <v>0</v>
      </c>
      <c r="AB151" s="501"/>
      <c r="AC151" s="502"/>
      <c r="AD151" s="417"/>
      <c r="AE151" s="316"/>
    </row>
    <row r="152" spans="1:31" s="73" customFormat="1">
      <c r="A152" s="235"/>
      <c r="B152" s="236" t="s">
        <v>82</v>
      </c>
      <c r="C152" s="237">
        <v>0</v>
      </c>
      <c r="D152" s="238">
        <v>0</v>
      </c>
      <c r="E152" s="238">
        <v>0</v>
      </c>
      <c r="F152" s="238"/>
      <c r="G152" s="238">
        <v>0</v>
      </c>
      <c r="H152" s="238"/>
      <c r="I152" s="237">
        <v>0</v>
      </c>
      <c r="J152" s="237"/>
      <c r="K152" s="238">
        <v>0</v>
      </c>
      <c r="L152" s="238">
        <v>0</v>
      </c>
      <c r="M152" s="238"/>
      <c r="N152" s="237">
        <v>0</v>
      </c>
      <c r="O152" s="299"/>
      <c r="P152" s="238"/>
      <c r="Q152" s="237">
        <v>1020.9577777777778</v>
      </c>
      <c r="R152" s="237">
        <v>10178.506666666666</v>
      </c>
      <c r="S152" s="237">
        <v>11199.464444444444</v>
      </c>
      <c r="T152" s="297"/>
      <c r="U152" s="297"/>
      <c r="V152" s="297"/>
      <c r="W152" s="297"/>
      <c r="X152" s="297"/>
      <c r="Y152" s="297"/>
      <c r="Z152" s="297"/>
      <c r="AA152" s="342"/>
      <c r="AB152" s="499"/>
      <c r="AC152" s="500"/>
      <c r="AD152" s="416"/>
      <c r="AE152" s="316"/>
    </row>
    <row r="153" spans="1:31" s="73" customFormat="1">
      <c r="A153" s="235"/>
      <c r="B153" s="236" t="s">
        <v>80</v>
      </c>
      <c r="C153" s="237">
        <v>0</v>
      </c>
      <c r="D153" s="238">
        <v>0</v>
      </c>
      <c r="E153" s="238">
        <v>0</v>
      </c>
      <c r="F153" s="238"/>
      <c r="G153" s="238">
        <v>0</v>
      </c>
      <c r="H153" s="238"/>
      <c r="I153" s="237">
        <v>0</v>
      </c>
      <c r="J153" s="237"/>
      <c r="K153" s="238">
        <v>0</v>
      </c>
      <c r="L153" s="238">
        <v>0</v>
      </c>
      <c r="M153" s="238"/>
      <c r="N153" s="237">
        <v>0</v>
      </c>
      <c r="O153" s="299"/>
      <c r="P153" s="238"/>
      <c r="Q153" s="237">
        <v>1004.0377777777778</v>
      </c>
      <c r="R153" s="237">
        <v>10641.687777777777</v>
      </c>
      <c r="S153" s="237">
        <v>11645.725555555555</v>
      </c>
      <c r="T153" s="297"/>
      <c r="U153" s="297"/>
      <c r="V153" s="297"/>
      <c r="W153" s="297"/>
      <c r="X153" s="297"/>
      <c r="Y153" s="297"/>
      <c r="Z153" s="297"/>
      <c r="AA153" s="342"/>
      <c r="AB153" s="499"/>
      <c r="AC153" s="500"/>
      <c r="AD153" s="416"/>
      <c r="AE153" s="316"/>
    </row>
    <row r="154" spans="1:31" s="73" customFormat="1">
      <c r="A154" s="235"/>
      <c r="B154" s="239" t="s">
        <v>100</v>
      </c>
      <c r="C154" s="246">
        <v>0</v>
      </c>
      <c r="D154" s="247">
        <v>0</v>
      </c>
      <c r="E154" s="247">
        <v>0</v>
      </c>
      <c r="F154" s="247">
        <v>0</v>
      </c>
      <c r="G154" s="247">
        <v>0</v>
      </c>
      <c r="H154" s="247">
        <v>0</v>
      </c>
      <c r="I154" s="246">
        <v>0</v>
      </c>
      <c r="J154" s="246">
        <v>0</v>
      </c>
      <c r="K154" s="247">
        <v>0</v>
      </c>
      <c r="L154" s="247">
        <v>0</v>
      </c>
      <c r="M154" s="247">
        <v>0</v>
      </c>
      <c r="N154" s="246">
        <v>0</v>
      </c>
      <c r="O154" s="338">
        <v>0</v>
      </c>
      <c r="P154" s="247">
        <v>0</v>
      </c>
      <c r="Q154" s="246">
        <v>-1.6572673589722899E-2</v>
      </c>
      <c r="R154" s="246">
        <v>4.5505802204558271E-2</v>
      </c>
      <c r="S154" s="246">
        <v>3.9846647428974272E-2</v>
      </c>
      <c r="T154" s="298">
        <v>0</v>
      </c>
      <c r="U154" s="298">
        <v>0</v>
      </c>
      <c r="V154" s="298">
        <v>0</v>
      </c>
      <c r="W154" s="298">
        <v>0</v>
      </c>
      <c r="X154" s="298">
        <v>0</v>
      </c>
      <c r="Y154" s="298">
        <v>0</v>
      </c>
      <c r="Z154" s="298">
        <v>0</v>
      </c>
      <c r="AA154" s="341">
        <v>0</v>
      </c>
      <c r="AB154" s="501"/>
      <c r="AC154" s="502"/>
      <c r="AD154" s="417"/>
      <c r="AE154" s="316"/>
    </row>
    <row r="155" spans="1:31" s="73" customFormat="1">
      <c r="A155" s="235"/>
      <c r="B155" s="236" t="s">
        <v>88</v>
      </c>
      <c r="C155" s="237">
        <v>7737.4166666666661</v>
      </c>
      <c r="D155" s="238">
        <v>3367.25</v>
      </c>
      <c r="E155" s="238">
        <v>4180.5416666666661</v>
      </c>
      <c r="F155" s="238"/>
      <c r="G155" s="238">
        <v>245.25</v>
      </c>
      <c r="H155" s="238"/>
      <c r="I155" s="237">
        <v>15530.458333333332</v>
      </c>
      <c r="J155" s="237"/>
      <c r="K155" s="238">
        <v>0</v>
      </c>
      <c r="L155" s="238">
        <v>0</v>
      </c>
      <c r="M155" s="238"/>
      <c r="N155" s="237">
        <v>0</v>
      </c>
      <c r="O155" s="299"/>
      <c r="P155" s="238"/>
      <c r="Q155" s="237">
        <v>0</v>
      </c>
      <c r="R155" s="237">
        <v>0</v>
      </c>
      <c r="S155" s="237">
        <v>0</v>
      </c>
      <c r="T155" s="297"/>
      <c r="U155" s="297"/>
      <c r="V155" s="297"/>
      <c r="W155" s="297"/>
      <c r="X155" s="297"/>
      <c r="Y155" s="297"/>
      <c r="Z155" s="297"/>
      <c r="AA155" s="342"/>
      <c r="AB155" s="499"/>
      <c r="AC155" s="500"/>
      <c r="AD155" s="416"/>
      <c r="AE155" s="316"/>
    </row>
    <row r="156" spans="1:31" s="73" customFormat="1">
      <c r="A156" s="235"/>
      <c r="B156" s="236" t="s">
        <v>90</v>
      </c>
      <c r="C156" s="237">
        <v>7580.0416666666661</v>
      </c>
      <c r="D156" s="238">
        <v>3366.2083333333335</v>
      </c>
      <c r="E156" s="238">
        <v>4103.291666666667</v>
      </c>
      <c r="F156" s="238"/>
      <c r="G156" s="238">
        <v>246.375</v>
      </c>
      <c r="H156" s="238"/>
      <c r="I156" s="237">
        <v>15295.916666666668</v>
      </c>
      <c r="J156" s="237"/>
      <c r="K156" s="238">
        <v>0</v>
      </c>
      <c r="L156" s="238">
        <v>0</v>
      </c>
      <c r="M156" s="238"/>
      <c r="N156" s="237">
        <v>0</v>
      </c>
      <c r="O156" s="299"/>
      <c r="P156" s="238"/>
      <c r="Q156" s="237">
        <v>0</v>
      </c>
      <c r="R156" s="237">
        <v>0</v>
      </c>
      <c r="S156" s="237">
        <v>0</v>
      </c>
      <c r="T156" s="297"/>
      <c r="U156" s="297"/>
      <c r="V156" s="297"/>
      <c r="W156" s="297"/>
      <c r="X156" s="297"/>
      <c r="Y156" s="297"/>
      <c r="Z156" s="297"/>
      <c r="AA156" s="342"/>
      <c r="AB156" s="499"/>
      <c r="AC156" s="500"/>
      <c r="AD156" s="416"/>
      <c r="AE156" s="316"/>
    </row>
    <row r="157" spans="1:31" s="73" customFormat="1">
      <c r="A157" s="235"/>
      <c r="B157" s="239" t="s">
        <v>92</v>
      </c>
      <c r="C157" s="246">
        <v>-2.0339475923273273E-2</v>
      </c>
      <c r="D157" s="247">
        <v>-3.093523399410543E-4</v>
      </c>
      <c r="E157" s="247">
        <v>-1.847846670586924E-2</v>
      </c>
      <c r="F157" s="247">
        <v>0</v>
      </c>
      <c r="G157" s="247">
        <v>4.5871559633027525E-3</v>
      </c>
      <c r="H157" s="247">
        <v>0</v>
      </c>
      <c r="I157" s="246">
        <v>-1.5102044101510167E-2</v>
      </c>
      <c r="J157" s="246">
        <v>0</v>
      </c>
      <c r="K157" s="247">
        <v>0</v>
      </c>
      <c r="L157" s="247">
        <v>0</v>
      </c>
      <c r="M157" s="247">
        <v>0</v>
      </c>
      <c r="N157" s="246">
        <v>0</v>
      </c>
      <c r="O157" s="338">
        <v>0</v>
      </c>
      <c r="P157" s="247">
        <v>0</v>
      </c>
      <c r="Q157" s="246">
        <v>0</v>
      </c>
      <c r="R157" s="246">
        <v>0</v>
      </c>
      <c r="S157" s="246">
        <v>0</v>
      </c>
      <c r="T157" s="298">
        <v>0</v>
      </c>
      <c r="U157" s="298">
        <v>0</v>
      </c>
      <c r="V157" s="298">
        <v>0</v>
      </c>
      <c r="W157" s="298">
        <v>0</v>
      </c>
      <c r="X157" s="298">
        <v>0</v>
      </c>
      <c r="Y157" s="298">
        <v>0</v>
      </c>
      <c r="Z157" s="298">
        <v>0</v>
      </c>
      <c r="AA157" s="341">
        <v>0</v>
      </c>
      <c r="AB157" s="501"/>
      <c r="AC157" s="502"/>
      <c r="AD157" s="417"/>
      <c r="AE157" s="316"/>
    </row>
    <row r="158" spans="1:31" s="73" customFormat="1">
      <c r="A158" s="235"/>
      <c r="B158" s="236" t="s">
        <v>8</v>
      </c>
      <c r="C158" s="237">
        <v>41612.016666666663</v>
      </c>
      <c r="D158" s="238">
        <v>20052.883333333331</v>
      </c>
      <c r="E158" s="238">
        <v>48997.008333333331</v>
      </c>
      <c r="F158" s="238"/>
      <c r="G158" s="238">
        <v>6579.8166666666666</v>
      </c>
      <c r="H158" s="238"/>
      <c r="I158" s="237">
        <v>117241.72499999999</v>
      </c>
      <c r="J158" s="237"/>
      <c r="K158" s="238">
        <v>31617.699999999997</v>
      </c>
      <c r="L158" s="238">
        <v>25256.799999999996</v>
      </c>
      <c r="M158" s="238"/>
      <c r="N158" s="237">
        <v>56874.499999999993</v>
      </c>
      <c r="O158" s="299"/>
      <c r="P158" s="238"/>
      <c r="Q158" s="237">
        <v>1020.9577777777778</v>
      </c>
      <c r="R158" s="237">
        <v>10178.506666666666</v>
      </c>
      <c r="S158" s="237">
        <v>11199.464444444444</v>
      </c>
      <c r="T158" s="297"/>
      <c r="U158" s="297"/>
      <c r="V158" s="297"/>
      <c r="W158" s="297"/>
      <c r="X158" s="297"/>
      <c r="Y158" s="297"/>
      <c r="Z158" s="297"/>
      <c r="AA158" s="342"/>
      <c r="AB158" s="499"/>
      <c r="AC158" s="500"/>
      <c r="AD158" s="416"/>
      <c r="AE158" s="316"/>
    </row>
    <row r="159" spans="1:31" s="73" customFormat="1">
      <c r="A159" s="235"/>
      <c r="B159" s="236" t="s">
        <v>94</v>
      </c>
      <c r="C159" s="237">
        <v>41771.074999999997</v>
      </c>
      <c r="D159" s="238">
        <v>20272.141666666666</v>
      </c>
      <c r="E159" s="238">
        <v>48164.224999999999</v>
      </c>
      <c r="F159" s="238"/>
      <c r="G159" s="238">
        <v>6274.6416666666664</v>
      </c>
      <c r="H159" s="238"/>
      <c r="I159" s="237">
        <v>116482.08333333331</v>
      </c>
      <c r="J159" s="237"/>
      <c r="K159" s="238">
        <v>31691.966666666667</v>
      </c>
      <c r="L159" s="238">
        <v>25723.266666666666</v>
      </c>
      <c r="M159" s="238"/>
      <c r="N159" s="237">
        <v>57415.233333333337</v>
      </c>
      <c r="O159" s="299"/>
      <c r="P159" s="238"/>
      <c r="Q159" s="237">
        <v>1004.0377777777778</v>
      </c>
      <c r="R159" s="237">
        <v>10641.687777777777</v>
      </c>
      <c r="S159" s="237">
        <v>11645.725555555555</v>
      </c>
      <c r="T159" s="297"/>
      <c r="U159" s="297"/>
      <c r="V159" s="297"/>
      <c r="W159" s="297"/>
      <c r="X159" s="297"/>
      <c r="Y159" s="297"/>
      <c r="Z159" s="297"/>
      <c r="AA159" s="342"/>
      <c r="AB159" s="499"/>
      <c r="AC159" s="500"/>
      <c r="AD159" s="416"/>
      <c r="AE159" s="316"/>
    </row>
    <row r="160" spans="1:31" s="73" customFormat="1">
      <c r="A160" s="240"/>
      <c r="B160" s="296" t="s">
        <v>96</v>
      </c>
      <c r="C160" s="246">
        <v>3.822413477517135E-3</v>
      </c>
      <c r="D160" s="247">
        <v>1.0934005334228829E-2</v>
      </c>
      <c r="E160" s="247">
        <v>-1.699661594985135E-2</v>
      </c>
      <c r="F160" s="247">
        <v>0</v>
      </c>
      <c r="G160" s="247">
        <v>-4.638047159368678E-2</v>
      </c>
      <c r="H160" s="247">
        <v>0</v>
      </c>
      <c r="I160" s="246">
        <v>-6.479277464287247E-3</v>
      </c>
      <c r="J160" s="246">
        <v>0</v>
      </c>
      <c r="K160" s="247">
        <v>2.3488952917723321E-3</v>
      </c>
      <c r="L160" s="247">
        <v>1.8468953575538898E-2</v>
      </c>
      <c r="M160" s="247">
        <v>0</v>
      </c>
      <c r="N160" s="246">
        <v>9.5074828496658891E-3</v>
      </c>
      <c r="O160" s="338">
        <v>0</v>
      </c>
      <c r="P160" s="247">
        <v>0</v>
      </c>
      <c r="Q160" s="246">
        <v>-1.6572673589722899E-2</v>
      </c>
      <c r="R160" s="246">
        <v>4.5505802204558271E-2</v>
      </c>
      <c r="S160" s="246">
        <v>3.9846647428974272E-2</v>
      </c>
      <c r="T160" s="298">
        <v>0</v>
      </c>
      <c r="U160" s="298">
        <v>0</v>
      </c>
      <c r="V160" s="298">
        <v>0</v>
      </c>
      <c r="W160" s="298">
        <v>0</v>
      </c>
      <c r="X160" s="298">
        <v>0</v>
      </c>
      <c r="Y160" s="298">
        <v>0</v>
      </c>
      <c r="Z160" s="298">
        <v>0</v>
      </c>
      <c r="AA160" s="341">
        <v>0</v>
      </c>
      <c r="AB160" s="499"/>
      <c r="AC160" s="500"/>
      <c r="AD160" s="417"/>
      <c r="AE160" s="316"/>
    </row>
    <row r="161" spans="1:37" s="73" customFormat="1">
      <c r="A161" s="324" t="s">
        <v>234</v>
      </c>
      <c r="B161" s="322" t="s">
        <v>86</v>
      </c>
      <c r="C161" s="319">
        <v>184310.2</v>
      </c>
      <c r="D161" s="323">
        <v>43722.7</v>
      </c>
      <c r="E161" s="323">
        <v>151652.26666666666</v>
      </c>
      <c r="F161" s="323">
        <v>4529.5</v>
      </c>
      <c r="G161" s="323">
        <v>12100.099999999999</v>
      </c>
      <c r="H161" s="323">
        <v>2017.3333333333333</v>
      </c>
      <c r="I161" s="319">
        <v>398332.1</v>
      </c>
      <c r="J161" s="319">
        <v>25108.5</v>
      </c>
      <c r="K161" s="323">
        <v>338152.83333333331</v>
      </c>
      <c r="L161" s="323">
        <v>84003.4</v>
      </c>
      <c r="M161" s="323">
        <v>12103.299999999997</v>
      </c>
      <c r="N161" s="319">
        <v>459368.03333333327</v>
      </c>
      <c r="O161" s="319">
        <v>80918.733333333323</v>
      </c>
      <c r="P161" s="323">
        <v>80918.733333333323</v>
      </c>
      <c r="Q161" s="319"/>
      <c r="R161" s="319"/>
      <c r="S161" s="319"/>
      <c r="T161" s="331">
        <v>1245.0666666666666</v>
      </c>
      <c r="U161" s="331">
        <v>1245.0666666666666</v>
      </c>
      <c r="V161" s="331">
        <v>69638.799999999988</v>
      </c>
      <c r="W161" s="331">
        <v>69638.799999999988</v>
      </c>
      <c r="X161" s="331">
        <v>10253.233333333334</v>
      </c>
      <c r="Y161" s="331">
        <v>10253.233333333334</v>
      </c>
      <c r="Z161" s="331">
        <v>1026.7</v>
      </c>
      <c r="AA161" s="339">
        <v>1026.7</v>
      </c>
      <c r="AB161" s="494"/>
      <c r="AC161" s="497"/>
      <c r="AD161" s="416"/>
      <c r="AE161" s="316"/>
    </row>
    <row r="162" spans="1:37" s="73" customFormat="1">
      <c r="A162" s="235"/>
      <c r="B162" s="236" t="s">
        <v>84</v>
      </c>
      <c r="C162" s="237">
        <v>190333.46666666665</v>
      </c>
      <c r="D162" s="238">
        <v>44244.766666666663</v>
      </c>
      <c r="E162" s="238">
        <v>155946.09999999998</v>
      </c>
      <c r="F162" s="238">
        <v>4701.6000000000004</v>
      </c>
      <c r="G162" s="238">
        <v>11977.666666666666</v>
      </c>
      <c r="H162" s="238">
        <v>2081.4</v>
      </c>
      <c r="I162" s="237">
        <v>409284.99999999994</v>
      </c>
      <c r="J162" s="237">
        <v>26190.566666666666</v>
      </c>
      <c r="K162" s="238">
        <v>335776.06666666665</v>
      </c>
      <c r="L162" s="238">
        <v>82175.766666666663</v>
      </c>
      <c r="M162" s="238">
        <v>12571.833333333334</v>
      </c>
      <c r="N162" s="237">
        <v>456714.23333333328</v>
      </c>
      <c r="O162" s="237">
        <v>80590.066666666666</v>
      </c>
      <c r="P162" s="238">
        <v>80590.066666666666</v>
      </c>
      <c r="Q162" s="237"/>
      <c r="R162" s="237"/>
      <c r="S162" s="237"/>
      <c r="T162" s="297">
        <v>1468.2333333333333</v>
      </c>
      <c r="U162" s="297">
        <v>1468.2333333333333</v>
      </c>
      <c r="V162" s="297">
        <v>68696.3</v>
      </c>
      <c r="W162" s="297">
        <v>68696.3</v>
      </c>
      <c r="X162" s="297">
        <v>10378.4</v>
      </c>
      <c r="Y162" s="297">
        <v>10378.4</v>
      </c>
      <c r="Z162" s="297">
        <v>1515.3666666666666</v>
      </c>
      <c r="AA162" s="340">
        <v>1515.3666666666666</v>
      </c>
      <c r="AB162" s="499"/>
      <c r="AC162" s="500"/>
      <c r="AD162" s="416"/>
      <c r="AE162" s="316"/>
    </row>
    <row r="163" spans="1:37" s="73" customFormat="1">
      <c r="A163" s="235"/>
      <c r="B163" s="239" t="s">
        <v>98</v>
      </c>
      <c r="C163" s="246">
        <v>3.2680050624797938E-2</v>
      </c>
      <c r="D163" s="247">
        <v>1.1940403192544507E-2</v>
      </c>
      <c r="E163" s="247">
        <v>2.831367725463152E-2</v>
      </c>
      <c r="F163" s="247">
        <v>3.7995363726680727E-2</v>
      </c>
      <c r="G163" s="247">
        <v>-1.0118373677352461E-2</v>
      </c>
      <c r="H163" s="247">
        <v>3.1758096497025858E-2</v>
      </c>
      <c r="I163" s="246">
        <v>2.749690522054267E-2</v>
      </c>
      <c r="J163" s="246">
        <v>4.3095631625412335E-2</v>
      </c>
      <c r="K163" s="247">
        <v>-7.0286758896494919E-3</v>
      </c>
      <c r="L163" s="247">
        <v>-2.1756659055863589E-2</v>
      </c>
      <c r="M163" s="247">
        <v>3.871120548390411E-2</v>
      </c>
      <c r="N163" s="246">
        <v>-5.7770672041394687E-3</v>
      </c>
      <c r="O163" s="338">
        <v>-4.0616882287660252E-3</v>
      </c>
      <c r="P163" s="247">
        <v>-4.0616882287660252E-3</v>
      </c>
      <c r="Q163" s="246">
        <v>0</v>
      </c>
      <c r="R163" s="246">
        <v>0</v>
      </c>
      <c r="S163" s="246">
        <v>0</v>
      </c>
      <c r="T163" s="298">
        <v>0.17924073677446997</v>
      </c>
      <c r="U163" s="298">
        <v>0.17924073677446997</v>
      </c>
      <c r="V163" s="298">
        <v>-1.3534121782684158E-2</v>
      </c>
      <c r="W163" s="298">
        <v>-1.3534121782684158E-2</v>
      </c>
      <c r="X163" s="298">
        <v>1.2207531282814793E-2</v>
      </c>
      <c r="Y163" s="298">
        <v>1.2207531282814793E-2</v>
      </c>
      <c r="Z163" s="298">
        <v>0.47595857277361109</v>
      </c>
      <c r="AA163" s="341">
        <v>0.47595857277361109</v>
      </c>
      <c r="AB163" s="501"/>
      <c r="AC163" s="502"/>
      <c r="AD163" s="417"/>
      <c r="AE163" s="316"/>
    </row>
    <row r="164" spans="1:37" s="73" customFormat="1">
      <c r="A164" s="235"/>
      <c r="B164" s="236" t="s">
        <v>82</v>
      </c>
      <c r="C164" s="237">
        <v>0</v>
      </c>
      <c r="D164" s="238">
        <v>0</v>
      </c>
      <c r="E164" s="238">
        <v>0</v>
      </c>
      <c r="F164" s="238">
        <v>0</v>
      </c>
      <c r="G164" s="238">
        <v>0</v>
      </c>
      <c r="H164" s="238">
        <v>0</v>
      </c>
      <c r="I164" s="237">
        <v>0</v>
      </c>
      <c r="J164" s="237">
        <v>1115.4133333333334</v>
      </c>
      <c r="K164" s="238">
        <v>12287.773333333331</v>
      </c>
      <c r="L164" s="238">
        <v>5233.6333333333332</v>
      </c>
      <c r="M164" s="238">
        <v>453.24888888888893</v>
      </c>
      <c r="N164" s="237">
        <v>19090.068888888887</v>
      </c>
      <c r="O164" s="299">
        <v>4612.9611111111117</v>
      </c>
      <c r="P164" s="238">
        <v>4612.9611111111117</v>
      </c>
      <c r="Q164" s="237"/>
      <c r="R164" s="237"/>
      <c r="S164" s="237"/>
      <c r="T164" s="297">
        <v>0</v>
      </c>
      <c r="U164" s="297">
        <v>0</v>
      </c>
      <c r="V164" s="297">
        <v>3530.8700000000003</v>
      </c>
      <c r="W164" s="297">
        <v>3530.8700000000003</v>
      </c>
      <c r="X164" s="297">
        <v>1034.1622222222222</v>
      </c>
      <c r="Y164" s="297">
        <v>1034.1622222222222</v>
      </c>
      <c r="Z164" s="297">
        <v>47.928888888888892</v>
      </c>
      <c r="AA164" s="342">
        <v>47.928888888888892</v>
      </c>
      <c r="AB164" s="499"/>
      <c r="AC164" s="500"/>
      <c r="AD164" s="416"/>
      <c r="AE164" s="316"/>
    </row>
    <row r="165" spans="1:37" s="73" customFormat="1">
      <c r="A165" s="235"/>
      <c r="B165" s="236" t="s">
        <v>80</v>
      </c>
      <c r="C165" s="237">
        <v>0</v>
      </c>
      <c r="D165" s="238">
        <v>0</v>
      </c>
      <c r="E165" s="238">
        <v>0</v>
      </c>
      <c r="F165" s="238">
        <v>0</v>
      </c>
      <c r="G165" s="238">
        <v>0</v>
      </c>
      <c r="H165" s="238">
        <v>0</v>
      </c>
      <c r="I165" s="237">
        <v>0</v>
      </c>
      <c r="J165" s="237">
        <v>1106.45</v>
      </c>
      <c r="K165" s="238">
        <v>13266.645555555557</v>
      </c>
      <c r="L165" s="238">
        <v>5343.6777777777779</v>
      </c>
      <c r="M165" s="238">
        <v>446.46666666666664</v>
      </c>
      <c r="N165" s="237">
        <v>20163.240000000002</v>
      </c>
      <c r="O165" s="299">
        <v>4753.3755555555554</v>
      </c>
      <c r="P165" s="238">
        <v>4753.3755555555554</v>
      </c>
      <c r="Q165" s="237"/>
      <c r="R165" s="237"/>
      <c r="S165" s="237"/>
      <c r="T165" s="297">
        <v>0</v>
      </c>
      <c r="U165" s="297">
        <v>0</v>
      </c>
      <c r="V165" s="297">
        <v>3784.548888888889</v>
      </c>
      <c r="W165" s="297">
        <v>3784.548888888889</v>
      </c>
      <c r="X165" s="297">
        <v>955.97333333333336</v>
      </c>
      <c r="Y165" s="297">
        <v>955.97333333333336</v>
      </c>
      <c r="Z165" s="297">
        <v>12.853333333333333</v>
      </c>
      <c r="AA165" s="342">
        <v>12.853333333333333</v>
      </c>
      <c r="AB165" s="499"/>
      <c r="AC165" s="500"/>
      <c r="AD165" s="416"/>
      <c r="AE165" s="316"/>
    </row>
    <row r="166" spans="1:37" s="73" customFormat="1">
      <c r="A166" s="235"/>
      <c r="B166" s="239" t="s">
        <v>100</v>
      </c>
      <c r="C166" s="246">
        <v>0</v>
      </c>
      <c r="D166" s="247">
        <v>0</v>
      </c>
      <c r="E166" s="247">
        <v>0</v>
      </c>
      <c r="F166" s="247">
        <v>0</v>
      </c>
      <c r="G166" s="247">
        <v>0</v>
      </c>
      <c r="H166" s="247">
        <v>0</v>
      </c>
      <c r="I166" s="246">
        <v>0</v>
      </c>
      <c r="J166" s="246">
        <v>-8.0358850530745252E-3</v>
      </c>
      <c r="K166" s="247">
        <v>7.9662294841231829E-2</v>
      </c>
      <c r="L166" s="247">
        <v>2.1026395514482234E-2</v>
      </c>
      <c r="M166" s="247">
        <v>-1.4963571645698852E-2</v>
      </c>
      <c r="N166" s="246">
        <v>5.621619897536078E-2</v>
      </c>
      <c r="O166" s="338">
        <v>3.04391129823816E-2</v>
      </c>
      <c r="P166" s="247">
        <v>3.04391129823816E-2</v>
      </c>
      <c r="Q166" s="246">
        <v>0</v>
      </c>
      <c r="R166" s="246">
        <v>0</v>
      </c>
      <c r="S166" s="246">
        <v>0</v>
      </c>
      <c r="T166" s="298">
        <v>0</v>
      </c>
      <c r="U166" s="298">
        <v>0</v>
      </c>
      <c r="V166" s="298">
        <v>7.1846000812516075E-2</v>
      </c>
      <c r="W166" s="298">
        <v>7.1846000812516075E-2</v>
      </c>
      <c r="X166" s="298">
        <v>-7.5606019257670715E-2</v>
      </c>
      <c r="Y166" s="298">
        <v>-7.5606019257670715E-2</v>
      </c>
      <c r="Z166" s="298">
        <v>-0.73182492581602376</v>
      </c>
      <c r="AA166" s="341">
        <v>-0.73182492581602376</v>
      </c>
      <c r="AB166" s="501"/>
      <c r="AC166" s="502"/>
      <c r="AD166" s="417"/>
      <c r="AE166" s="316"/>
    </row>
    <row r="167" spans="1:37" s="73" customFormat="1">
      <c r="A167" s="235"/>
      <c r="B167" s="236" t="s">
        <v>88</v>
      </c>
      <c r="C167" s="237">
        <v>48326.625</v>
      </c>
      <c r="D167" s="238">
        <v>9267.75</v>
      </c>
      <c r="E167" s="238">
        <v>31112.041666666668</v>
      </c>
      <c r="F167" s="238">
        <v>1584.7083333333333</v>
      </c>
      <c r="G167" s="238">
        <v>1057.2083333333333</v>
      </c>
      <c r="H167" s="238">
        <v>86.916666666666671</v>
      </c>
      <c r="I167" s="237">
        <v>91435.25</v>
      </c>
      <c r="J167" s="237">
        <v>0</v>
      </c>
      <c r="K167" s="238">
        <v>0</v>
      </c>
      <c r="L167" s="238">
        <v>0</v>
      </c>
      <c r="M167" s="238">
        <v>0</v>
      </c>
      <c r="N167" s="237">
        <v>0</v>
      </c>
      <c r="O167" s="299">
        <v>0</v>
      </c>
      <c r="P167" s="238">
        <v>0</v>
      </c>
      <c r="Q167" s="237"/>
      <c r="R167" s="237"/>
      <c r="S167" s="237"/>
      <c r="T167" s="297">
        <v>283.95833333333331</v>
      </c>
      <c r="U167" s="297">
        <v>283.95833333333331</v>
      </c>
      <c r="V167" s="297">
        <v>0</v>
      </c>
      <c r="W167" s="297">
        <v>0</v>
      </c>
      <c r="X167" s="297">
        <v>0</v>
      </c>
      <c r="Y167" s="297">
        <v>0</v>
      </c>
      <c r="Z167" s="297">
        <v>0</v>
      </c>
      <c r="AA167" s="342">
        <v>0</v>
      </c>
      <c r="AB167" s="499"/>
      <c r="AC167" s="500"/>
      <c r="AD167" s="416"/>
      <c r="AE167" s="316"/>
    </row>
    <row r="168" spans="1:37" s="73" customFormat="1">
      <c r="A168" s="235"/>
      <c r="B168" s="236" t="s">
        <v>90</v>
      </c>
      <c r="C168" s="237">
        <v>50143.166666666664</v>
      </c>
      <c r="D168" s="238">
        <v>8944.7083333333339</v>
      </c>
      <c r="E168" s="238">
        <v>32881.874999999993</v>
      </c>
      <c r="F168" s="238">
        <v>1479.0833333333335</v>
      </c>
      <c r="G168" s="238">
        <v>1258.5833333333333</v>
      </c>
      <c r="H168" s="238">
        <v>92.083333333333329</v>
      </c>
      <c r="I168" s="237">
        <v>94799.499999999985</v>
      </c>
      <c r="J168" s="237">
        <v>0</v>
      </c>
      <c r="K168" s="238">
        <v>0</v>
      </c>
      <c r="L168" s="238">
        <v>0</v>
      </c>
      <c r="M168" s="238">
        <v>0</v>
      </c>
      <c r="N168" s="237">
        <v>0</v>
      </c>
      <c r="O168" s="299">
        <v>0</v>
      </c>
      <c r="P168" s="238">
        <v>0</v>
      </c>
      <c r="Q168" s="237"/>
      <c r="R168" s="237"/>
      <c r="S168" s="237"/>
      <c r="T168" s="297">
        <v>429.20833333333331</v>
      </c>
      <c r="U168" s="297">
        <v>429.20833333333331</v>
      </c>
      <c r="V168" s="297">
        <v>0</v>
      </c>
      <c r="W168" s="297">
        <v>0</v>
      </c>
      <c r="X168" s="297">
        <v>0</v>
      </c>
      <c r="Y168" s="297">
        <v>0</v>
      </c>
      <c r="Z168" s="297">
        <v>0</v>
      </c>
      <c r="AA168" s="342">
        <v>0</v>
      </c>
      <c r="AB168" s="499"/>
      <c r="AC168" s="500"/>
      <c r="AD168" s="416"/>
      <c r="AE168" s="316"/>
    </row>
    <row r="169" spans="1:37" s="73" customFormat="1">
      <c r="A169" s="235"/>
      <c r="B169" s="239" t="s">
        <v>92</v>
      </c>
      <c r="C169" s="246">
        <v>3.7588837761103E-2</v>
      </c>
      <c r="D169" s="247">
        <v>-3.4856536555978104E-2</v>
      </c>
      <c r="E169" s="247">
        <v>5.6885798505133721E-2</v>
      </c>
      <c r="F169" s="247">
        <v>-6.6652643756737434E-2</v>
      </c>
      <c r="G169" s="458">
        <v>0.19047806723682656</v>
      </c>
      <c r="H169" s="247">
        <v>5.9443911792904966E-2</v>
      </c>
      <c r="I169" s="246">
        <v>3.6793796703131619E-2</v>
      </c>
      <c r="J169" s="246">
        <v>0</v>
      </c>
      <c r="K169" s="247">
        <v>0</v>
      </c>
      <c r="L169" s="247">
        <v>0</v>
      </c>
      <c r="M169" s="247">
        <v>0</v>
      </c>
      <c r="N169" s="246">
        <v>0</v>
      </c>
      <c r="O169" s="338">
        <v>0</v>
      </c>
      <c r="P169" s="247">
        <v>0</v>
      </c>
      <c r="Q169" s="246">
        <v>0</v>
      </c>
      <c r="R169" s="246">
        <v>0</v>
      </c>
      <c r="S169" s="246">
        <v>0</v>
      </c>
      <c r="T169" s="298">
        <v>0.51151870873074101</v>
      </c>
      <c r="U169" s="298">
        <v>0.51151870873074101</v>
      </c>
      <c r="V169" s="298">
        <v>0</v>
      </c>
      <c r="W169" s="298">
        <v>0</v>
      </c>
      <c r="X169" s="298">
        <v>0</v>
      </c>
      <c r="Y169" s="298">
        <v>0</v>
      </c>
      <c r="Z169" s="298">
        <v>0</v>
      </c>
      <c r="AA169" s="341">
        <v>0</v>
      </c>
      <c r="AB169" s="501"/>
      <c r="AC169" s="502"/>
      <c r="AD169" s="417"/>
      <c r="AE169" s="316"/>
      <c r="AF169" s="73">
        <v>7</v>
      </c>
      <c r="AG169" s="73" t="s">
        <v>197</v>
      </c>
      <c r="AH169" s="73" t="s">
        <v>5</v>
      </c>
      <c r="AI169" s="73" t="s">
        <v>6</v>
      </c>
      <c r="AJ169" s="73">
        <v>11</v>
      </c>
      <c r="AK169" s="73" t="s">
        <v>143</v>
      </c>
    </row>
    <row r="170" spans="1:37" s="73" customFormat="1">
      <c r="A170" s="235"/>
      <c r="B170" s="236" t="s">
        <v>8</v>
      </c>
      <c r="C170" s="237">
        <v>232636.82499999998</v>
      </c>
      <c r="D170" s="238">
        <v>52990.45</v>
      </c>
      <c r="E170" s="238">
        <v>182764.30833333335</v>
      </c>
      <c r="F170" s="238">
        <v>6114.208333333333</v>
      </c>
      <c r="G170" s="238">
        <v>13157.308333333332</v>
      </c>
      <c r="H170" s="238">
        <v>2104.25</v>
      </c>
      <c r="I170" s="237">
        <v>489767.35</v>
      </c>
      <c r="J170" s="237">
        <v>26223.91333333333</v>
      </c>
      <c r="K170" s="238">
        <v>350440.60666666669</v>
      </c>
      <c r="L170" s="238">
        <v>89237.033333333326</v>
      </c>
      <c r="M170" s="238">
        <v>12556.548888888887</v>
      </c>
      <c r="N170" s="237">
        <v>478458.10222222225</v>
      </c>
      <c r="O170" s="299">
        <v>85531.694444444438</v>
      </c>
      <c r="P170" s="238">
        <v>85531.694444444438</v>
      </c>
      <c r="Q170" s="237"/>
      <c r="R170" s="237"/>
      <c r="S170" s="237"/>
      <c r="T170" s="297">
        <v>1529.0250000000001</v>
      </c>
      <c r="U170" s="297">
        <v>1529.0250000000001</v>
      </c>
      <c r="V170" s="297">
        <v>73169.669999999984</v>
      </c>
      <c r="W170" s="297">
        <v>73169.669999999984</v>
      </c>
      <c r="X170" s="297">
        <v>11287.395555555555</v>
      </c>
      <c r="Y170" s="297">
        <v>11287.395555555555</v>
      </c>
      <c r="Z170" s="297">
        <v>1074.6288888888889</v>
      </c>
      <c r="AA170" s="342">
        <v>1074.6288888888889</v>
      </c>
      <c r="AB170" s="499"/>
      <c r="AC170" s="500"/>
      <c r="AD170" s="416"/>
      <c r="AE170" s="316" t="s">
        <v>198</v>
      </c>
      <c r="AF170" s="73">
        <f>+GETPIVOTDATA("Grand Total FTE - Old",$A$2,"State","TX","Category","7","Category2","Two-Year")</f>
        <v>26223.91333333333</v>
      </c>
      <c r="AG170" s="73">
        <f>+GETPIVOTDATA("Grand Total FTE - Old",$A$2,"State","TX","Category","8","Category2","Two-Year")-GETPIVOTDATA("Grand Total FTE - Old",$A$2,"State","TX","Category","08b","Category2","08b")</f>
        <v>277270.9366666667</v>
      </c>
      <c r="AH170" s="73">
        <f>+GETPIVOTDATA("Grand Total FTE - Old",$A$2,"State","TX","Category","9","Category2","Two-Year")-GETPIVOTDATA("Grand Total FTE - Old",$A$2,"State","TX","Category","09b","Category2","09b")</f>
        <v>77949.637777777767</v>
      </c>
      <c r="AI170" s="73">
        <f>+GETPIVOTDATA("Grand Total FTE - Old",$A$2,"State","TX","Category","10","Category2","Two-Year")-GETPIVOTDATA("Grand Total FTE - Old",$A$2,"State","TX","Category","10b","Category2","10b")</f>
        <v>11481.919999999998</v>
      </c>
      <c r="AJ170" s="73">
        <f>+GETPIVOTDATA("Grand Total FTE - Old",$A$2,"State","TX","Category","11","Category2","11")</f>
        <v>85531.694444444438</v>
      </c>
      <c r="AK170" s="73">
        <f>SUM(AF170:AJ170)</f>
        <v>478458.10222222225</v>
      </c>
    </row>
    <row r="171" spans="1:37" s="73" customFormat="1">
      <c r="A171" s="235"/>
      <c r="B171" s="236" t="s">
        <v>94</v>
      </c>
      <c r="C171" s="237">
        <v>240476.63333333336</v>
      </c>
      <c r="D171" s="238">
        <v>53189.474999999991</v>
      </c>
      <c r="E171" s="238">
        <v>188827.97500000001</v>
      </c>
      <c r="F171" s="238">
        <v>6180.6833333333334</v>
      </c>
      <c r="G171" s="238">
        <v>13236.249999999998</v>
      </c>
      <c r="H171" s="238">
        <v>2173.4833333333336</v>
      </c>
      <c r="I171" s="237">
        <v>504084.50000000006</v>
      </c>
      <c r="J171" s="237">
        <v>27297.016666666666</v>
      </c>
      <c r="K171" s="238">
        <v>349042.71222222218</v>
      </c>
      <c r="L171" s="238">
        <v>87519.444444444438</v>
      </c>
      <c r="M171" s="238">
        <v>13018.3</v>
      </c>
      <c r="N171" s="237">
        <v>476877.47333333327</v>
      </c>
      <c r="O171" s="299">
        <v>85343.442222222235</v>
      </c>
      <c r="P171" s="238">
        <v>85343.442222222235</v>
      </c>
      <c r="Q171" s="237"/>
      <c r="R171" s="237"/>
      <c r="S171" s="237"/>
      <c r="T171" s="297">
        <v>1897.4416666666666</v>
      </c>
      <c r="U171" s="297">
        <v>1897.4416666666666</v>
      </c>
      <c r="V171" s="297">
        <v>72480.848888888897</v>
      </c>
      <c r="W171" s="297">
        <v>72480.848888888897</v>
      </c>
      <c r="X171" s="297">
        <v>11334.373333333333</v>
      </c>
      <c r="Y171" s="297">
        <v>11334.373333333333</v>
      </c>
      <c r="Z171" s="297">
        <v>1528.2199999999998</v>
      </c>
      <c r="AA171" s="342">
        <v>1528.2199999999998</v>
      </c>
      <c r="AB171" s="499"/>
      <c r="AC171" s="500"/>
      <c r="AD171" s="416"/>
      <c r="AE171" s="316" t="s">
        <v>199</v>
      </c>
      <c r="AF171" s="73">
        <f>+GETPIVOTDATA("Grand Total FTE - New",$A$2,"State","TX","Category","7","Category2","Two-Year")</f>
        <v>27297.016666666666</v>
      </c>
      <c r="AG171" s="73">
        <f>+GETPIVOTDATA("Grand Total FTE - New",$A$2,"State","TX","Category","8","Category2","Two-Year")-GETPIVOTDATA("Grand Total FTE - New",$A$2,"State","TX","Category","08b","Category2","08b")</f>
        <v>276561.86333333328</v>
      </c>
      <c r="AH171" s="73">
        <f>+GETPIVOTDATA("Grand Total FTE - New",$A$2,"State","TX","Category","9","Category2","Two-Year")-GETPIVOTDATA("Grand Total FTE - New",$A$2,"State","TX","Category","09b","Category2","09b")</f>
        <v>76185.071111111101</v>
      </c>
      <c r="AI171" s="73">
        <f>+GETPIVOTDATA("Grand Total FTE - New",$A$2,"State","TX","Category","10","Category2","Two-Year")-GETPIVOTDATA("Grand Total FTE - New",$A$2,"State","TX","Category","10b","Category2","10b")</f>
        <v>11490.08</v>
      </c>
      <c r="AJ171" s="73">
        <f>+GETPIVOTDATA("Grand Total FTE - New",$A$2,"State","TX","Category","11","Category2","11")</f>
        <v>85343.442222222235</v>
      </c>
      <c r="AK171" s="73">
        <f>SUM(AF171:AJ171)</f>
        <v>476877.47333333327</v>
      </c>
    </row>
    <row r="172" spans="1:37" s="73" customFormat="1">
      <c r="A172" s="240"/>
      <c r="B172" s="296" t="s">
        <v>96</v>
      </c>
      <c r="C172" s="246">
        <v>3.3699773599185676E-2</v>
      </c>
      <c r="D172" s="247">
        <v>3.7558654436788928E-3</v>
      </c>
      <c r="E172" s="247">
        <v>3.3177520939194995E-2</v>
      </c>
      <c r="F172" s="247">
        <v>1.087221703545709E-2</v>
      </c>
      <c r="G172" s="247">
        <v>5.9998340592711686E-3</v>
      </c>
      <c r="H172" s="247">
        <v>3.2901667260702663E-2</v>
      </c>
      <c r="I172" s="246">
        <v>2.9232552966219499E-2</v>
      </c>
      <c r="J172" s="246">
        <v>4.0920793159017574E-2</v>
      </c>
      <c r="K172" s="247">
        <v>-3.9889625170468953E-3</v>
      </c>
      <c r="L172" s="247">
        <v>-1.9247489800261041E-2</v>
      </c>
      <c r="M172" s="247">
        <v>3.6773727813038629E-2</v>
      </c>
      <c r="N172" s="246">
        <v>-3.3035889277398403E-3</v>
      </c>
      <c r="O172" s="338">
        <v>-2.2009644897714388E-3</v>
      </c>
      <c r="P172" s="247">
        <v>-2.2009644897714388E-3</v>
      </c>
      <c r="Q172" s="246">
        <v>0</v>
      </c>
      <c r="R172" s="246">
        <v>0</v>
      </c>
      <c r="S172" s="246">
        <v>0</v>
      </c>
      <c r="T172" s="298">
        <v>0.24094875274548586</v>
      </c>
      <c r="U172" s="298">
        <v>0.24094875274548586</v>
      </c>
      <c r="V172" s="298">
        <v>-9.4140251160226215E-3</v>
      </c>
      <c r="W172" s="298">
        <v>-9.4140251160226215E-3</v>
      </c>
      <c r="X172" s="298">
        <v>4.1619678823655703E-3</v>
      </c>
      <c r="Y172" s="298">
        <v>4.1619678823655703E-3</v>
      </c>
      <c r="Z172" s="298">
        <v>0.4220909337176863</v>
      </c>
      <c r="AA172" s="341">
        <v>0.4220909337176863</v>
      </c>
      <c r="AB172" s="499"/>
      <c r="AC172" s="500"/>
      <c r="AD172" s="417"/>
      <c r="AE172" s="316"/>
    </row>
    <row r="173" spans="1:37" s="73" customFormat="1">
      <c r="A173" s="324" t="s">
        <v>249</v>
      </c>
      <c r="B173" s="322" t="s">
        <v>86</v>
      </c>
      <c r="C173" s="319">
        <v>101497.88333333333</v>
      </c>
      <c r="D173" s="323">
        <v>6161.2266666666665</v>
      </c>
      <c r="E173" s="323">
        <v>45905.416666666664</v>
      </c>
      <c r="F173" s="323"/>
      <c r="G173" s="323">
        <v>4945.4666666666662</v>
      </c>
      <c r="H173" s="323">
        <v>1756.1666666666667</v>
      </c>
      <c r="I173" s="319">
        <v>160266.16</v>
      </c>
      <c r="J173" s="319"/>
      <c r="K173" s="323">
        <v>75081.7</v>
      </c>
      <c r="L173" s="323">
        <v>35035.166666666664</v>
      </c>
      <c r="M173" s="323">
        <v>10146.466666666665</v>
      </c>
      <c r="N173" s="319">
        <v>120263.33333333333</v>
      </c>
      <c r="O173" s="319">
        <v>119197.46666666666</v>
      </c>
      <c r="P173" s="323">
        <v>119197.46666666666</v>
      </c>
      <c r="Q173" s="319"/>
      <c r="R173" s="319"/>
      <c r="S173" s="319"/>
      <c r="T173" s="331"/>
      <c r="U173" s="331"/>
      <c r="V173" s="331">
        <v>75081.7</v>
      </c>
      <c r="W173" s="331">
        <v>75081.7</v>
      </c>
      <c r="X173" s="331">
        <v>36813.699999999997</v>
      </c>
      <c r="Y173" s="331">
        <v>36813.699999999997</v>
      </c>
      <c r="Z173" s="331">
        <v>8367.9333333333325</v>
      </c>
      <c r="AA173" s="339">
        <v>8367.9333333333325</v>
      </c>
      <c r="AB173" s="494"/>
      <c r="AC173" s="497"/>
      <c r="AD173" s="416"/>
      <c r="AE173" s="316"/>
    </row>
    <row r="174" spans="1:37" s="73" customFormat="1">
      <c r="A174" s="235"/>
      <c r="B174" s="236" t="s">
        <v>84</v>
      </c>
      <c r="C174" s="237">
        <v>103273.93333333333</v>
      </c>
      <c r="D174" s="238">
        <v>6210.9966666666678</v>
      </c>
      <c r="E174" s="238">
        <v>45272.5</v>
      </c>
      <c r="F174" s="238"/>
      <c r="G174" s="238">
        <v>4926.3666666666668</v>
      </c>
      <c r="H174" s="238">
        <v>1733.5333333333333</v>
      </c>
      <c r="I174" s="237">
        <v>161417.32999999999</v>
      </c>
      <c r="J174" s="237"/>
      <c r="K174" s="238">
        <v>71586.55</v>
      </c>
      <c r="L174" s="238">
        <v>33529</v>
      </c>
      <c r="M174" s="238">
        <v>10137.866666666667</v>
      </c>
      <c r="N174" s="237">
        <v>115253.41666666667</v>
      </c>
      <c r="O174" s="237">
        <v>114109.78333333334</v>
      </c>
      <c r="P174" s="238">
        <v>114109.78333333334</v>
      </c>
      <c r="Q174" s="237"/>
      <c r="R174" s="237"/>
      <c r="S174" s="237"/>
      <c r="T174" s="297"/>
      <c r="U174" s="297"/>
      <c r="V174" s="297">
        <v>71586.55</v>
      </c>
      <c r="W174" s="297">
        <v>71586.55</v>
      </c>
      <c r="X174" s="297">
        <v>35299.699999999997</v>
      </c>
      <c r="Y174" s="297">
        <v>35299.699999999997</v>
      </c>
      <c r="Z174" s="297">
        <v>8367.1666666666679</v>
      </c>
      <c r="AA174" s="340">
        <v>8367.1666666666679</v>
      </c>
      <c r="AB174" s="499"/>
      <c r="AC174" s="500"/>
      <c r="AD174" s="416"/>
      <c r="AE174" s="316"/>
    </row>
    <row r="175" spans="1:37" s="73" customFormat="1">
      <c r="A175" s="235"/>
      <c r="B175" s="239" t="s">
        <v>98</v>
      </c>
      <c r="C175" s="246">
        <v>1.7498394465697426E-2</v>
      </c>
      <c r="D175" s="247">
        <v>8.0779368610581891E-3</v>
      </c>
      <c r="E175" s="247">
        <v>-1.3787407077959158E-2</v>
      </c>
      <c r="F175" s="247">
        <v>0</v>
      </c>
      <c r="G175" s="247">
        <v>-3.8621228869535986E-3</v>
      </c>
      <c r="H175" s="247">
        <v>-1.2887918762456168E-2</v>
      </c>
      <c r="I175" s="246">
        <v>7.1828638060585197E-3</v>
      </c>
      <c r="J175" s="246">
        <v>0</v>
      </c>
      <c r="K175" s="247">
        <v>-4.6551290127953872E-2</v>
      </c>
      <c r="L175" s="247">
        <v>-4.2990138479908215E-2</v>
      </c>
      <c r="M175" s="247">
        <v>-8.4758569485586565E-4</v>
      </c>
      <c r="N175" s="246">
        <v>-4.1657889631087491E-2</v>
      </c>
      <c r="O175" s="338">
        <v>-4.2682814287999297E-2</v>
      </c>
      <c r="P175" s="247">
        <v>-4.2682814287999297E-2</v>
      </c>
      <c r="Q175" s="246">
        <v>0</v>
      </c>
      <c r="R175" s="246">
        <v>0</v>
      </c>
      <c r="S175" s="246">
        <v>0</v>
      </c>
      <c r="T175" s="298">
        <v>0</v>
      </c>
      <c r="U175" s="298">
        <v>0</v>
      </c>
      <c r="V175" s="298">
        <v>-4.6551290127953872E-2</v>
      </c>
      <c r="W175" s="298">
        <v>-4.6551290127953872E-2</v>
      </c>
      <c r="X175" s="298">
        <v>-4.1125993855548347E-2</v>
      </c>
      <c r="Y175" s="298">
        <v>-4.1125993855548347E-2</v>
      </c>
      <c r="Z175" s="298">
        <v>-9.1619595439487868E-5</v>
      </c>
      <c r="AA175" s="341">
        <v>-9.1619595439487868E-5</v>
      </c>
      <c r="AB175" s="501"/>
      <c r="AC175" s="502"/>
      <c r="AD175" s="417"/>
      <c r="AE175" s="316"/>
    </row>
    <row r="176" spans="1:37" s="73" customFormat="1">
      <c r="A176" s="235"/>
      <c r="B176" s="236" t="s">
        <v>82</v>
      </c>
      <c r="C176" s="237">
        <v>0</v>
      </c>
      <c r="D176" s="238">
        <v>0</v>
      </c>
      <c r="E176" s="238">
        <v>0</v>
      </c>
      <c r="F176" s="238"/>
      <c r="G176" s="238">
        <v>0</v>
      </c>
      <c r="H176" s="238">
        <v>0</v>
      </c>
      <c r="I176" s="237">
        <v>0</v>
      </c>
      <c r="J176" s="237"/>
      <c r="K176" s="238">
        <v>0</v>
      </c>
      <c r="L176" s="238">
        <v>0</v>
      </c>
      <c r="M176" s="238">
        <v>0</v>
      </c>
      <c r="N176" s="237">
        <v>0</v>
      </c>
      <c r="O176" s="299">
        <v>0</v>
      </c>
      <c r="P176" s="238">
        <v>0</v>
      </c>
      <c r="Q176" s="237"/>
      <c r="R176" s="237"/>
      <c r="S176" s="237"/>
      <c r="T176" s="297"/>
      <c r="U176" s="297"/>
      <c r="V176" s="297">
        <v>0</v>
      </c>
      <c r="W176" s="297">
        <v>0</v>
      </c>
      <c r="X176" s="297">
        <v>0</v>
      </c>
      <c r="Y176" s="297">
        <v>0</v>
      </c>
      <c r="Z176" s="297">
        <v>0</v>
      </c>
      <c r="AA176" s="342">
        <v>0</v>
      </c>
      <c r="AB176" s="499"/>
      <c r="AC176" s="500"/>
      <c r="AD176" s="416"/>
      <c r="AE176" s="316"/>
    </row>
    <row r="177" spans="1:37" s="73" customFormat="1">
      <c r="A177" s="235"/>
      <c r="B177" s="236" t="s">
        <v>80</v>
      </c>
      <c r="C177" s="237">
        <v>0</v>
      </c>
      <c r="D177" s="238">
        <v>0</v>
      </c>
      <c r="E177" s="238">
        <v>0</v>
      </c>
      <c r="F177" s="238"/>
      <c r="G177" s="238">
        <v>0</v>
      </c>
      <c r="H177" s="238">
        <v>0</v>
      </c>
      <c r="I177" s="237">
        <v>0</v>
      </c>
      <c r="J177" s="237"/>
      <c r="K177" s="238">
        <v>0</v>
      </c>
      <c r="L177" s="238">
        <v>0</v>
      </c>
      <c r="M177" s="238">
        <v>0</v>
      </c>
      <c r="N177" s="237">
        <v>0</v>
      </c>
      <c r="O177" s="299">
        <v>0</v>
      </c>
      <c r="P177" s="238">
        <v>0</v>
      </c>
      <c r="Q177" s="237"/>
      <c r="R177" s="237"/>
      <c r="S177" s="237"/>
      <c r="T177" s="297"/>
      <c r="U177" s="297"/>
      <c r="V177" s="297">
        <v>0</v>
      </c>
      <c r="W177" s="297">
        <v>0</v>
      </c>
      <c r="X177" s="297">
        <v>0</v>
      </c>
      <c r="Y177" s="297">
        <v>0</v>
      </c>
      <c r="Z177" s="297">
        <v>0</v>
      </c>
      <c r="AA177" s="342">
        <v>0</v>
      </c>
      <c r="AB177" s="499"/>
      <c r="AC177" s="500"/>
      <c r="AD177" s="416"/>
      <c r="AE177" s="316"/>
    </row>
    <row r="178" spans="1:37" s="73" customFormat="1">
      <c r="A178" s="235"/>
      <c r="B178" s="239" t="s">
        <v>100</v>
      </c>
      <c r="C178" s="246">
        <v>0</v>
      </c>
      <c r="D178" s="247">
        <v>0</v>
      </c>
      <c r="E178" s="247">
        <v>0</v>
      </c>
      <c r="F178" s="247">
        <v>0</v>
      </c>
      <c r="G178" s="247">
        <v>0</v>
      </c>
      <c r="H178" s="247">
        <v>0</v>
      </c>
      <c r="I178" s="246">
        <v>0</v>
      </c>
      <c r="J178" s="246">
        <v>0</v>
      </c>
      <c r="K178" s="247">
        <v>0</v>
      </c>
      <c r="L178" s="247">
        <v>0</v>
      </c>
      <c r="M178" s="247">
        <v>0</v>
      </c>
      <c r="N178" s="246">
        <v>0</v>
      </c>
      <c r="O178" s="338">
        <v>0</v>
      </c>
      <c r="P178" s="247">
        <v>0</v>
      </c>
      <c r="Q178" s="246">
        <v>0</v>
      </c>
      <c r="R178" s="246">
        <v>0</v>
      </c>
      <c r="S178" s="246">
        <v>0</v>
      </c>
      <c r="T178" s="298">
        <v>0</v>
      </c>
      <c r="U178" s="298">
        <v>0</v>
      </c>
      <c r="V178" s="298">
        <v>0</v>
      </c>
      <c r="W178" s="298">
        <v>0</v>
      </c>
      <c r="X178" s="298">
        <v>0</v>
      </c>
      <c r="Y178" s="298">
        <v>0</v>
      </c>
      <c r="Z178" s="298">
        <v>0</v>
      </c>
      <c r="AA178" s="341">
        <v>0</v>
      </c>
      <c r="AB178" s="501"/>
      <c r="AC178" s="502"/>
      <c r="AD178" s="417"/>
      <c r="AE178" s="316"/>
    </row>
    <row r="179" spans="1:37" s="73" customFormat="1">
      <c r="A179" s="235"/>
      <c r="B179" s="236" t="s">
        <v>88</v>
      </c>
      <c r="C179" s="237">
        <v>28940.204166666666</v>
      </c>
      <c r="D179" s="238">
        <v>2310.0625</v>
      </c>
      <c r="E179" s="238">
        <v>3828.7583333333332</v>
      </c>
      <c r="F179" s="238"/>
      <c r="G179" s="238">
        <v>141.41666666666666</v>
      </c>
      <c r="H179" s="238">
        <v>0</v>
      </c>
      <c r="I179" s="237">
        <v>35220.441666666666</v>
      </c>
      <c r="J179" s="237"/>
      <c r="K179" s="238">
        <v>0</v>
      </c>
      <c r="L179" s="238">
        <v>0</v>
      </c>
      <c r="M179" s="238">
        <v>0</v>
      </c>
      <c r="N179" s="237">
        <v>0</v>
      </c>
      <c r="O179" s="299">
        <v>0</v>
      </c>
      <c r="P179" s="238">
        <v>0</v>
      </c>
      <c r="Q179" s="237"/>
      <c r="R179" s="237"/>
      <c r="S179" s="237"/>
      <c r="T179" s="297"/>
      <c r="U179" s="297"/>
      <c r="V179" s="297">
        <v>0</v>
      </c>
      <c r="W179" s="297">
        <v>0</v>
      </c>
      <c r="X179" s="297">
        <v>0</v>
      </c>
      <c r="Y179" s="297">
        <v>0</v>
      </c>
      <c r="Z179" s="297">
        <v>0</v>
      </c>
      <c r="AA179" s="342">
        <v>0</v>
      </c>
      <c r="AB179" s="499"/>
      <c r="AC179" s="500"/>
      <c r="AD179" s="416"/>
      <c r="AE179" s="316"/>
    </row>
    <row r="180" spans="1:37" s="73" customFormat="1">
      <c r="A180" s="235"/>
      <c r="B180" s="236" t="s">
        <v>90</v>
      </c>
      <c r="C180" s="237">
        <v>28650.0625</v>
      </c>
      <c r="D180" s="238">
        <v>2279.875</v>
      </c>
      <c r="E180" s="238">
        <v>3638.3916666666664</v>
      </c>
      <c r="F180" s="238"/>
      <c r="G180" s="238">
        <v>136.75</v>
      </c>
      <c r="H180" s="238">
        <v>0</v>
      </c>
      <c r="I180" s="237">
        <v>34705.079166666663</v>
      </c>
      <c r="J180" s="237"/>
      <c r="K180" s="238">
        <v>0</v>
      </c>
      <c r="L180" s="238">
        <v>0</v>
      </c>
      <c r="M180" s="238">
        <v>0</v>
      </c>
      <c r="N180" s="237">
        <v>0</v>
      </c>
      <c r="O180" s="299">
        <v>0</v>
      </c>
      <c r="P180" s="238">
        <v>0</v>
      </c>
      <c r="Q180" s="237"/>
      <c r="R180" s="237"/>
      <c r="S180" s="237"/>
      <c r="T180" s="297"/>
      <c r="U180" s="297"/>
      <c r="V180" s="297">
        <v>0</v>
      </c>
      <c r="W180" s="297">
        <v>0</v>
      </c>
      <c r="X180" s="297">
        <v>0</v>
      </c>
      <c r="Y180" s="297">
        <v>0</v>
      </c>
      <c r="Z180" s="297">
        <v>0</v>
      </c>
      <c r="AA180" s="342">
        <v>0</v>
      </c>
      <c r="AB180" s="499"/>
      <c r="AC180" s="500"/>
      <c r="AD180" s="416"/>
      <c r="AE180" s="316"/>
    </row>
    <row r="181" spans="1:37" s="73" customFormat="1">
      <c r="A181" s="235"/>
      <c r="B181" s="239" t="s">
        <v>92</v>
      </c>
      <c r="C181" s="246">
        <v>-1.0025557006983788E-2</v>
      </c>
      <c r="D181" s="247">
        <v>-1.3067828251400125E-2</v>
      </c>
      <c r="E181" s="247">
        <v>-4.9720209554446539E-2</v>
      </c>
      <c r="F181" s="247">
        <v>0</v>
      </c>
      <c r="G181" s="247">
        <v>-3.2999410724808421E-2</v>
      </c>
      <c r="H181" s="247">
        <v>0</v>
      </c>
      <c r="I181" s="246">
        <v>-1.4632482604207237E-2</v>
      </c>
      <c r="J181" s="246">
        <v>0</v>
      </c>
      <c r="K181" s="247">
        <v>0</v>
      </c>
      <c r="L181" s="247">
        <v>0</v>
      </c>
      <c r="M181" s="247">
        <v>0</v>
      </c>
      <c r="N181" s="246">
        <v>0</v>
      </c>
      <c r="O181" s="338">
        <v>0</v>
      </c>
      <c r="P181" s="247">
        <v>0</v>
      </c>
      <c r="Q181" s="246">
        <v>0</v>
      </c>
      <c r="R181" s="246">
        <v>0</v>
      </c>
      <c r="S181" s="246">
        <v>0</v>
      </c>
      <c r="T181" s="298">
        <v>0</v>
      </c>
      <c r="U181" s="298">
        <v>0</v>
      </c>
      <c r="V181" s="298">
        <v>0</v>
      </c>
      <c r="W181" s="298">
        <v>0</v>
      </c>
      <c r="X181" s="298">
        <v>0</v>
      </c>
      <c r="Y181" s="298">
        <v>0</v>
      </c>
      <c r="Z181" s="298">
        <v>0</v>
      </c>
      <c r="AA181" s="341">
        <v>0</v>
      </c>
      <c r="AB181" s="501"/>
      <c r="AC181" s="502"/>
      <c r="AD181" s="417"/>
      <c r="AE181" s="316"/>
      <c r="AF181" s="211"/>
      <c r="AG181" s="294"/>
      <c r="AI181" s="73" t="s">
        <v>145</v>
      </c>
      <c r="AJ181" s="73">
        <v>11</v>
      </c>
      <c r="AK181" s="73" t="s">
        <v>143</v>
      </c>
    </row>
    <row r="182" spans="1:37" s="73" customFormat="1">
      <c r="A182" s="235"/>
      <c r="B182" s="236" t="s">
        <v>8</v>
      </c>
      <c r="C182" s="237">
        <v>130438.08749999999</v>
      </c>
      <c r="D182" s="238">
        <v>8471.2891666666656</v>
      </c>
      <c r="E182" s="238">
        <v>49734.175000000003</v>
      </c>
      <c r="F182" s="238"/>
      <c r="G182" s="238">
        <v>5086.8833333333332</v>
      </c>
      <c r="H182" s="238">
        <v>1756.1666666666667</v>
      </c>
      <c r="I182" s="237">
        <v>195486.60166666663</v>
      </c>
      <c r="J182" s="237"/>
      <c r="K182" s="238">
        <v>75081.7</v>
      </c>
      <c r="L182" s="238">
        <v>35035.166666666664</v>
      </c>
      <c r="M182" s="238">
        <v>10146.466666666665</v>
      </c>
      <c r="N182" s="237">
        <v>120263.33333333333</v>
      </c>
      <c r="O182" s="299">
        <v>119197.46666666666</v>
      </c>
      <c r="P182" s="238">
        <v>119197.46666666666</v>
      </c>
      <c r="Q182" s="237"/>
      <c r="R182" s="237"/>
      <c r="S182" s="237"/>
      <c r="T182" s="297"/>
      <c r="U182" s="297"/>
      <c r="V182" s="297">
        <v>75081.7</v>
      </c>
      <c r="W182" s="297">
        <v>75081.7</v>
      </c>
      <c r="X182" s="297">
        <v>36813.699999999997</v>
      </c>
      <c r="Y182" s="297">
        <v>36813.699999999997</v>
      </c>
      <c r="Z182" s="297">
        <v>8367.9333333333325</v>
      </c>
      <c r="AA182" s="342">
        <v>8367.9333333333325</v>
      </c>
      <c r="AB182" s="499"/>
      <c r="AC182" s="500"/>
      <c r="AD182" s="416"/>
      <c r="AE182" s="316" t="s">
        <v>198</v>
      </c>
      <c r="AF182" s="419"/>
      <c r="AI182" s="73">
        <f>+GETPIVOTDATA("Grand Total FTE - Old",$A$2,"State","VA","Category","10b","Category2","10b")</f>
        <v>8367.9333333333325</v>
      </c>
      <c r="AJ182" s="73">
        <f>+GETPIVOTDATA("Grand Total FTE - Old",$A$2,"State","VA","Category","11","Category2","11")</f>
        <v>119197.46666666666</v>
      </c>
      <c r="AK182" s="73">
        <f>+AJ182+AI182</f>
        <v>127565.4</v>
      </c>
    </row>
    <row r="183" spans="1:37" s="73" customFormat="1">
      <c r="A183" s="235"/>
      <c r="B183" s="236" t="s">
        <v>94</v>
      </c>
      <c r="C183" s="237">
        <v>131923.99583333332</v>
      </c>
      <c r="D183" s="238">
        <v>8490.8716666666678</v>
      </c>
      <c r="E183" s="238">
        <v>48910.891666666677</v>
      </c>
      <c r="F183" s="238"/>
      <c r="G183" s="238">
        <v>5063.1166666666668</v>
      </c>
      <c r="H183" s="238">
        <v>1733.5333333333333</v>
      </c>
      <c r="I183" s="237">
        <v>196122.40916666665</v>
      </c>
      <c r="J183" s="237"/>
      <c r="K183" s="238">
        <v>71586.55</v>
      </c>
      <c r="L183" s="238">
        <v>33529</v>
      </c>
      <c r="M183" s="238">
        <v>10137.866666666667</v>
      </c>
      <c r="N183" s="237">
        <v>115253.41666666667</v>
      </c>
      <c r="O183" s="299">
        <v>114109.78333333334</v>
      </c>
      <c r="P183" s="238">
        <v>114109.78333333334</v>
      </c>
      <c r="Q183" s="237"/>
      <c r="R183" s="237"/>
      <c r="S183" s="237"/>
      <c r="T183" s="297"/>
      <c r="U183" s="297"/>
      <c r="V183" s="297">
        <v>71586.55</v>
      </c>
      <c r="W183" s="297">
        <v>71586.55</v>
      </c>
      <c r="X183" s="297">
        <v>35299.699999999997</v>
      </c>
      <c r="Y183" s="297">
        <v>35299.699999999997</v>
      </c>
      <c r="Z183" s="297">
        <v>8367.1666666666679</v>
      </c>
      <c r="AA183" s="342">
        <v>8367.1666666666679</v>
      </c>
      <c r="AB183" s="499"/>
      <c r="AC183" s="500"/>
      <c r="AD183" s="416"/>
      <c r="AE183" s="316" t="s">
        <v>199</v>
      </c>
      <c r="AF183" s="419"/>
      <c r="AI183" s="73">
        <f>+GETPIVOTDATA("Grand Total FTE - New",$A$2,"State","VA","Category","10b","Category2","10b")</f>
        <v>8367.1666666666679</v>
      </c>
      <c r="AJ183" s="73">
        <f>+GETPIVOTDATA("Grand Total FTE - New",$A$2,"State","VA","Category","11","Category2","11")</f>
        <v>114109.78333333334</v>
      </c>
      <c r="AK183" s="73">
        <f>+AJ183+AI183</f>
        <v>122476.95000000001</v>
      </c>
    </row>
    <row r="184" spans="1:37" s="73" customFormat="1">
      <c r="A184" s="240"/>
      <c r="B184" s="296" t="s">
        <v>96</v>
      </c>
      <c r="C184" s="246">
        <v>1.1391675252317124E-2</v>
      </c>
      <c r="D184" s="247">
        <v>2.3116316318248994E-3</v>
      </c>
      <c r="E184" s="247">
        <v>-1.6553674275954625E-2</v>
      </c>
      <c r="F184" s="247">
        <v>0</v>
      </c>
      <c r="G184" s="247">
        <v>-4.6721469924281911E-3</v>
      </c>
      <c r="H184" s="247">
        <v>-1.2887918762456168E-2</v>
      </c>
      <c r="I184" s="246">
        <v>3.2524351775483763E-3</v>
      </c>
      <c r="J184" s="246">
        <v>0</v>
      </c>
      <c r="K184" s="247">
        <v>-4.6551290127953872E-2</v>
      </c>
      <c r="L184" s="247">
        <v>-4.2990138479908215E-2</v>
      </c>
      <c r="M184" s="247">
        <v>-8.4758569485586565E-4</v>
      </c>
      <c r="N184" s="246">
        <v>-4.1657889631087491E-2</v>
      </c>
      <c r="O184" s="338">
        <v>-4.2682814287999297E-2</v>
      </c>
      <c r="P184" s="247">
        <v>-4.2682814287999297E-2</v>
      </c>
      <c r="Q184" s="246">
        <v>0</v>
      </c>
      <c r="R184" s="246">
        <v>0</v>
      </c>
      <c r="S184" s="246">
        <v>0</v>
      </c>
      <c r="T184" s="298">
        <v>0</v>
      </c>
      <c r="U184" s="298">
        <v>0</v>
      </c>
      <c r="V184" s="298">
        <v>-4.6551290127953872E-2</v>
      </c>
      <c r="W184" s="298">
        <v>-4.6551290127953872E-2</v>
      </c>
      <c r="X184" s="298">
        <v>-4.1125993855548347E-2</v>
      </c>
      <c r="Y184" s="298">
        <v>-4.1125993855548347E-2</v>
      </c>
      <c r="Z184" s="298">
        <v>-9.1619595439487868E-5</v>
      </c>
      <c r="AA184" s="341">
        <v>-9.1619595439487868E-5</v>
      </c>
      <c r="AB184" s="499"/>
      <c r="AC184" s="500"/>
      <c r="AD184" s="417"/>
      <c r="AE184" s="316"/>
      <c r="AF184" s="418"/>
      <c r="AG184" s="211"/>
    </row>
    <row r="185" spans="1:37" s="73" customFormat="1">
      <c r="A185" s="324" t="s">
        <v>232</v>
      </c>
      <c r="B185" s="322" t="s">
        <v>86</v>
      </c>
      <c r="C185" s="319">
        <v>22036.666666666668</v>
      </c>
      <c r="D185" s="323"/>
      <c r="E185" s="323">
        <v>8803.7999999999993</v>
      </c>
      <c r="F185" s="323"/>
      <c r="G185" s="323">
        <v>6950.2999999999993</v>
      </c>
      <c r="H185" s="323">
        <v>12964.349999999999</v>
      </c>
      <c r="I185" s="319">
        <v>50755.116666666661</v>
      </c>
      <c r="J185" s="319">
        <v>1321.5333333333333</v>
      </c>
      <c r="K185" s="323"/>
      <c r="L185" s="323">
        <v>3501.8</v>
      </c>
      <c r="M185" s="323">
        <v>8512.9299999999985</v>
      </c>
      <c r="N185" s="319">
        <v>13336.263333333332</v>
      </c>
      <c r="O185" s="319"/>
      <c r="P185" s="323"/>
      <c r="Q185" s="319"/>
      <c r="R185" s="319"/>
      <c r="S185" s="319"/>
      <c r="T185" s="331"/>
      <c r="U185" s="331"/>
      <c r="V185" s="331"/>
      <c r="W185" s="331"/>
      <c r="X185" s="331"/>
      <c r="Y185" s="331"/>
      <c r="Z185" s="331"/>
      <c r="AA185" s="339"/>
      <c r="AB185" s="494"/>
      <c r="AC185" s="497"/>
      <c r="AD185" s="416"/>
      <c r="AE185" s="316"/>
    </row>
    <row r="186" spans="1:37" s="73" customFormat="1">
      <c r="A186" s="235"/>
      <c r="B186" s="236" t="s">
        <v>84</v>
      </c>
      <c r="C186" s="237">
        <v>21737.5</v>
      </c>
      <c r="D186" s="238"/>
      <c r="E186" s="238">
        <v>8724.9333333333325</v>
      </c>
      <c r="F186" s="238"/>
      <c r="G186" s="238">
        <v>6605.7</v>
      </c>
      <c r="H186" s="238">
        <v>12219.909999999998</v>
      </c>
      <c r="I186" s="237">
        <v>49288.043333333328</v>
      </c>
      <c r="J186" s="237">
        <v>1251.7333333333333</v>
      </c>
      <c r="K186" s="238"/>
      <c r="L186" s="238">
        <v>2911.833333333333</v>
      </c>
      <c r="M186" s="238">
        <v>7977.623333333333</v>
      </c>
      <c r="N186" s="237">
        <v>12141.189999999999</v>
      </c>
      <c r="O186" s="237"/>
      <c r="P186" s="238"/>
      <c r="Q186" s="237"/>
      <c r="R186" s="237"/>
      <c r="S186" s="237"/>
      <c r="T186" s="297"/>
      <c r="U186" s="297"/>
      <c r="V186" s="297"/>
      <c r="W186" s="297"/>
      <c r="X186" s="297"/>
      <c r="Y186" s="297"/>
      <c r="Z186" s="297"/>
      <c r="AA186" s="340"/>
      <c r="AB186" s="499"/>
      <c r="AC186" s="500"/>
      <c r="AD186" s="416"/>
      <c r="AE186" s="316"/>
    </row>
    <row r="187" spans="1:37" s="73" customFormat="1">
      <c r="A187" s="235"/>
      <c r="B187" s="239" t="s">
        <v>98</v>
      </c>
      <c r="C187" s="246">
        <v>-1.3575858417788588E-2</v>
      </c>
      <c r="D187" s="247">
        <v>0</v>
      </c>
      <c r="E187" s="247">
        <v>-8.9582528756521947E-3</v>
      </c>
      <c r="F187" s="247">
        <v>0</v>
      </c>
      <c r="G187" s="247">
        <v>-4.958059364343978E-2</v>
      </c>
      <c r="H187" s="247">
        <v>-5.7422084408396919E-2</v>
      </c>
      <c r="I187" s="246">
        <v>-2.8904934707732127E-2</v>
      </c>
      <c r="J187" s="246">
        <v>-5.2817434293497417E-2</v>
      </c>
      <c r="K187" s="247">
        <v>0</v>
      </c>
      <c r="L187" s="458">
        <v>-0.16847526034230029</v>
      </c>
      <c r="M187" s="247">
        <v>-6.2881600890253478E-2</v>
      </c>
      <c r="N187" s="246">
        <v>-8.9610808024936539E-2</v>
      </c>
      <c r="O187" s="338">
        <v>0</v>
      </c>
      <c r="P187" s="247">
        <v>0</v>
      </c>
      <c r="Q187" s="246">
        <v>0</v>
      </c>
      <c r="R187" s="246">
        <v>0</v>
      </c>
      <c r="S187" s="246">
        <v>0</v>
      </c>
      <c r="T187" s="298">
        <v>0</v>
      </c>
      <c r="U187" s="298">
        <v>0</v>
      </c>
      <c r="V187" s="298">
        <v>0</v>
      </c>
      <c r="W187" s="298">
        <v>0</v>
      </c>
      <c r="X187" s="298">
        <v>0</v>
      </c>
      <c r="Y187" s="298">
        <v>0</v>
      </c>
      <c r="Z187" s="298">
        <v>0</v>
      </c>
      <c r="AA187" s="341">
        <v>0</v>
      </c>
      <c r="AB187" s="501"/>
      <c r="AC187" s="502"/>
      <c r="AD187" s="417"/>
      <c r="AE187" s="316"/>
    </row>
    <row r="188" spans="1:37" s="73" customFormat="1">
      <c r="A188" s="235"/>
      <c r="B188" s="236" t="s">
        <v>82</v>
      </c>
      <c r="C188" s="237">
        <v>0</v>
      </c>
      <c r="D188" s="238"/>
      <c r="E188" s="238">
        <v>0</v>
      </c>
      <c r="F188" s="238"/>
      <c r="G188" s="238">
        <v>0</v>
      </c>
      <c r="H188" s="238">
        <v>0</v>
      </c>
      <c r="I188" s="237">
        <v>0</v>
      </c>
      <c r="J188" s="237">
        <v>0</v>
      </c>
      <c r="K188" s="238"/>
      <c r="L188" s="238">
        <v>0</v>
      </c>
      <c r="M188" s="238">
        <v>0</v>
      </c>
      <c r="N188" s="237">
        <v>0</v>
      </c>
      <c r="O188" s="299"/>
      <c r="P188" s="238"/>
      <c r="Q188" s="237"/>
      <c r="R188" s="237"/>
      <c r="S188" s="237"/>
      <c r="T188" s="297"/>
      <c r="U188" s="297"/>
      <c r="V188" s="297"/>
      <c r="W188" s="297"/>
      <c r="X188" s="297"/>
      <c r="Y188" s="297"/>
      <c r="Z188" s="297"/>
      <c r="AA188" s="342"/>
      <c r="AB188" s="499"/>
      <c r="AC188" s="500"/>
      <c r="AD188" s="416"/>
      <c r="AE188" s="316"/>
    </row>
    <row r="189" spans="1:37" s="73" customFormat="1">
      <c r="A189" s="235"/>
      <c r="B189" s="236" t="s">
        <v>80</v>
      </c>
      <c r="C189" s="237">
        <v>0</v>
      </c>
      <c r="D189" s="238"/>
      <c r="E189" s="238">
        <v>0</v>
      </c>
      <c r="F189" s="238"/>
      <c r="G189" s="238">
        <v>0</v>
      </c>
      <c r="H189" s="238">
        <v>0</v>
      </c>
      <c r="I189" s="237">
        <v>0</v>
      </c>
      <c r="J189" s="237">
        <v>0</v>
      </c>
      <c r="K189" s="238"/>
      <c r="L189" s="238">
        <v>0</v>
      </c>
      <c r="M189" s="238">
        <v>0</v>
      </c>
      <c r="N189" s="237">
        <v>0</v>
      </c>
      <c r="O189" s="299"/>
      <c r="P189" s="238"/>
      <c r="Q189" s="237"/>
      <c r="R189" s="237"/>
      <c r="S189" s="237"/>
      <c r="T189" s="297"/>
      <c r="U189" s="297"/>
      <c r="V189" s="297"/>
      <c r="W189" s="297"/>
      <c r="X189" s="297"/>
      <c r="Y189" s="297"/>
      <c r="Z189" s="297"/>
      <c r="AA189" s="342"/>
      <c r="AB189" s="499"/>
      <c r="AC189" s="500"/>
      <c r="AD189" s="416"/>
      <c r="AE189" s="316"/>
    </row>
    <row r="190" spans="1:37" s="73" customFormat="1">
      <c r="A190" s="235"/>
      <c r="B190" s="239" t="s">
        <v>100</v>
      </c>
      <c r="C190" s="246">
        <v>0</v>
      </c>
      <c r="D190" s="247">
        <v>0</v>
      </c>
      <c r="E190" s="247">
        <v>0</v>
      </c>
      <c r="F190" s="247">
        <v>0</v>
      </c>
      <c r="G190" s="247">
        <v>0</v>
      </c>
      <c r="H190" s="247">
        <v>0</v>
      </c>
      <c r="I190" s="246">
        <v>0</v>
      </c>
      <c r="J190" s="246">
        <v>0</v>
      </c>
      <c r="K190" s="247">
        <v>0</v>
      </c>
      <c r="L190" s="247">
        <v>0</v>
      </c>
      <c r="M190" s="247">
        <v>0</v>
      </c>
      <c r="N190" s="246">
        <v>0</v>
      </c>
      <c r="O190" s="338">
        <v>0</v>
      </c>
      <c r="P190" s="247">
        <v>0</v>
      </c>
      <c r="Q190" s="246">
        <v>0</v>
      </c>
      <c r="R190" s="246">
        <v>0</v>
      </c>
      <c r="S190" s="246">
        <v>0</v>
      </c>
      <c r="T190" s="298">
        <v>0</v>
      </c>
      <c r="U190" s="298">
        <v>0</v>
      </c>
      <c r="V190" s="298">
        <v>0</v>
      </c>
      <c r="W190" s="298">
        <v>0</v>
      </c>
      <c r="X190" s="298">
        <v>0</v>
      </c>
      <c r="Y190" s="298">
        <v>0</v>
      </c>
      <c r="Z190" s="298">
        <v>0</v>
      </c>
      <c r="AA190" s="341">
        <v>0</v>
      </c>
      <c r="AB190" s="501"/>
      <c r="AC190" s="502"/>
      <c r="AD190" s="417"/>
      <c r="AE190" s="316"/>
    </row>
    <row r="191" spans="1:37" s="73" customFormat="1">
      <c r="A191" s="235"/>
      <c r="B191" s="236" t="s">
        <v>88</v>
      </c>
      <c r="C191" s="237">
        <v>4542.208333333333</v>
      </c>
      <c r="D191" s="238"/>
      <c r="E191" s="238">
        <v>2614.2916666666665</v>
      </c>
      <c r="F191" s="238"/>
      <c r="G191" s="238">
        <v>319.70833333333331</v>
      </c>
      <c r="H191" s="238">
        <v>397.58333333333337</v>
      </c>
      <c r="I191" s="237">
        <v>7873.7916666666661</v>
      </c>
      <c r="J191" s="237">
        <v>0</v>
      </c>
      <c r="K191" s="238"/>
      <c r="L191" s="238">
        <v>0</v>
      </c>
      <c r="M191" s="238">
        <v>0</v>
      </c>
      <c r="N191" s="237">
        <v>0</v>
      </c>
      <c r="O191" s="299"/>
      <c r="P191" s="238"/>
      <c r="Q191" s="237"/>
      <c r="R191" s="237"/>
      <c r="S191" s="237"/>
      <c r="T191" s="297"/>
      <c r="U191" s="297"/>
      <c r="V191" s="297"/>
      <c r="W191" s="297"/>
      <c r="X191" s="297"/>
      <c r="Y191" s="297"/>
      <c r="Z191" s="297"/>
      <c r="AA191" s="342"/>
      <c r="AB191" s="499"/>
      <c r="AC191" s="500"/>
      <c r="AD191" s="416"/>
      <c r="AE191" s="316"/>
    </row>
    <row r="192" spans="1:37" s="73" customFormat="1">
      <c r="A192" s="235"/>
      <c r="B192" s="236" t="s">
        <v>90</v>
      </c>
      <c r="C192" s="237">
        <v>4333.5</v>
      </c>
      <c r="D192" s="238"/>
      <c r="E192" s="238">
        <v>2911.1666666666665</v>
      </c>
      <c r="F192" s="238"/>
      <c r="G192" s="238">
        <v>345.91666666666669</v>
      </c>
      <c r="H192" s="238">
        <v>475.125</v>
      </c>
      <c r="I192" s="237">
        <v>8065.708333333333</v>
      </c>
      <c r="J192" s="237">
        <v>0</v>
      </c>
      <c r="K192" s="238"/>
      <c r="L192" s="238">
        <v>0</v>
      </c>
      <c r="M192" s="238">
        <v>0</v>
      </c>
      <c r="N192" s="237">
        <v>0</v>
      </c>
      <c r="O192" s="299"/>
      <c r="P192" s="238"/>
      <c r="Q192" s="237"/>
      <c r="R192" s="237"/>
      <c r="S192" s="237"/>
      <c r="T192" s="297"/>
      <c r="U192" s="297"/>
      <c r="V192" s="297"/>
      <c r="W192" s="297"/>
      <c r="X192" s="297"/>
      <c r="Y192" s="297"/>
      <c r="Z192" s="297"/>
      <c r="AA192" s="342"/>
      <c r="AB192" s="499"/>
      <c r="AC192" s="500"/>
      <c r="AD192" s="416"/>
      <c r="AE192" s="316"/>
    </row>
    <row r="193" spans="1:33" s="73" customFormat="1">
      <c r="A193" s="235"/>
      <c r="B193" s="239" t="s">
        <v>92</v>
      </c>
      <c r="C193" s="457">
        <v>-4.5948648326346334E-2</v>
      </c>
      <c r="D193" s="247">
        <v>0</v>
      </c>
      <c r="E193" s="458">
        <v>0.11355848461182921</v>
      </c>
      <c r="F193" s="247">
        <v>0</v>
      </c>
      <c r="G193" s="247">
        <v>8.1975759155480374E-2</v>
      </c>
      <c r="H193" s="458">
        <v>0.19503248794801917</v>
      </c>
      <c r="I193" s="246">
        <v>2.4374110313222584E-2</v>
      </c>
      <c r="J193" s="246">
        <v>0</v>
      </c>
      <c r="K193" s="247">
        <v>0</v>
      </c>
      <c r="L193" s="247">
        <v>0</v>
      </c>
      <c r="M193" s="247">
        <v>0</v>
      </c>
      <c r="N193" s="246">
        <v>0</v>
      </c>
      <c r="O193" s="338">
        <v>0</v>
      </c>
      <c r="P193" s="247">
        <v>0</v>
      </c>
      <c r="Q193" s="246">
        <v>0</v>
      </c>
      <c r="R193" s="246">
        <v>0</v>
      </c>
      <c r="S193" s="246">
        <v>0</v>
      </c>
      <c r="T193" s="298">
        <v>0</v>
      </c>
      <c r="U193" s="298">
        <v>0</v>
      </c>
      <c r="V193" s="298">
        <v>0</v>
      </c>
      <c r="W193" s="298">
        <v>0</v>
      </c>
      <c r="X193" s="298">
        <v>0</v>
      </c>
      <c r="Y193" s="298">
        <v>0</v>
      </c>
      <c r="Z193" s="298">
        <v>0</v>
      </c>
      <c r="AA193" s="341">
        <v>0</v>
      </c>
      <c r="AB193" s="501"/>
      <c r="AC193" s="502"/>
      <c r="AD193" s="417"/>
      <c r="AE193" s="316"/>
      <c r="AF193" s="211"/>
      <c r="AG193" s="294"/>
    </row>
    <row r="194" spans="1:33" s="73" customFormat="1">
      <c r="A194" s="235"/>
      <c r="B194" s="236" t="s">
        <v>8</v>
      </c>
      <c r="C194" s="237">
        <v>26578.875</v>
      </c>
      <c r="D194" s="238"/>
      <c r="E194" s="238">
        <v>11418.091666666665</v>
      </c>
      <c r="F194" s="238"/>
      <c r="G194" s="238">
        <v>7270.0083333333332</v>
      </c>
      <c r="H194" s="238">
        <v>13361.933333333331</v>
      </c>
      <c r="I194" s="237">
        <v>58628.908333333326</v>
      </c>
      <c r="J194" s="237">
        <v>1321.5333333333333</v>
      </c>
      <c r="K194" s="238"/>
      <c r="L194" s="238">
        <v>3501.8</v>
      </c>
      <c r="M194" s="238">
        <v>8512.9299999999985</v>
      </c>
      <c r="N194" s="237">
        <v>13336.263333333332</v>
      </c>
      <c r="O194" s="299"/>
      <c r="P194" s="238"/>
      <c r="Q194" s="237"/>
      <c r="R194" s="237"/>
      <c r="S194" s="237"/>
      <c r="T194" s="297"/>
      <c r="U194" s="297"/>
      <c r="V194" s="297"/>
      <c r="W194" s="297"/>
      <c r="X194" s="297"/>
      <c r="Y194" s="297"/>
      <c r="Z194" s="297"/>
      <c r="AA194" s="342"/>
      <c r="AB194" s="499"/>
      <c r="AC194" s="500"/>
      <c r="AD194" s="416"/>
      <c r="AE194" s="316"/>
      <c r="AF194" s="419"/>
    </row>
    <row r="195" spans="1:33" s="73" customFormat="1">
      <c r="A195" s="235"/>
      <c r="B195" s="236" t="s">
        <v>94</v>
      </c>
      <c r="C195" s="237">
        <v>26071</v>
      </c>
      <c r="D195" s="238"/>
      <c r="E195" s="238">
        <v>11636.099999999999</v>
      </c>
      <c r="F195" s="238"/>
      <c r="G195" s="238">
        <v>6951.6166666666668</v>
      </c>
      <c r="H195" s="238">
        <v>12695.034999999998</v>
      </c>
      <c r="I195" s="237">
        <v>57353.751666666663</v>
      </c>
      <c r="J195" s="237">
        <v>1251.7333333333333</v>
      </c>
      <c r="K195" s="238"/>
      <c r="L195" s="238">
        <v>2911.833333333333</v>
      </c>
      <c r="M195" s="238">
        <v>7977.623333333333</v>
      </c>
      <c r="N195" s="237">
        <v>12141.189999999999</v>
      </c>
      <c r="O195" s="299"/>
      <c r="P195" s="238"/>
      <c r="Q195" s="237"/>
      <c r="R195" s="237"/>
      <c r="S195" s="237"/>
      <c r="T195" s="297"/>
      <c r="U195" s="297"/>
      <c r="V195" s="297"/>
      <c r="W195" s="297"/>
      <c r="X195" s="297"/>
      <c r="Y195" s="297"/>
      <c r="Z195" s="297"/>
      <c r="AA195" s="342"/>
      <c r="AB195" s="499"/>
      <c r="AC195" s="500"/>
      <c r="AD195" s="416"/>
      <c r="AE195" s="316"/>
      <c r="AF195" s="419"/>
    </row>
    <row r="196" spans="1:33" s="73" customFormat="1">
      <c r="A196" s="240"/>
      <c r="B196" s="296" t="s">
        <v>96</v>
      </c>
      <c r="C196" s="246">
        <v>-1.9108220344164303E-2</v>
      </c>
      <c r="D196" s="247">
        <v>0</v>
      </c>
      <c r="E196" s="247">
        <v>1.9093237267465146E-2</v>
      </c>
      <c r="F196" s="247">
        <v>0</v>
      </c>
      <c r="G196" s="247">
        <v>-4.3795227194833537E-2</v>
      </c>
      <c r="H196" s="247">
        <v>-4.9910317369242931E-2</v>
      </c>
      <c r="I196" s="246">
        <v>-2.17496232305197E-2</v>
      </c>
      <c r="J196" s="246">
        <v>-5.2817434293497417E-2</v>
      </c>
      <c r="K196" s="247">
        <v>0</v>
      </c>
      <c r="L196" s="247">
        <v>-0.16847526034230029</v>
      </c>
      <c r="M196" s="247">
        <v>-6.2881600890253478E-2</v>
      </c>
      <c r="N196" s="246">
        <v>-8.9610808024936539E-2</v>
      </c>
      <c r="O196" s="338">
        <v>0</v>
      </c>
      <c r="P196" s="247">
        <v>0</v>
      </c>
      <c r="Q196" s="246">
        <v>0</v>
      </c>
      <c r="R196" s="246">
        <v>0</v>
      </c>
      <c r="S196" s="246">
        <v>0</v>
      </c>
      <c r="T196" s="298">
        <v>0</v>
      </c>
      <c r="U196" s="298">
        <v>0</v>
      </c>
      <c r="V196" s="298">
        <v>0</v>
      </c>
      <c r="W196" s="298">
        <v>0</v>
      </c>
      <c r="X196" s="298">
        <v>0</v>
      </c>
      <c r="Y196" s="298">
        <v>0</v>
      </c>
      <c r="Z196" s="298">
        <v>0</v>
      </c>
      <c r="AA196" s="341">
        <v>0</v>
      </c>
      <c r="AB196" s="499"/>
      <c r="AC196" s="500"/>
      <c r="AD196" s="417"/>
      <c r="AE196" s="316"/>
      <c r="AF196" s="418"/>
      <c r="AG196" s="211"/>
    </row>
    <row r="197" spans="1:33" s="73" customFormat="1">
      <c r="A197" s="324" t="s">
        <v>87</v>
      </c>
      <c r="B197" s="322"/>
      <c r="C197" s="319">
        <v>943132.78333333333</v>
      </c>
      <c r="D197" s="323">
        <v>187945.62666666662</v>
      </c>
      <c r="E197" s="323">
        <v>576470.25000000012</v>
      </c>
      <c r="F197" s="323">
        <v>144099.03333333335</v>
      </c>
      <c r="G197" s="323">
        <v>89499.199999999983</v>
      </c>
      <c r="H197" s="323">
        <v>72989.933333333349</v>
      </c>
      <c r="I197" s="319">
        <v>2014136.8266666664</v>
      </c>
      <c r="J197" s="319">
        <v>306032.2</v>
      </c>
      <c r="K197" s="323">
        <v>821314.8666666667</v>
      </c>
      <c r="L197" s="323">
        <v>398617.8666666667</v>
      </c>
      <c r="M197" s="323">
        <v>118674.02999999998</v>
      </c>
      <c r="N197" s="319">
        <v>1644638.9633333331</v>
      </c>
      <c r="O197" s="319">
        <v>200116.19999999998</v>
      </c>
      <c r="P197" s="323">
        <v>200116.19999999998</v>
      </c>
      <c r="Q197" s="319">
        <v>88194.566666666666</v>
      </c>
      <c r="R197" s="319">
        <v>1908.1999999999998</v>
      </c>
      <c r="S197" s="319">
        <v>90102.766666666663</v>
      </c>
      <c r="T197" s="319">
        <v>1245.0666666666666</v>
      </c>
      <c r="U197" s="319">
        <v>1245.0666666666666</v>
      </c>
      <c r="V197" s="319">
        <v>144720.5</v>
      </c>
      <c r="W197" s="319">
        <v>144720.5</v>
      </c>
      <c r="X197" s="319">
        <v>47066.933333333334</v>
      </c>
      <c r="Y197" s="319">
        <v>47066.933333333334</v>
      </c>
      <c r="Z197" s="319">
        <v>9394.6333333333332</v>
      </c>
      <c r="AA197" s="464">
        <v>9394.6333333333332</v>
      </c>
      <c r="AB197" s="494"/>
      <c r="AC197" s="497"/>
      <c r="AD197" s="416"/>
      <c r="AE197" s="316"/>
    </row>
    <row r="198" spans="1:33" s="73" customFormat="1">
      <c r="A198" s="235" t="s">
        <v>85</v>
      </c>
      <c r="B198" s="236"/>
      <c r="C198" s="237">
        <v>961675.25</v>
      </c>
      <c r="D198" s="238">
        <v>191384.64633333337</v>
      </c>
      <c r="E198" s="238">
        <v>581296.43333333335</v>
      </c>
      <c r="F198" s="238">
        <v>143398.68333333335</v>
      </c>
      <c r="G198" s="238">
        <v>87864.5</v>
      </c>
      <c r="H198" s="238">
        <v>72570.509999999995</v>
      </c>
      <c r="I198" s="237">
        <v>2038190.023</v>
      </c>
      <c r="J198" s="237">
        <v>300597.36666666664</v>
      </c>
      <c r="K198" s="238">
        <v>798753.44400000002</v>
      </c>
      <c r="L198" s="238">
        <v>382187.91066666663</v>
      </c>
      <c r="M198" s="238">
        <v>113875.65466666664</v>
      </c>
      <c r="N198" s="237">
        <v>1595414.3759999999</v>
      </c>
      <c r="O198" s="237">
        <v>194699.85</v>
      </c>
      <c r="P198" s="238">
        <v>194699.85</v>
      </c>
      <c r="Q198" s="237">
        <v>83365.833333333314</v>
      </c>
      <c r="R198" s="237">
        <v>1774.5</v>
      </c>
      <c r="S198" s="237">
        <v>85140.333333333314</v>
      </c>
      <c r="T198" s="237">
        <v>1468.2333333333333</v>
      </c>
      <c r="U198" s="237">
        <v>1468.2333333333333</v>
      </c>
      <c r="V198" s="237">
        <v>140282.85</v>
      </c>
      <c r="W198" s="237">
        <v>140282.85</v>
      </c>
      <c r="X198" s="237">
        <v>45678.1</v>
      </c>
      <c r="Y198" s="237">
        <v>45678.1</v>
      </c>
      <c r="Z198" s="237">
        <v>9882.5333333333347</v>
      </c>
      <c r="AA198" s="465">
        <v>9882.5333333333347</v>
      </c>
      <c r="AB198" s="494"/>
      <c r="AC198" s="497"/>
      <c r="AD198" s="416"/>
      <c r="AE198" s="316"/>
    </row>
    <row r="199" spans="1:33" s="73" customFormat="1">
      <c r="A199" s="235" t="s">
        <v>99</v>
      </c>
      <c r="B199" s="239"/>
      <c r="C199" s="246">
        <v>1.9660504856094115E-2</v>
      </c>
      <c r="D199" s="247">
        <v>1.829794993190257E-2</v>
      </c>
      <c r="E199" s="247">
        <v>8.3719555923889351E-3</v>
      </c>
      <c r="F199" s="247">
        <v>-4.8601991547015484E-3</v>
      </c>
      <c r="G199" s="247">
        <v>-1.8264967731554786E-2</v>
      </c>
      <c r="H199" s="247">
        <v>-5.7463175287186573E-3</v>
      </c>
      <c r="I199" s="246">
        <v>1.1942185860898138E-2</v>
      </c>
      <c r="J199" s="246">
        <v>-1.7759024486094135E-2</v>
      </c>
      <c r="K199" s="247">
        <v>-2.7469882236800587E-2</v>
      </c>
      <c r="L199" s="247">
        <v>-4.1217309543575976E-2</v>
      </c>
      <c r="M199" s="247">
        <v>-4.0433238285860505E-2</v>
      </c>
      <c r="N199" s="246">
        <v>-2.9930330261400292E-2</v>
      </c>
      <c r="O199" s="338">
        <v>-2.706602463968423E-2</v>
      </c>
      <c r="P199" s="247">
        <v>-2.706602463968423E-2</v>
      </c>
      <c r="Q199" s="246">
        <v>-5.4750916250698951E-2</v>
      </c>
      <c r="R199" s="246">
        <v>-7.0066030814379954E-2</v>
      </c>
      <c r="S199" s="246">
        <v>-5.5075260360114904E-2</v>
      </c>
      <c r="T199" s="246">
        <v>0.17924073677446997</v>
      </c>
      <c r="U199" s="246">
        <v>0.17924073677446997</v>
      </c>
      <c r="V199" s="246">
        <v>-3.0663589470738384E-2</v>
      </c>
      <c r="W199" s="246">
        <v>-3.0663589470738384E-2</v>
      </c>
      <c r="X199" s="246">
        <v>-2.950762318627095E-2</v>
      </c>
      <c r="Y199" s="246">
        <v>-2.950762318627095E-2</v>
      </c>
      <c r="Z199" s="246">
        <v>5.1933905527623891E-2</v>
      </c>
      <c r="AA199" s="466">
        <v>5.1933905527624086E-2</v>
      </c>
      <c r="AB199" s="503"/>
      <c r="AC199" s="504"/>
      <c r="AD199" s="417"/>
      <c r="AE199" s="316"/>
    </row>
    <row r="200" spans="1:33" s="73" customFormat="1">
      <c r="A200" s="235" t="s">
        <v>83</v>
      </c>
      <c r="B200" s="236"/>
      <c r="C200" s="237">
        <v>0</v>
      </c>
      <c r="D200" s="238">
        <v>0</v>
      </c>
      <c r="E200" s="238">
        <v>0</v>
      </c>
      <c r="F200" s="238">
        <v>0</v>
      </c>
      <c r="G200" s="238">
        <v>0</v>
      </c>
      <c r="H200" s="238">
        <v>0</v>
      </c>
      <c r="I200" s="237">
        <v>0</v>
      </c>
      <c r="J200" s="237">
        <v>17641.624444444446</v>
      </c>
      <c r="K200" s="238">
        <v>28164.647777777776</v>
      </c>
      <c r="L200" s="238">
        <v>21287.156666666669</v>
      </c>
      <c r="M200" s="238">
        <v>8952.6066666666648</v>
      </c>
      <c r="N200" s="237">
        <v>76046.035555555558</v>
      </c>
      <c r="O200" s="299">
        <v>4612.9611111111117</v>
      </c>
      <c r="P200" s="238">
        <v>4612.9611111111117</v>
      </c>
      <c r="Q200" s="237">
        <v>5904.1132333333335</v>
      </c>
      <c r="R200" s="237">
        <v>25112.060677777776</v>
      </c>
      <c r="S200" s="237">
        <v>31016.173911111109</v>
      </c>
      <c r="T200" s="237">
        <v>0</v>
      </c>
      <c r="U200" s="237">
        <v>0</v>
      </c>
      <c r="V200" s="237">
        <v>3530.8700000000003</v>
      </c>
      <c r="W200" s="237">
        <v>3530.8700000000003</v>
      </c>
      <c r="X200" s="237">
        <v>1034.1622222222222</v>
      </c>
      <c r="Y200" s="237">
        <v>1034.1622222222222</v>
      </c>
      <c r="Z200" s="237">
        <v>47.928888888888892</v>
      </c>
      <c r="AA200" s="236">
        <v>47.928888888888892</v>
      </c>
      <c r="AB200" s="494"/>
      <c r="AC200" s="497"/>
      <c r="AD200" s="416"/>
      <c r="AE200" s="316"/>
    </row>
    <row r="201" spans="1:33" s="73" customFormat="1">
      <c r="A201" s="235" t="s">
        <v>81</v>
      </c>
      <c r="B201" s="236"/>
      <c r="C201" s="237">
        <v>0</v>
      </c>
      <c r="D201" s="238">
        <v>0</v>
      </c>
      <c r="E201" s="238">
        <v>0</v>
      </c>
      <c r="F201" s="238">
        <v>0</v>
      </c>
      <c r="G201" s="238">
        <v>0</v>
      </c>
      <c r="H201" s="238">
        <v>0</v>
      </c>
      <c r="I201" s="237">
        <v>0</v>
      </c>
      <c r="J201" s="237">
        <v>17699.74666666667</v>
      </c>
      <c r="K201" s="238">
        <v>28416.297777777778</v>
      </c>
      <c r="L201" s="238">
        <v>20293.836666666666</v>
      </c>
      <c r="M201" s="238">
        <v>8506.0244444444434</v>
      </c>
      <c r="N201" s="237">
        <v>74915.905555555553</v>
      </c>
      <c r="O201" s="299">
        <v>4753.3755555555554</v>
      </c>
      <c r="P201" s="238">
        <v>4753.3755555555554</v>
      </c>
      <c r="Q201" s="237">
        <v>5860.0292111111103</v>
      </c>
      <c r="R201" s="237">
        <v>25295.632422222225</v>
      </c>
      <c r="S201" s="237">
        <v>31155.661633333337</v>
      </c>
      <c r="T201" s="237">
        <v>0</v>
      </c>
      <c r="U201" s="237">
        <v>0</v>
      </c>
      <c r="V201" s="237">
        <v>3784.548888888889</v>
      </c>
      <c r="W201" s="237">
        <v>3784.548888888889</v>
      </c>
      <c r="X201" s="237">
        <v>955.97333333333336</v>
      </c>
      <c r="Y201" s="237">
        <v>955.97333333333336</v>
      </c>
      <c r="Z201" s="237">
        <v>12.853333333333333</v>
      </c>
      <c r="AA201" s="236">
        <v>12.853333333333333</v>
      </c>
      <c r="AB201" s="494"/>
      <c r="AC201" s="497"/>
      <c r="AD201" s="416"/>
      <c r="AE201" s="316"/>
    </row>
    <row r="202" spans="1:33" s="73" customFormat="1">
      <c r="A202" s="235" t="s">
        <v>101</v>
      </c>
      <c r="B202" s="239"/>
      <c r="C202" s="246">
        <v>0</v>
      </c>
      <c r="D202" s="247">
        <v>0</v>
      </c>
      <c r="E202" s="247">
        <v>0</v>
      </c>
      <c r="F202" s="247">
        <v>0</v>
      </c>
      <c r="G202" s="247">
        <v>0</v>
      </c>
      <c r="H202" s="247">
        <v>0</v>
      </c>
      <c r="I202" s="246">
        <v>0</v>
      </c>
      <c r="J202" s="246">
        <v>3.2946071607667317E-3</v>
      </c>
      <c r="K202" s="247">
        <v>8.9349599535396562E-3</v>
      </c>
      <c r="L202" s="247">
        <v>-4.666287825820499E-2</v>
      </c>
      <c r="M202" s="247">
        <v>-4.9882926710606817E-2</v>
      </c>
      <c r="N202" s="246">
        <v>-1.4861129732060606E-2</v>
      </c>
      <c r="O202" s="338">
        <v>3.04391129823816E-2</v>
      </c>
      <c r="P202" s="247">
        <v>3.04391129823816E-2</v>
      </c>
      <c r="Q202" s="246">
        <v>-7.4666627281694976E-3</v>
      </c>
      <c r="R202" s="246">
        <v>7.3101027749145299E-3</v>
      </c>
      <c r="S202" s="246">
        <v>4.497257547690329E-3</v>
      </c>
      <c r="T202" s="246">
        <v>0</v>
      </c>
      <c r="U202" s="246">
        <v>0</v>
      </c>
      <c r="V202" s="246">
        <v>7.1846000812516075E-2</v>
      </c>
      <c r="W202" s="246">
        <v>7.1846000812516075E-2</v>
      </c>
      <c r="X202" s="246">
        <v>-7.5606019257670715E-2</v>
      </c>
      <c r="Y202" s="246">
        <v>-7.5606019257670715E-2</v>
      </c>
      <c r="Z202" s="246">
        <v>-0.73182492581602376</v>
      </c>
      <c r="AA202" s="466">
        <v>-0.73182492581602376</v>
      </c>
      <c r="AB202" s="505"/>
      <c r="AC202" s="506"/>
      <c r="AD202" s="417"/>
      <c r="AE202" s="316"/>
    </row>
    <row r="203" spans="1:33" s="73" customFormat="1">
      <c r="A203" s="235" t="s">
        <v>89</v>
      </c>
      <c r="B203" s="236"/>
      <c r="C203" s="237">
        <v>224859.72500000001</v>
      </c>
      <c r="D203" s="238">
        <v>43353.854166666664</v>
      </c>
      <c r="E203" s="238">
        <v>86154.841666666674</v>
      </c>
      <c r="F203" s="238">
        <v>20414.395833333336</v>
      </c>
      <c r="G203" s="238">
        <v>8208.75</v>
      </c>
      <c r="H203" s="238">
        <v>945.875</v>
      </c>
      <c r="I203" s="237">
        <v>383937.44166666671</v>
      </c>
      <c r="J203" s="237">
        <v>0</v>
      </c>
      <c r="K203" s="238">
        <v>0</v>
      </c>
      <c r="L203" s="238">
        <v>0</v>
      </c>
      <c r="M203" s="238">
        <v>0</v>
      </c>
      <c r="N203" s="237">
        <v>0</v>
      </c>
      <c r="O203" s="299">
        <v>0</v>
      </c>
      <c r="P203" s="238">
        <v>0</v>
      </c>
      <c r="Q203" s="237">
        <v>0</v>
      </c>
      <c r="R203" s="237">
        <v>0</v>
      </c>
      <c r="S203" s="237">
        <v>0</v>
      </c>
      <c r="T203" s="237">
        <v>283.95833333333331</v>
      </c>
      <c r="U203" s="237">
        <v>283.95833333333331</v>
      </c>
      <c r="V203" s="237">
        <v>0</v>
      </c>
      <c r="W203" s="237">
        <v>0</v>
      </c>
      <c r="X203" s="237">
        <v>0</v>
      </c>
      <c r="Y203" s="237">
        <v>0</v>
      </c>
      <c r="Z203" s="237">
        <v>0</v>
      </c>
      <c r="AA203" s="236">
        <v>0</v>
      </c>
      <c r="AB203" s="494"/>
      <c r="AC203" s="497"/>
      <c r="AD203" s="416"/>
      <c r="AE203" s="316"/>
    </row>
    <row r="204" spans="1:33" s="73" customFormat="1">
      <c r="A204" s="235" t="s">
        <v>91</v>
      </c>
      <c r="B204" s="236"/>
      <c r="C204" s="237">
        <v>223058.02374999999</v>
      </c>
      <c r="D204" s="238">
        <v>43910.36</v>
      </c>
      <c r="E204" s="238">
        <v>88011.974999999991</v>
      </c>
      <c r="F204" s="238">
        <v>21132.604166666664</v>
      </c>
      <c r="G204" s="238">
        <v>8526.3333333333321</v>
      </c>
      <c r="H204" s="238">
        <v>1040.5416666666665</v>
      </c>
      <c r="I204" s="237">
        <v>385679.83791666664</v>
      </c>
      <c r="J204" s="237">
        <v>0</v>
      </c>
      <c r="K204" s="238">
        <v>0</v>
      </c>
      <c r="L204" s="238">
        <v>0</v>
      </c>
      <c r="M204" s="238">
        <v>0</v>
      </c>
      <c r="N204" s="237">
        <v>0</v>
      </c>
      <c r="O204" s="299">
        <v>0</v>
      </c>
      <c r="P204" s="238">
        <v>0</v>
      </c>
      <c r="Q204" s="237">
        <v>0</v>
      </c>
      <c r="R204" s="237">
        <v>0</v>
      </c>
      <c r="S204" s="237">
        <v>0</v>
      </c>
      <c r="T204" s="237">
        <v>429.20833333333331</v>
      </c>
      <c r="U204" s="237">
        <v>429.20833333333331</v>
      </c>
      <c r="V204" s="237">
        <v>0</v>
      </c>
      <c r="W204" s="237">
        <v>0</v>
      </c>
      <c r="X204" s="237">
        <v>0</v>
      </c>
      <c r="Y204" s="237">
        <v>0</v>
      </c>
      <c r="Z204" s="237">
        <v>0</v>
      </c>
      <c r="AA204" s="236">
        <v>0</v>
      </c>
      <c r="AB204" s="494"/>
      <c r="AC204" s="497"/>
      <c r="AD204" s="416"/>
      <c r="AE204" s="316"/>
    </row>
    <row r="205" spans="1:33" s="73" customFormat="1">
      <c r="A205" s="235" t="s">
        <v>93</v>
      </c>
      <c r="B205" s="239"/>
      <c r="C205" s="246">
        <v>-8.0125564949434791E-3</v>
      </c>
      <c r="D205" s="247">
        <v>1.2836363548992662E-2</v>
      </c>
      <c r="E205" s="247">
        <v>2.1555762826639336E-2</v>
      </c>
      <c r="F205" s="247">
        <v>3.5181464060798348E-2</v>
      </c>
      <c r="G205" s="247">
        <v>3.8688391452210619E-2</v>
      </c>
      <c r="H205" s="247">
        <v>0.10008369675344682</v>
      </c>
      <c r="I205" s="246">
        <v>4.5382295679115715E-3</v>
      </c>
      <c r="J205" s="246">
        <v>0</v>
      </c>
      <c r="K205" s="247">
        <v>0</v>
      </c>
      <c r="L205" s="247">
        <v>0</v>
      </c>
      <c r="M205" s="247">
        <v>0</v>
      </c>
      <c r="N205" s="246">
        <v>0</v>
      </c>
      <c r="O205" s="338">
        <v>0</v>
      </c>
      <c r="P205" s="247">
        <v>0</v>
      </c>
      <c r="Q205" s="246">
        <v>0</v>
      </c>
      <c r="R205" s="246">
        <v>0</v>
      </c>
      <c r="S205" s="246">
        <v>0</v>
      </c>
      <c r="T205" s="246">
        <v>0.51151870873074101</v>
      </c>
      <c r="U205" s="246">
        <v>0.51151870873074101</v>
      </c>
      <c r="V205" s="246">
        <v>0</v>
      </c>
      <c r="W205" s="246">
        <v>0</v>
      </c>
      <c r="X205" s="246">
        <v>0</v>
      </c>
      <c r="Y205" s="246">
        <v>0</v>
      </c>
      <c r="Z205" s="246">
        <v>0</v>
      </c>
      <c r="AA205" s="466">
        <v>0</v>
      </c>
      <c r="AB205" s="505"/>
      <c r="AC205" s="506"/>
      <c r="AD205" s="417"/>
      <c r="AE205" s="316"/>
      <c r="AF205" s="211"/>
      <c r="AG205" s="294"/>
    </row>
    <row r="206" spans="1:33" s="73" customFormat="1">
      <c r="A206" s="235" t="s">
        <v>9</v>
      </c>
      <c r="B206" s="236"/>
      <c r="C206" s="237">
        <v>1167992.5083333331</v>
      </c>
      <c r="D206" s="238">
        <v>231299.48083333331</v>
      </c>
      <c r="E206" s="238">
        <v>662625.09166666679</v>
      </c>
      <c r="F206" s="238">
        <v>164513.42916666667</v>
      </c>
      <c r="G206" s="238">
        <v>97707.95</v>
      </c>
      <c r="H206" s="238">
        <v>73935.808333333334</v>
      </c>
      <c r="I206" s="237">
        <v>2398074.2683333326</v>
      </c>
      <c r="J206" s="237">
        <v>323673.82444444444</v>
      </c>
      <c r="K206" s="238">
        <v>849479.51444444444</v>
      </c>
      <c r="L206" s="238">
        <v>419905.02333333326</v>
      </c>
      <c r="M206" s="238">
        <v>127626.63666666664</v>
      </c>
      <c r="N206" s="237">
        <v>1720684.9988888889</v>
      </c>
      <c r="O206" s="299">
        <v>204729.16111111111</v>
      </c>
      <c r="P206" s="238">
        <v>204729.16111111111</v>
      </c>
      <c r="Q206" s="237">
        <v>94098.679899999988</v>
      </c>
      <c r="R206" s="237">
        <v>27020.260677777776</v>
      </c>
      <c r="S206" s="237">
        <v>121118.94057777779</v>
      </c>
      <c r="T206" s="237">
        <v>1529.0250000000001</v>
      </c>
      <c r="U206" s="237">
        <v>1529.0250000000001</v>
      </c>
      <c r="V206" s="237">
        <v>148251.37</v>
      </c>
      <c r="W206" s="237">
        <v>148251.37</v>
      </c>
      <c r="X206" s="237">
        <v>48101.095555555556</v>
      </c>
      <c r="Y206" s="237">
        <v>48101.095555555556</v>
      </c>
      <c r="Z206" s="237">
        <v>9442.562222222221</v>
      </c>
      <c r="AA206" s="236">
        <v>9442.562222222221</v>
      </c>
      <c r="AB206" s="494"/>
      <c r="AC206" s="497"/>
      <c r="AD206" s="416"/>
      <c r="AE206" s="316"/>
      <c r="AF206" s="419"/>
    </row>
    <row r="207" spans="1:33" s="73" customFormat="1">
      <c r="A207" s="235" t="s">
        <v>95</v>
      </c>
      <c r="B207" s="236"/>
      <c r="C207" s="237">
        <v>1184733.2737499999</v>
      </c>
      <c r="D207" s="238">
        <v>235295.00633333329</v>
      </c>
      <c r="E207" s="238">
        <v>669308.40833333333</v>
      </c>
      <c r="F207" s="238">
        <v>164531.28750000001</v>
      </c>
      <c r="G207" s="238">
        <v>96390.833333333343</v>
      </c>
      <c r="H207" s="238">
        <v>73611.051666666652</v>
      </c>
      <c r="I207" s="237">
        <v>2423869.8609166662</v>
      </c>
      <c r="J207" s="237">
        <v>318297.1133333334</v>
      </c>
      <c r="K207" s="238">
        <v>827169.74177777767</v>
      </c>
      <c r="L207" s="238">
        <v>402481.7473333333</v>
      </c>
      <c r="M207" s="238">
        <v>122381.67911111112</v>
      </c>
      <c r="N207" s="237">
        <v>1670330.2815555555</v>
      </c>
      <c r="O207" s="299">
        <v>199453.22555555557</v>
      </c>
      <c r="P207" s="238">
        <v>199453.22555555557</v>
      </c>
      <c r="Q207" s="237">
        <v>89225.862544444419</v>
      </c>
      <c r="R207" s="237">
        <v>27070.132422222225</v>
      </c>
      <c r="S207" s="237">
        <v>116295.99496666665</v>
      </c>
      <c r="T207" s="237">
        <v>1897.4416666666666</v>
      </c>
      <c r="U207" s="237">
        <v>1897.4416666666666</v>
      </c>
      <c r="V207" s="237">
        <v>144067.39888888889</v>
      </c>
      <c r="W207" s="237">
        <v>144067.39888888889</v>
      </c>
      <c r="X207" s="237">
        <v>46634.073333333334</v>
      </c>
      <c r="Y207" s="237">
        <v>46634.073333333334</v>
      </c>
      <c r="Z207" s="237">
        <v>9895.3866666666672</v>
      </c>
      <c r="AA207" s="236">
        <v>9895.3866666666672</v>
      </c>
      <c r="AB207" s="494"/>
      <c r="AC207" s="497"/>
      <c r="AD207" s="416"/>
      <c r="AE207" s="316"/>
      <c r="AF207" s="419"/>
    </row>
    <row r="208" spans="1:33" s="73" customFormat="1">
      <c r="A208" s="240" t="s">
        <v>97</v>
      </c>
      <c r="B208" s="296"/>
      <c r="C208" s="246">
        <v>1.4332939036188364E-2</v>
      </c>
      <c r="D208" s="247">
        <v>1.7274251916194701E-2</v>
      </c>
      <c r="E208" s="247">
        <v>1.0086120720023697E-2</v>
      </c>
      <c r="F208" s="247">
        <v>1.0855243504295347E-4</v>
      </c>
      <c r="G208" s="247">
        <v>-1.3480138173676439E-2</v>
      </c>
      <c r="H208" s="247">
        <v>-4.3924138247401065E-3</v>
      </c>
      <c r="I208" s="246">
        <v>1.075679470146733E-2</v>
      </c>
      <c r="J208" s="246">
        <v>-1.6611510431341188E-2</v>
      </c>
      <c r="K208" s="247">
        <v>-2.626287307382285E-2</v>
      </c>
      <c r="L208" s="247">
        <v>-4.1493373576930656E-2</v>
      </c>
      <c r="M208" s="247">
        <v>-4.1096104171845137E-2</v>
      </c>
      <c r="N208" s="246">
        <v>-2.9264343773467431E-2</v>
      </c>
      <c r="O208" s="338">
        <v>-2.5770317852727237E-2</v>
      </c>
      <c r="P208" s="247">
        <v>-2.5770317852727237E-2</v>
      </c>
      <c r="Q208" s="246">
        <v>-5.1784120252632473E-2</v>
      </c>
      <c r="R208" s="246">
        <v>1.8457166286876051E-3</v>
      </c>
      <c r="S208" s="246">
        <v>-3.9819912460462917E-2</v>
      </c>
      <c r="T208" s="246">
        <v>0.24094875274548586</v>
      </c>
      <c r="U208" s="246">
        <v>0.24094875274548586</v>
      </c>
      <c r="V208" s="246">
        <v>-2.8222141293609025E-2</v>
      </c>
      <c r="W208" s="246">
        <v>-2.8222141293609025E-2</v>
      </c>
      <c r="X208" s="246">
        <v>-3.0498727841403284E-2</v>
      </c>
      <c r="Y208" s="246">
        <v>-3.0498727841403284E-2</v>
      </c>
      <c r="Z208" s="246">
        <v>4.7955674930980359E-2</v>
      </c>
      <c r="AA208" s="466">
        <v>4.795567493098056E-2</v>
      </c>
      <c r="AB208" s="507"/>
      <c r="AC208" s="508"/>
      <c r="AD208" s="417"/>
      <c r="AE208" s="316"/>
      <c r="AF208" s="418"/>
      <c r="AG208" s="211"/>
    </row>
    <row r="209" spans="1:27">
      <c r="A209" s="209"/>
      <c r="C209" s="470"/>
      <c r="D209" s="470"/>
      <c r="E209" s="470"/>
      <c r="F209" s="470"/>
      <c r="G209" s="470"/>
      <c r="H209" s="470"/>
      <c r="I209" s="470"/>
      <c r="J209" s="470"/>
      <c r="K209" s="470"/>
      <c r="L209" s="470"/>
      <c r="M209" s="470"/>
      <c r="N209" s="470"/>
      <c r="O209" s="470"/>
      <c r="P209" s="470"/>
      <c r="Q209" s="470"/>
      <c r="R209" s="470"/>
      <c r="S209" s="470"/>
      <c r="T209" s="470"/>
      <c r="U209" s="470"/>
      <c r="V209" s="470"/>
      <c r="W209" s="470"/>
      <c r="X209" s="470"/>
      <c r="Y209" s="470"/>
      <c r="Z209" s="470"/>
      <c r="AA209" s="470"/>
    </row>
    <row r="210" spans="1:27">
      <c r="A210" s="209"/>
    </row>
    <row r="211" spans="1:27">
      <c r="A211" s="209"/>
    </row>
    <row r="212" spans="1:27">
      <c r="A212" s="209"/>
    </row>
    <row r="213" spans="1:27">
      <c r="A213" s="209"/>
    </row>
    <row r="214" spans="1:27">
      <c r="A214" s="209"/>
    </row>
    <row r="215" spans="1:27">
      <c r="A215" s="209"/>
    </row>
    <row r="216" spans="1:27">
      <c r="A216" s="209"/>
    </row>
    <row r="217" spans="1:27">
      <c r="A217" s="209"/>
    </row>
    <row r="218" spans="1:27">
      <c r="A218" s="209"/>
    </row>
    <row r="219" spans="1:27">
      <c r="A219" s="209"/>
    </row>
    <row r="220" spans="1:27">
      <c r="A220" s="209"/>
    </row>
  </sheetData>
  <phoneticPr fontId="0" type="noConversion"/>
  <pageMargins left="0.5" right="0.5" top="1" bottom="1" header="0.5" footer="0.5"/>
  <pageSetup scale="95" pageOrder="overThenDown" orientation="landscape" r:id="rId2"/>
  <headerFooter alignWithMargins="0">
    <oddHeader>&amp;L&amp;"Arial,Bold"&amp;10SREB-State Data Exchange&amp;C&amp;"Arial,Bold"&amp;10Preliminary Tables&amp;R&amp;"Arial,Bold"&amp;10Part 4: FTE Enrollment</oddHeader>
    <oddFooter>&amp;L&amp;"Arial,Bold"&amp;10For Agency Review Only&amp;R&amp;"Arial,Bold"&amp;10October 2009</oddFooter>
  </headerFooter>
  <rowBreaks count="15" manualBreakCount="15">
    <brk id="16" max="16383" man="1"/>
    <brk id="28" max="16383" man="1"/>
    <brk id="40" max="16383" man="1"/>
    <brk id="52" max="16383" man="1"/>
    <brk id="64" max="16383" man="1"/>
    <brk id="76" max="16383" man="1"/>
    <brk id="88" max="16383" man="1"/>
    <brk id="100" max="16383" man="1"/>
    <brk id="112" max="16383" man="1"/>
    <brk id="124" max="16383" man="1"/>
    <brk id="136" max="16383" man="1"/>
    <brk id="148" max="16383" man="1"/>
    <brk id="160" max="16383" man="1"/>
    <brk id="172" max="16383" man="1"/>
    <brk id="184" max="16383" man="1"/>
  </rowBreaks>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9933"/>
  </sheetPr>
  <dimension ref="A1:AC148"/>
  <sheetViews>
    <sheetView zoomScale="80" zoomScaleNormal="80" workbookViewId="0">
      <pane xSplit="2" ySplit="5" topLeftCell="C27" activePane="bottomRight" state="frozen"/>
      <selection pane="topRight" activeCell="C1" sqref="C1"/>
      <selection pane="bottomLeft" activeCell="A6" sqref="A6"/>
      <selection pane="bottomRight" activeCell="G36" sqref="G36"/>
    </sheetView>
  </sheetViews>
  <sheetFormatPr defaultRowHeight="12.75"/>
  <cols>
    <col min="1" max="1" width="5" style="180" customWidth="1"/>
    <col min="2" max="2" width="32" style="180" customWidth="1"/>
    <col min="3" max="8" width="15.1640625" style="210" customWidth="1"/>
    <col min="9" max="9" width="17.5" style="210" customWidth="1"/>
    <col min="10" max="13" width="13.6640625" style="210" customWidth="1"/>
    <col min="14" max="14" width="17.5" style="210" customWidth="1"/>
    <col min="15" max="16" width="11.5" style="210" customWidth="1"/>
    <col min="17" max="18" width="12.83203125" style="210" customWidth="1"/>
    <col min="19" max="19" width="16.6640625" style="210" customWidth="1"/>
    <col min="20" max="20" width="6.5" style="180" customWidth="1"/>
    <col min="21" max="21" width="9.33203125" style="180" customWidth="1"/>
    <col min="22" max="25" width="11.5" style="180" customWidth="1"/>
    <col min="26" max="26" width="9.5" style="180" customWidth="1"/>
    <col min="27" max="27" width="10.6640625" style="180" customWidth="1"/>
    <col min="28" max="28" width="10.1640625" style="180" customWidth="1"/>
    <col min="29" max="29" width="13.6640625" style="180" customWidth="1"/>
    <col min="30" max="16384" width="9.33203125" style="180"/>
  </cols>
  <sheetData>
    <row r="1" spans="1:29">
      <c r="A1" s="210"/>
      <c r="B1" s="210"/>
      <c r="E1" s="360" t="s">
        <v>162</v>
      </c>
      <c r="L1" s="361"/>
      <c r="M1" s="4"/>
    </row>
    <row r="2" spans="1:29">
      <c r="A2" s="210"/>
      <c r="B2" s="210"/>
    </row>
    <row r="3" spans="1:29" s="1" customFormat="1">
      <c r="A3" s="362"/>
      <c r="B3" s="363"/>
      <c r="C3" s="362" t="s">
        <v>42</v>
      </c>
      <c r="D3" s="363" t="s">
        <v>104</v>
      </c>
      <c r="E3" s="363"/>
      <c r="F3" s="363"/>
      <c r="G3" s="363"/>
      <c r="H3" s="363"/>
      <c r="I3" s="363"/>
      <c r="J3" s="363"/>
      <c r="K3" s="363"/>
      <c r="L3" s="363"/>
      <c r="M3" s="363"/>
      <c r="N3" s="363"/>
      <c r="O3" s="363"/>
      <c r="P3" s="363"/>
      <c r="Q3" s="363"/>
      <c r="R3" s="363"/>
      <c r="S3" s="363"/>
      <c r="T3" s="344"/>
      <c r="U3" s="344"/>
      <c r="V3" s="344"/>
      <c r="W3" s="345"/>
      <c r="X3" s="344"/>
      <c r="Y3" s="344"/>
      <c r="Z3" s="344"/>
      <c r="AA3" s="345"/>
      <c r="AB3" s="520"/>
      <c r="AC3" s="521"/>
    </row>
    <row r="4" spans="1:29" s="1" customFormat="1">
      <c r="A4" s="365"/>
      <c r="B4" s="522"/>
      <c r="C4" s="362" t="s">
        <v>62</v>
      </c>
      <c r="D4" s="363"/>
      <c r="E4" s="363"/>
      <c r="F4" s="363"/>
      <c r="G4" s="363"/>
      <c r="H4" s="363"/>
      <c r="I4" s="362" t="s">
        <v>220</v>
      </c>
      <c r="J4" s="362" t="s">
        <v>221</v>
      </c>
      <c r="K4" s="363"/>
      <c r="L4" s="363"/>
      <c r="M4" s="363"/>
      <c r="N4" s="362" t="s">
        <v>222</v>
      </c>
      <c r="O4" s="362">
        <v>11</v>
      </c>
      <c r="P4" s="363" t="s">
        <v>240</v>
      </c>
      <c r="Q4" s="362" t="s">
        <v>24</v>
      </c>
      <c r="R4" s="362"/>
      <c r="S4" s="362" t="s">
        <v>23</v>
      </c>
      <c r="T4" s="346">
        <v>99</v>
      </c>
      <c r="U4" s="346" t="s">
        <v>241</v>
      </c>
      <c r="V4" s="346" t="s">
        <v>235</v>
      </c>
      <c r="W4" s="347" t="s">
        <v>242</v>
      </c>
      <c r="X4" s="346" t="s">
        <v>236</v>
      </c>
      <c r="Y4" s="346" t="s">
        <v>243</v>
      </c>
      <c r="Z4" s="346" t="s">
        <v>145</v>
      </c>
      <c r="AA4" s="347" t="s">
        <v>244</v>
      </c>
      <c r="AB4" s="509"/>
      <c r="AC4" s="510"/>
    </row>
    <row r="5" spans="1:29" s="1" customFormat="1">
      <c r="A5" s="362" t="s">
        <v>105</v>
      </c>
      <c r="B5" s="362" t="s">
        <v>58</v>
      </c>
      <c r="C5" s="362">
        <v>1</v>
      </c>
      <c r="D5" s="364">
        <v>2</v>
      </c>
      <c r="E5" s="364">
        <v>3</v>
      </c>
      <c r="F5" s="364">
        <v>4</v>
      </c>
      <c r="G5" s="364">
        <v>5</v>
      </c>
      <c r="H5" s="364">
        <v>6</v>
      </c>
      <c r="I5" s="365"/>
      <c r="J5" s="362">
        <v>7</v>
      </c>
      <c r="K5" s="364">
        <v>8</v>
      </c>
      <c r="L5" s="364">
        <v>9</v>
      </c>
      <c r="M5" s="364">
        <v>10</v>
      </c>
      <c r="N5" s="365"/>
      <c r="O5" s="362">
        <v>11</v>
      </c>
      <c r="P5" s="364"/>
      <c r="Q5" s="365">
        <v>12</v>
      </c>
      <c r="R5" s="362">
        <v>13</v>
      </c>
      <c r="S5" s="365"/>
      <c r="T5" s="346">
        <v>99</v>
      </c>
      <c r="U5" s="348"/>
      <c r="V5" s="346" t="s">
        <v>235</v>
      </c>
      <c r="W5" s="349"/>
      <c r="X5" s="346" t="s">
        <v>236</v>
      </c>
      <c r="Y5" s="348"/>
      <c r="Z5" s="346" t="s">
        <v>145</v>
      </c>
      <c r="AA5" s="349"/>
      <c r="AB5" s="509"/>
      <c r="AC5" s="511"/>
    </row>
    <row r="6" spans="1:29">
      <c r="A6" s="467" t="s">
        <v>226</v>
      </c>
      <c r="B6" s="362" t="s">
        <v>10</v>
      </c>
      <c r="C6" s="366">
        <v>1444403</v>
      </c>
      <c r="D6" s="367">
        <v>411407</v>
      </c>
      <c r="E6" s="367">
        <v>848799</v>
      </c>
      <c r="F6" s="367">
        <v>409992</v>
      </c>
      <c r="G6" s="367">
        <v>125887</v>
      </c>
      <c r="H6" s="367">
        <v>73371</v>
      </c>
      <c r="I6" s="366">
        <v>3313859</v>
      </c>
      <c r="J6" s="366">
        <v>0</v>
      </c>
      <c r="K6" s="367">
        <v>404741</v>
      </c>
      <c r="L6" s="367">
        <v>1154206</v>
      </c>
      <c r="M6" s="367">
        <v>290370</v>
      </c>
      <c r="N6" s="366">
        <v>1849317</v>
      </c>
      <c r="O6" s="366">
        <v>0</v>
      </c>
      <c r="P6" s="367">
        <v>0</v>
      </c>
      <c r="Q6" s="366">
        <v>34794</v>
      </c>
      <c r="R6" s="366">
        <v>57246</v>
      </c>
      <c r="S6" s="366">
        <v>92040</v>
      </c>
      <c r="T6" s="350">
        <v>0</v>
      </c>
      <c r="U6" s="350">
        <v>0</v>
      </c>
      <c r="V6" s="350">
        <v>0</v>
      </c>
      <c r="W6" s="351">
        <v>0</v>
      </c>
      <c r="X6" s="350">
        <v>0</v>
      </c>
      <c r="Y6" s="350">
        <v>0</v>
      </c>
      <c r="Z6" s="350">
        <v>0</v>
      </c>
      <c r="AA6" s="351">
        <v>0</v>
      </c>
      <c r="AB6" s="512"/>
      <c r="AC6" s="513"/>
    </row>
    <row r="7" spans="1:29" s="1" customFormat="1">
      <c r="A7" s="468"/>
      <c r="B7" s="447" t="s">
        <v>14</v>
      </c>
      <c r="C7" s="368">
        <v>4511</v>
      </c>
      <c r="D7" s="106">
        <v>469</v>
      </c>
      <c r="E7" s="106">
        <v>3842</v>
      </c>
      <c r="F7" s="106">
        <v>2179</v>
      </c>
      <c r="G7" s="106">
        <v>768</v>
      </c>
      <c r="H7" s="106">
        <v>0</v>
      </c>
      <c r="I7" s="368">
        <v>11769</v>
      </c>
      <c r="J7" s="368">
        <v>0</v>
      </c>
      <c r="K7" s="106">
        <v>13896</v>
      </c>
      <c r="L7" s="106">
        <v>36067</v>
      </c>
      <c r="M7" s="106">
        <v>8875</v>
      </c>
      <c r="N7" s="368">
        <v>58838</v>
      </c>
      <c r="O7" s="368">
        <v>0</v>
      </c>
      <c r="P7" s="106">
        <v>0</v>
      </c>
      <c r="Q7" s="368">
        <v>671</v>
      </c>
      <c r="R7" s="368">
        <v>2477</v>
      </c>
      <c r="S7" s="368">
        <v>3148</v>
      </c>
      <c r="T7" s="352">
        <v>0</v>
      </c>
      <c r="U7" s="352">
        <v>0</v>
      </c>
      <c r="V7" s="352">
        <v>0</v>
      </c>
      <c r="W7" s="353">
        <v>0</v>
      </c>
      <c r="X7" s="352">
        <v>0</v>
      </c>
      <c r="Y7" s="352">
        <v>0</v>
      </c>
      <c r="Z7" s="352">
        <v>0</v>
      </c>
      <c r="AA7" s="353">
        <v>0</v>
      </c>
      <c r="AB7" s="514"/>
      <c r="AC7" s="515"/>
    </row>
    <row r="8" spans="1:29">
      <c r="A8" s="468"/>
      <c r="B8" s="446" t="s">
        <v>16</v>
      </c>
      <c r="C8" s="446">
        <v>3.1230896086480021E-3</v>
      </c>
      <c r="D8" s="459">
        <v>1.1399903258816695E-3</v>
      </c>
      <c r="E8" s="459">
        <v>4.5263955306262139E-3</v>
      </c>
      <c r="F8" s="459">
        <v>5.3147378485433865E-3</v>
      </c>
      <c r="G8" s="459">
        <v>6.1007093663364761E-3</v>
      </c>
      <c r="H8" s="459">
        <v>0</v>
      </c>
      <c r="I8" s="446">
        <v>3.551448628321241E-3</v>
      </c>
      <c r="J8" s="446">
        <v>0</v>
      </c>
      <c r="K8" s="459">
        <v>3.4333067319594505E-2</v>
      </c>
      <c r="L8" s="459">
        <v>3.1248321356846177E-2</v>
      </c>
      <c r="M8" s="459">
        <v>3.056445225057685E-2</v>
      </c>
      <c r="N8" s="446">
        <v>3.1816070473585652E-2</v>
      </c>
      <c r="O8" s="446">
        <v>0</v>
      </c>
      <c r="P8" s="459">
        <v>0</v>
      </c>
      <c r="Q8" s="446">
        <v>1.9284934184054723E-2</v>
      </c>
      <c r="R8" s="446">
        <v>4.3269398735282814E-2</v>
      </c>
      <c r="S8" s="446">
        <v>3.4202520643198613E-2</v>
      </c>
      <c r="T8" s="354">
        <v>0</v>
      </c>
      <c r="U8" s="354">
        <v>0</v>
      </c>
      <c r="V8" s="354">
        <v>0</v>
      </c>
      <c r="W8" s="355">
        <v>0</v>
      </c>
      <c r="X8" s="354">
        <v>0</v>
      </c>
      <c r="Y8" s="354">
        <v>0</v>
      </c>
      <c r="Z8" s="354">
        <v>0</v>
      </c>
      <c r="AA8" s="355">
        <v>0</v>
      </c>
      <c r="AB8" s="514"/>
      <c r="AC8" s="515"/>
    </row>
    <row r="9" spans="1:29" s="1" customFormat="1">
      <c r="A9" s="468"/>
      <c r="B9" s="447" t="s">
        <v>11</v>
      </c>
      <c r="C9" s="368">
        <v>1507132</v>
      </c>
      <c r="D9" s="106">
        <v>417026</v>
      </c>
      <c r="E9" s="106">
        <v>851335</v>
      </c>
      <c r="F9" s="106">
        <v>408176</v>
      </c>
      <c r="G9" s="106">
        <v>124077</v>
      </c>
      <c r="H9" s="106">
        <v>70416</v>
      </c>
      <c r="I9" s="368">
        <v>3378162</v>
      </c>
      <c r="J9" s="368">
        <v>0</v>
      </c>
      <c r="K9" s="106">
        <v>387428</v>
      </c>
      <c r="L9" s="106">
        <v>1111141</v>
      </c>
      <c r="M9" s="106">
        <v>292862</v>
      </c>
      <c r="N9" s="368">
        <v>1791431</v>
      </c>
      <c r="O9" s="368">
        <v>0</v>
      </c>
      <c r="P9" s="106">
        <v>0</v>
      </c>
      <c r="Q9" s="368">
        <v>36087</v>
      </c>
      <c r="R9" s="368">
        <v>53235</v>
      </c>
      <c r="S9" s="368">
        <v>89322</v>
      </c>
      <c r="T9" s="352">
        <v>0</v>
      </c>
      <c r="U9" s="352">
        <v>0</v>
      </c>
      <c r="V9" s="352">
        <v>0</v>
      </c>
      <c r="W9" s="353">
        <v>0</v>
      </c>
      <c r="X9" s="352">
        <v>0</v>
      </c>
      <c r="Y9" s="352">
        <v>0</v>
      </c>
      <c r="Z9" s="352">
        <v>0</v>
      </c>
      <c r="AA9" s="353">
        <v>0</v>
      </c>
      <c r="AB9" s="514"/>
      <c r="AC9" s="515"/>
    </row>
    <row r="10" spans="1:29">
      <c r="A10" s="468"/>
      <c r="B10" s="447" t="s">
        <v>15</v>
      </c>
      <c r="C10" s="368">
        <v>5654</v>
      </c>
      <c r="D10" s="106">
        <v>542</v>
      </c>
      <c r="E10" s="106">
        <v>5816</v>
      </c>
      <c r="F10" s="106">
        <v>2133</v>
      </c>
      <c r="G10" s="106">
        <v>617</v>
      </c>
      <c r="H10" s="106">
        <v>0</v>
      </c>
      <c r="I10" s="368">
        <v>14762</v>
      </c>
      <c r="J10" s="368">
        <v>0</v>
      </c>
      <c r="K10" s="106">
        <v>16799</v>
      </c>
      <c r="L10" s="106">
        <v>46172</v>
      </c>
      <c r="M10" s="106">
        <v>12411</v>
      </c>
      <c r="N10" s="368">
        <v>75382</v>
      </c>
      <c r="O10" s="368">
        <v>0</v>
      </c>
      <c r="P10" s="106">
        <v>0</v>
      </c>
      <c r="Q10" s="368">
        <v>1100</v>
      </c>
      <c r="R10" s="368">
        <v>2440</v>
      </c>
      <c r="S10" s="368">
        <v>3540</v>
      </c>
      <c r="T10" s="352">
        <v>0</v>
      </c>
      <c r="U10" s="352">
        <v>0</v>
      </c>
      <c r="V10" s="352">
        <v>0</v>
      </c>
      <c r="W10" s="353">
        <v>0</v>
      </c>
      <c r="X10" s="352">
        <v>0</v>
      </c>
      <c r="Y10" s="352">
        <v>0</v>
      </c>
      <c r="Z10" s="352">
        <v>0</v>
      </c>
      <c r="AA10" s="353">
        <v>0</v>
      </c>
      <c r="AB10" s="514"/>
      <c r="AC10" s="515"/>
    </row>
    <row r="11" spans="1:29" s="1" customFormat="1">
      <c r="A11" s="468"/>
      <c r="B11" s="445" t="s">
        <v>17</v>
      </c>
      <c r="C11" s="446">
        <v>3.7514962193092574E-3</v>
      </c>
      <c r="D11" s="459">
        <v>1.2996791566952659E-3</v>
      </c>
      <c r="E11" s="459">
        <v>6.8316232740343111E-3</v>
      </c>
      <c r="F11" s="459">
        <v>5.2256869585668927E-3</v>
      </c>
      <c r="G11" s="459">
        <v>4.9727185538012688E-3</v>
      </c>
      <c r="H11" s="459">
        <v>0</v>
      </c>
      <c r="I11" s="446">
        <v>4.3698318789921857E-3</v>
      </c>
      <c r="J11" s="446">
        <v>0</v>
      </c>
      <c r="K11" s="459">
        <v>4.336031469072963E-2</v>
      </c>
      <c r="L11" s="459">
        <v>4.1553682205948662E-2</v>
      </c>
      <c r="M11" s="459">
        <v>4.2378321530277062E-2</v>
      </c>
      <c r="N11" s="446">
        <v>4.2079209302507324E-2</v>
      </c>
      <c r="O11" s="446">
        <v>0</v>
      </c>
      <c r="P11" s="459">
        <v>0</v>
      </c>
      <c r="Q11" s="446">
        <v>3.0481890985673513E-2</v>
      </c>
      <c r="R11" s="445">
        <v>4.5834507372968909E-2</v>
      </c>
      <c r="S11" s="445">
        <v>3.9631893598441596E-2</v>
      </c>
      <c r="T11" s="356">
        <v>0</v>
      </c>
      <c r="U11" s="356">
        <v>0</v>
      </c>
      <c r="V11" s="356">
        <v>0</v>
      </c>
      <c r="W11" s="357">
        <v>0</v>
      </c>
      <c r="X11" s="356">
        <v>0</v>
      </c>
      <c r="Y11" s="356">
        <v>0</v>
      </c>
      <c r="Z11" s="356">
        <v>0</v>
      </c>
      <c r="AA11" s="357">
        <v>0</v>
      </c>
      <c r="AB11" s="514"/>
      <c r="AC11" s="515"/>
    </row>
    <row r="12" spans="1:29">
      <c r="A12" s="523"/>
      <c r="B12" s="444" t="s">
        <v>204</v>
      </c>
      <c r="C12" s="460">
        <v>6.2840661066125526E-4</v>
      </c>
      <c r="D12" s="461">
        <v>1.5968883081359637E-4</v>
      </c>
      <c r="E12" s="461">
        <v>2.3052277434080972E-3</v>
      </c>
      <c r="F12" s="461">
        <v>-8.9050889976493783E-5</v>
      </c>
      <c r="G12" s="461">
        <v>-1.1279908125352072E-3</v>
      </c>
      <c r="H12" s="461">
        <v>0</v>
      </c>
      <c r="I12" s="460">
        <v>8.1838325067094472E-4</v>
      </c>
      <c r="J12" s="460">
        <v>0</v>
      </c>
      <c r="K12" s="461">
        <v>9.0272473711351248E-3</v>
      </c>
      <c r="L12" s="461">
        <v>1.0305360849102486E-2</v>
      </c>
      <c r="M12" s="461">
        <v>1.1813869279700212E-2</v>
      </c>
      <c r="N12" s="460">
        <v>1.0263138828921672E-2</v>
      </c>
      <c r="O12" s="460">
        <v>0</v>
      </c>
      <c r="P12" s="461">
        <v>0</v>
      </c>
      <c r="Q12" s="460">
        <v>1.119695680161879E-2</v>
      </c>
      <c r="R12" s="460">
        <v>2.5651086376860949E-3</v>
      </c>
      <c r="S12" s="460">
        <v>5.4293729552429837E-3</v>
      </c>
      <c r="T12" s="358">
        <v>0</v>
      </c>
      <c r="U12" s="358">
        <v>0</v>
      </c>
      <c r="V12" s="358">
        <v>0</v>
      </c>
      <c r="W12" s="359">
        <v>0</v>
      </c>
      <c r="X12" s="358">
        <v>0</v>
      </c>
      <c r="Y12" s="358">
        <v>0</v>
      </c>
      <c r="Z12" s="358">
        <v>0</v>
      </c>
      <c r="AA12" s="359">
        <v>0</v>
      </c>
      <c r="AB12" s="514"/>
      <c r="AC12" s="515"/>
    </row>
    <row r="13" spans="1:29" s="1" customFormat="1">
      <c r="A13" s="467" t="s">
        <v>238</v>
      </c>
      <c r="B13" s="362" t="s">
        <v>10</v>
      </c>
      <c r="C13" s="366">
        <v>621377</v>
      </c>
      <c r="D13" s="367">
        <v>215915</v>
      </c>
      <c r="E13" s="367">
        <v>769435</v>
      </c>
      <c r="F13" s="367">
        <v>176483</v>
      </c>
      <c r="G13" s="367">
        <v>69456</v>
      </c>
      <c r="H13" s="367">
        <v>240710</v>
      </c>
      <c r="I13" s="366">
        <v>2093376</v>
      </c>
      <c r="J13" s="366">
        <v>0</v>
      </c>
      <c r="K13" s="367">
        <v>363329</v>
      </c>
      <c r="L13" s="367">
        <v>153169</v>
      </c>
      <c r="M13" s="367">
        <v>610938</v>
      </c>
      <c r="N13" s="366">
        <v>1127436</v>
      </c>
      <c r="O13" s="366">
        <v>0</v>
      </c>
      <c r="P13" s="367">
        <v>0</v>
      </c>
      <c r="Q13" s="366">
        <v>0</v>
      </c>
      <c r="R13" s="366">
        <v>0</v>
      </c>
      <c r="S13" s="366">
        <v>0</v>
      </c>
      <c r="T13" s="350">
        <v>0</v>
      </c>
      <c r="U13" s="350">
        <v>0</v>
      </c>
      <c r="V13" s="350">
        <v>0</v>
      </c>
      <c r="W13" s="351">
        <v>0</v>
      </c>
      <c r="X13" s="350">
        <v>0</v>
      </c>
      <c r="Y13" s="350">
        <v>0</v>
      </c>
      <c r="Z13" s="350">
        <v>0</v>
      </c>
      <c r="AA13" s="351">
        <v>0</v>
      </c>
      <c r="AB13" s="512"/>
      <c r="AC13" s="513"/>
    </row>
    <row r="14" spans="1:29" s="1" customFormat="1">
      <c r="A14" s="468"/>
      <c r="B14" s="447" t="s">
        <v>14</v>
      </c>
      <c r="C14" s="368">
        <v>4407</v>
      </c>
      <c r="D14" s="106">
        <v>16521</v>
      </c>
      <c r="E14" s="106">
        <v>16446</v>
      </c>
      <c r="F14" s="106">
        <v>1873</v>
      </c>
      <c r="G14" s="106">
        <v>5592</v>
      </c>
      <c r="H14" s="106">
        <v>9851</v>
      </c>
      <c r="I14" s="368">
        <v>54690</v>
      </c>
      <c r="J14" s="368">
        <v>0</v>
      </c>
      <c r="K14" s="106">
        <v>17933</v>
      </c>
      <c r="L14" s="106">
        <v>13609</v>
      </c>
      <c r="M14" s="106">
        <v>71183</v>
      </c>
      <c r="N14" s="368">
        <v>102725</v>
      </c>
      <c r="O14" s="368">
        <v>0</v>
      </c>
      <c r="P14" s="106">
        <v>0</v>
      </c>
      <c r="Q14" s="368">
        <v>0</v>
      </c>
      <c r="R14" s="368">
        <v>0</v>
      </c>
      <c r="S14" s="368">
        <v>0</v>
      </c>
      <c r="T14" s="352">
        <v>0</v>
      </c>
      <c r="U14" s="352">
        <v>0</v>
      </c>
      <c r="V14" s="352">
        <v>0</v>
      </c>
      <c r="W14" s="353">
        <v>0</v>
      </c>
      <c r="X14" s="352">
        <v>0</v>
      </c>
      <c r="Y14" s="352">
        <v>0</v>
      </c>
      <c r="Z14" s="352">
        <v>0</v>
      </c>
      <c r="AA14" s="353">
        <v>0</v>
      </c>
      <c r="AB14" s="514"/>
      <c r="AC14" s="515"/>
    </row>
    <row r="15" spans="1:29">
      <c r="A15" s="468"/>
      <c r="B15" s="446" t="s">
        <v>16</v>
      </c>
      <c r="C15" s="446">
        <v>7.0923127183658233E-3</v>
      </c>
      <c r="D15" s="469">
        <v>7.6516221661301898E-2</v>
      </c>
      <c r="E15" s="459">
        <v>2.1374125169767427E-2</v>
      </c>
      <c r="F15" s="459">
        <v>1.0612920224610869E-2</v>
      </c>
      <c r="G15" s="469">
        <v>8.0511402902557011E-2</v>
      </c>
      <c r="H15" s="469">
        <v>4.0924764239125916E-2</v>
      </c>
      <c r="I15" s="446">
        <v>2.6125263688892966E-2</v>
      </c>
      <c r="J15" s="446">
        <v>0</v>
      </c>
      <c r="K15" s="459">
        <v>4.9357469401011204E-2</v>
      </c>
      <c r="L15" s="469">
        <v>8.8849571388466331E-2</v>
      </c>
      <c r="M15" s="469">
        <v>0.11651427804458063</v>
      </c>
      <c r="N15" s="446">
        <v>9.1113819321008024E-2</v>
      </c>
      <c r="O15" s="446">
        <v>0</v>
      </c>
      <c r="P15" s="459">
        <v>0</v>
      </c>
      <c r="Q15" s="446">
        <v>0</v>
      </c>
      <c r="R15" s="446">
        <v>0</v>
      </c>
      <c r="S15" s="446">
        <v>0</v>
      </c>
      <c r="T15" s="354">
        <v>0</v>
      </c>
      <c r="U15" s="354">
        <v>0</v>
      </c>
      <c r="V15" s="354">
        <v>0</v>
      </c>
      <c r="W15" s="355">
        <v>0</v>
      </c>
      <c r="X15" s="354">
        <v>0</v>
      </c>
      <c r="Y15" s="354">
        <v>0</v>
      </c>
      <c r="Z15" s="354">
        <v>0</v>
      </c>
      <c r="AA15" s="355">
        <v>0</v>
      </c>
      <c r="AB15" s="514"/>
      <c r="AC15" s="515"/>
    </row>
    <row r="16" spans="1:29" s="1" customFormat="1">
      <c r="A16" s="468"/>
      <c r="B16" s="447" t="s">
        <v>11</v>
      </c>
      <c r="C16" s="368">
        <v>629101</v>
      </c>
      <c r="D16" s="106">
        <v>212666</v>
      </c>
      <c r="E16" s="106">
        <v>768908</v>
      </c>
      <c r="F16" s="106">
        <v>175384</v>
      </c>
      <c r="G16" s="106">
        <v>68155</v>
      </c>
      <c r="H16" s="106">
        <v>237010</v>
      </c>
      <c r="I16" s="368">
        <v>2091224</v>
      </c>
      <c r="J16" s="368">
        <v>0</v>
      </c>
      <c r="K16" s="106">
        <v>319699</v>
      </c>
      <c r="L16" s="106">
        <v>147560</v>
      </c>
      <c r="M16" s="106">
        <v>577420</v>
      </c>
      <c r="N16" s="368">
        <v>1044679</v>
      </c>
      <c r="O16" s="368">
        <v>0</v>
      </c>
      <c r="P16" s="106">
        <v>0</v>
      </c>
      <c r="Q16" s="368">
        <v>0</v>
      </c>
      <c r="R16" s="368">
        <v>0</v>
      </c>
      <c r="S16" s="368">
        <v>0</v>
      </c>
      <c r="T16" s="352">
        <v>0</v>
      </c>
      <c r="U16" s="352">
        <v>0</v>
      </c>
      <c r="V16" s="352">
        <v>0</v>
      </c>
      <c r="W16" s="353">
        <v>0</v>
      </c>
      <c r="X16" s="352">
        <v>0</v>
      </c>
      <c r="Y16" s="352">
        <v>0</v>
      </c>
      <c r="Z16" s="352">
        <v>0</v>
      </c>
      <c r="AA16" s="353">
        <v>0</v>
      </c>
      <c r="AB16" s="514"/>
      <c r="AC16" s="515"/>
    </row>
    <row r="17" spans="1:29">
      <c r="A17" s="468"/>
      <c r="B17" s="447" t="s">
        <v>15</v>
      </c>
      <c r="C17" s="368">
        <v>4956</v>
      </c>
      <c r="D17" s="106">
        <v>18674</v>
      </c>
      <c r="E17" s="106">
        <v>17947</v>
      </c>
      <c r="F17" s="106">
        <v>1316</v>
      </c>
      <c r="G17" s="106">
        <v>6126</v>
      </c>
      <c r="H17" s="106">
        <v>11959</v>
      </c>
      <c r="I17" s="368">
        <v>60978</v>
      </c>
      <c r="J17" s="368">
        <v>0</v>
      </c>
      <c r="K17" s="106">
        <v>20269</v>
      </c>
      <c r="L17" s="106">
        <v>15222</v>
      </c>
      <c r="M17" s="106">
        <v>78298</v>
      </c>
      <c r="N17" s="368">
        <v>113789</v>
      </c>
      <c r="O17" s="368">
        <v>0</v>
      </c>
      <c r="P17" s="106">
        <v>0</v>
      </c>
      <c r="Q17" s="368">
        <v>0</v>
      </c>
      <c r="R17" s="368">
        <v>0</v>
      </c>
      <c r="S17" s="368">
        <v>0</v>
      </c>
      <c r="T17" s="352">
        <v>0</v>
      </c>
      <c r="U17" s="352">
        <v>0</v>
      </c>
      <c r="V17" s="352">
        <v>0</v>
      </c>
      <c r="W17" s="353">
        <v>0</v>
      </c>
      <c r="X17" s="352">
        <v>0</v>
      </c>
      <c r="Y17" s="352">
        <v>0</v>
      </c>
      <c r="Z17" s="352">
        <v>0</v>
      </c>
      <c r="AA17" s="353">
        <v>0</v>
      </c>
      <c r="AB17" s="514"/>
      <c r="AC17" s="515"/>
    </row>
    <row r="18" spans="1:29" s="1" customFormat="1">
      <c r="A18" s="468"/>
      <c r="B18" s="445" t="s">
        <v>17</v>
      </c>
      <c r="C18" s="446">
        <v>7.8779083167885601E-3</v>
      </c>
      <c r="D18" s="469">
        <v>8.780905269295515E-2</v>
      </c>
      <c r="E18" s="459">
        <v>2.3340893839054869E-2</v>
      </c>
      <c r="F18" s="459">
        <v>7.5035351001231584E-3</v>
      </c>
      <c r="G18" s="469">
        <v>8.9883354119286926E-2</v>
      </c>
      <c r="H18" s="469">
        <v>5.0457786591283069E-2</v>
      </c>
      <c r="I18" s="446">
        <v>2.915899970543567E-2</v>
      </c>
      <c r="J18" s="446">
        <v>0</v>
      </c>
      <c r="K18" s="459">
        <v>6.3400260870381198E-2</v>
      </c>
      <c r="L18" s="469">
        <v>0.10315803740851179</v>
      </c>
      <c r="M18" s="469">
        <v>0.13559973676007067</v>
      </c>
      <c r="N18" s="446">
        <v>0.10892245369151672</v>
      </c>
      <c r="O18" s="446">
        <v>0</v>
      </c>
      <c r="P18" s="459">
        <v>0</v>
      </c>
      <c r="Q18" s="446">
        <v>0</v>
      </c>
      <c r="R18" s="445">
        <v>0</v>
      </c>
      <c r="S18" s="445">
        <v>0</v>
      </c>
      <c r="T18" s="356">
        <v>0</v>
      </c>
      <c r="U18" s="356">
        <v>0</v>
      </c>
      <c r="V18" s="356">
        <v>0</v>
      </c>
      <c r="W18" s="357">
        <v>0</v>
      </c>
      <c r="X18" s="356">
        <v>0</v>
      </c>
      <c r="Y18" s="356">
        <v>0</v>
      </c>
      <c r="Z18" s="356">
        <v>0</v>
      </c>
      <c r="AA18" s="357">
        <v>0</v>
      </c>
      <c r="AB18" s="514"/>
      <c r="AC18" s="515"/>
    </row>
    <row r="19" spans="1:29">
      <c r="A19" s="523"/>
      <c r="B19" s="444" t="s">
        <v>204</v>
      </c>
      <c r="C19" s="460">
        <v>7.8559559842273675E-4</v>
      </c>
      <c r="D19" s="463">
        <v>1.1292831031653253E-2</v>
      </c>
      <c r="E19" s="461">
        <v>1.9667686692874421E-3</v>
      </c>
      <c r="F19" s="461">
        <v>-3.109385124487711E-3</v>
      </c>
      <c r="G19" s="463">
        <v>9.3719512167299152E-3</v>
      </c>
      <c r="H19" s="463">
        <v>9.5330223521571528E-3</v>
      </c>
      <c r="I19" s="460">
        <v>3.0337360165427034E-3</v>
      </c>
      <c r="J19" s="460">
        <v>0</v>
      </c>
      <c r="K19" s="461">
        <v>1.4042791469369993E-2</v>
      </c>
      <c r="L19" s="461">
        <v>1.4308466020045457E-2</v>
      </c>
      <c r="M19" s="461">
        <v>1.9085458715490042E-2</v>
      </c>
      <c r="N19" s="460">
        <v>1.7808634370508697E-2</v>
      </c>
      <c r="O19" s="460">
        <v>0</v>
      </c>
      <c r="P19" s="461">
        <v>0</v>
      </c>
      <c r="Q19" s="460">
        <v>0</v>
      </c>
      <c r="R19" s="460">
        <v>0</v>
      </c>
      <c r="S19" s="460">
        <v>0</v>
      </c>
      <c r="T19" s="358">
        <v>0</v>
      </c>
      <c r="U19" s="358">
        <v>0</v>
      </c>
      <c r="V19" s="358">
        <v>0</v>
      </c>
      <c r="W19" s="359">
        <v>0</v>
      </c>
      <c r="X19" s="358">
        <v>0</v>
      </c>
      <c r="Y19" s="358">
        <v>0</v>
      </c>
      <c r="Z19" s="358">
        <v>0</v>
      </c>
      <c r="AA19" s="359">
        <v>0</v>
      </c>
      <c r="AB19" s="514"/>
      <c r="AC19" s="515"/>
    </row>
    <row r="20" spans="1:29" s="1" customFormat="1">
      <c r="A20" s="467" t="s">
        <v>246</v>
      </c>
      <c r="B20" s="362" t="s">
        <v>10</v>
      </c>
      <c r="C20" s="366">
        <v>0</v>
      </c>
      <c r="D20" s="367">
        <v>0</v>
      </c>
      <c r="E20" s="367">
        <v>0</v>
      </c>
      <c r="F20" s="367">
        <v>0</v>
      </c>
      <c r="G20" s="367">
        <v>0</v>
      </c>
      <c r="H20" s="367">
        <v>0</v>
      </c>
      <c r="I20" s="366">
        <v>0</v>
      </c>
      <c r="J20" s="366">
        <v>0</v>
      </c>
      <c r="K20" s="367">
        <v>0</v>
      </c>
      <c r="L20" s="367">
        <v>0</v>
      </c>
      <c r="M20" s="367">
        <v>0</v>
      </c>
      <c r="N20" s="366">
        <v>0</v>
      </c>
      <c r="O20" s="366">
        <v>0</v>
      </c>
      <c r="P20" s="367">
        <v>0</v>
      </c>
      <c r="Q20" s="366">
        <v>0</v>
      </c>
      <c r="R20" s="366">
        <v>0</v>
      </c>
      <c r="S20" s="366">
        <v>0</v>
      </c>
      <c r="T20" s="350">
        <v>0</v>
      </c>
      <c r="U20" s="350">
        <v>0</v>
      </c>
      <c r="V20" s="350">
        <v>0</v>
      </c>
      <c r="W20" s="351">
        <v>0</v>
      </c>
      <c r="X20" s="350">
        <v>0</v>
      </c>
      <c r="Y20" s="350">
        <v>0</v>
      </c>
      <c r="Z20" s="350">
        <v>0</v>
      </c>
      <c r="AA20" s="351">
        <v>0</v>
      </c>
      <c r="AB20" s="512"/>
      <c r="AC20" s="513"/>
    </row>
    <row r="21" spans="1:29">
      <c r="A21" s="468"/>
      <c r="B21" s="447" t="s">
        <v>14</v>
      </c>
      <c r="C21" s="368">
        <v>0</v>
      </c>
      <c r="D21" s="106">
        <v>0</v>
      </c>
      <c r="E21" s="106">
        <v>0</v>
      </c>
      <c r="F21" s="106">
        <v>0</v>
      </c>
      <c r="G21" s="106">
        <v>0</v>
      </c>
      <c r="H21" s="106">
        <v>0</v>
      </c>
      <c r="I21" s="368">
        <v>0</v>
      </c>
      <c r="J21" s="368">
        <v>0</v>
      </c>
      <c r="K21" s="106">
        <v>0</v>
      </c>
      <c r="L21" s="106">
        <v>0</v>
      </c>
      <c r="M21" s="106">
        <v>0</v>
      </c>
      <c r="N21" s="368">
        <v>0</v>
      </c>
      <c r="O21" s="368">
        <v>0</v>
      </c>
      <c r="P21" s="106">
        <v>0</v>
      </c>
      <c r="Q21" s="368">
        <v>0</v>
      </c>
      <c r="R21" s="368">
        <v>0</v>
      </c>
      <c r="S21" s="368">
        <v>0</v>
      </c>
      <c r="T21" s="352">
        <v>0</v>
      </c>
      <c r="U21" s="352">
        <v>0</v>
      </c>
      <c r="V21" s="352">
        <v>0</v>
      </c>
      <c r="W21" s="353">
        <v>0</v>
      </c>
      <c r="X21" s="352">
        <v>0</v>
      </c>
      <c r="Y21" s="352">
        <v>0</v>
      </c>
      <c r="Z21" s="352">
        <v>0</v>
      </c>
      <c r="AA21" s="353">
        <v>0</v>
      </c>
      <c r="AB21" s="514"/>
      <c r="AC21" s="515"/>
    </row>
    <row r="22" spans="1:29" s="1" customFormat="1">
      <c r="A22" s="468"/>
      <c r="B22" s="446" t="s">
        <v>16</v>
      </c>
      <c r="C22" s="446">
        <v>0</v>
      </c>
      <c r="D22" s="459">
        <v>0</v>
      </c>
      <c r="E22" s="459">
        <v>0</v>
      </c>
      <c r="F22" s="459">
        <v>0</v>
      </c>
      <c r="G22" s="459">
        <v>0</v>
      </c>
      <c r="H22" s="459">
        <v>0</v>
      </c>
      <c r="I22" s="446">
        <v>0</v>
      </c>
      <c r="J22" s="446">
        <v>0</v>
      </c>
      <c r="K22" s="459">
        <v>0</v>
      </c>
      <c r="L22" s="459">
        <v>0</v>
      </c>
      <c r="M22" s="459">
        <v>0</v>
      </c>
      <c r="N22" s="446">
        <v>0</v>
      </c>
      <c r="O22" s="446">
        <v>0</v>
      </c>
      <c r="P22" s="459">
        <v>0</v>
      </c>
      <c r="Q22" s="446">
        <v>0</v>
      </c>
      <c r="R22" s="446">
        <v>0</v>
      </c>
      <c r="S22" s="446">
        <v>0</v>
      </c>
      <c r="T22" s="354">
        <v>0</v>
      </c>
      <c r="U22" s="354">
        <v>0</v>
      </c>
      <c r="V22" s="354">
        <v>0</v>
      </c>
      <c r="W22" s="355">
        <v>0</v>
      </c>
      <c r="X22" s="354">
        <v>0</v>
      </c>
      <c r="Y22" s="354">
        <v>0</v>
      </c>
      <c r="Z22" s="354">
        <v>0</v>
      </c>
      <c r="AA22" s="355">
        <v>0</v>
      </c>
      <c r="AB22" s="514"/>
      <c r="AC22" s="515"/>
    </row>
    <row r="23" spans="1:29">
      <c r="A23" s="468"/>
      <c r="B23" s="447" t="s">
        <v>11</v>
      </c>
      <c r="C23" s="368">
        <v>0</v>
      </c>
      <c r="D23" s="106">
        <v>0</v>
      </c>
      <c r="E23" s="106">
        <v>0</v>
      </c>
      <c r="F23" s="106">
        <v>0</v>
      </c>
      <c r="G23" s="106">
        <v>0</v>
      </c>
      <c r="H23" s="106">
        <v>0</v>
      </c>
      <c r="I23" s="368">
        <v>0</v>
      </c>
      <c r="J23" s="368">
        <v>0</v>
      </c>
      <c r="K23" s="106">
        <v>0</v>
      </c>
      <c r="L23" s="106">
        <v>0</v>
      </c>
      <c r="M23" s="106">
        <v>0</v>
      </c>
      <c r="N23" s="368">
        <v>0</v>
      </c>
      <c r="O23" s="368">
        <v>0</v>
      </c>
      <c r="P23" s="106">
        <v>0</v>
      </c>
      <c r="Q23" s="368">
        <v>0</v>
      </c>
      <c r="R23" s="368">
        <v>0</v>
      </c>
      <c r="S23" s="368">
        <v>0</v>
      </c>
      <c r="T23" s="352">
        <v>0</v>
      </c>
      <c r="U23" s="352">
        <v>0</v>
      </c>
      <c r="V23" s="352">
        <v>0</v>
      </c>
      <c r="W23" s="353">
        <v>0</v>
      </c>
      <c r="X23" s="352">
        <v>0</v>
      </c>
      <c r="Y23" s="352">
        <v>0</v>
      </c>
      <c r="Z23" s="352">
        <v>0</v>
      </c>
      <c r="AA23" s="353">
        <v>0</v>
      </c>
      <c r="AB23" s="514"/>
      <c r="AC23" s="515"/>
    </row>
    <row r="24" spans="1:29" s="1" customFormat="1">
      <c r="A24" s="468"/>
      <c r="B24" s="447" t="s">
        <v>15</v>
      </c>
      <c r="C24" s="368">
        <v>0</v>
      </c>
      <c r="D24" s="106">
        <v>0</v>
      </c>
      <c r="E24" s="106">
        <v>0</v>
      </c>
      <c r="F24" s="106">
        <v>0</v>
      </c>
      <c r="G24" s="106">
        <v>0</v>
      </c>
      <c r="H24" s="106">
        <v>0</v>
      </c>
      <c r="I24" s="368">
        <v>0</v>
      </c>
      <c r="J24" s="368">
        <v>0</v>
      </c>
      <c r="K24" s="106">
        <v>0</v>
      </c>
      <c r="L24" s="106">
        <v>0</v>
      </c>
      <c r="M24" s="106">
        <v>0</v>
      </c>
      <c r="N24" s="368">
        <v>0</v>
      </c>
      <c r="O24" s="368">
        <v>0</v>
      </c>
      <c r="P24" s="106">
        <v>0</v>
      </c>
      <c r="Q24" s="368">
        <v>0</v>
      </c>
      <c r="R24" s="368">
        <v>0</v>
      </c>
      <c r="S24" s="368">
        <v>0</v>
      </c>
      <c r="T24" s="352">
        <v>0</v>
      </c>
      <c r="U24" s="352">
        <v>0</v>
      </c>
      <c r="V24" s="352">
        <v>0</v>
      </c>
      <c r="W24" s="353">
        <v>0</v>
      </c>
      <c r="X24" s="352">
        <v>0</v>
      </c>
      <c r="Y24" s="352">
        <v>0</v>
      </c>
      <c r="Z24" s="352">
        <v>0</v>
      </c>
      <c r="AA24" s="353">
        <v>0</v>
      </c>
      <c r="AB24" s="514"/>
      <c r="AC24" s="515"/>
    </row>
    <row r="25" spans="1:29">
      <c r="A25" s="468"/>
      <c r="B25" s="445" t="s">
        <v>17</v>
      </c>
      <c r="C25" s="446">
        <v>0</v>
      </c>
      <c r="D25" s="459">
        <v>0</v>
      </c>
      <c r="E25" s="459">
        <v>0</v>
      </c>
      <c r="F25" s="459">
        <v>0</v>
      </c>
      <c r="G25" s="459">
        <v>0</v>
      </c>
      <c r="H25" s="459">
        <v>0</v>
      </c>
      <c r="I25" s="446">
        <v>0</v>
      </c>
      <c r="J25" s="446">
        <v>0</v>
      </c>
      <c r="K25" s="459">
        <v>0</v>
      </c>
      <c r="L25" s="459">
        <v>0</v>
      </c>
      <c r="M25" s="459">
        <v>0</v>
      </c>
      <c r="N25" s="446">
        <v>0</v>
      </c>
      <c r="O25" s="446">
        <v>0</v>
      </c>
      <c r="P25" s="459">
        <v>0</v>
      </c>
      <c r="Q25" s="446">
        <v>0</v>
      </c>
      <c r="R25" s="445">
        <v>0</v>
      </c>
      <c r="S25" s="445">
        <v>0</v>
      </c>
      <c r="T25" s="356">
        <v>0</v>
      </c>
      <c r="U25" s="356">
        <v>0</v>
      </c>
      <c r="V25" s="356">
        <v>0</v>
      </c>
      <c r="W25" s="357">
        <v>0</v>
      </c>
      <c r="X25" s="356">
        <v>0</v>
      </c>
      <c r="Y25" s="356">
        <v>0</v>
      </c>
      <c r="Z25" s="356">
        <v>0</v>
      </c>
      <c r="AA25" s="357">
        <v>0</v>
      </c>
      <c r="AB25" s="514"/>
      <c r="AC25" s="515"/>
    </row>
    <row r="26" spans="1:29" s="1" customFormat="1">
      <c r="A26" s="523"/>
      <c r="B26" s="444" t="s">
        <v>204</v>
      </c>
      <c r="C26" s="460">
        <v>0</v>
      </c>
      <c r="D26" s="461">
        <v>0</v>
      </c>
      <c r="E26" s="461">
        <v>0</v>
      </c>
      <c r="F26" s="461">
        <v>0</v>
      </c>
      <c r="G26" s="461">
        <v>0</v>
      </c>
      <c r="H26" s="461">
        <v>0</v>
      </c>
      <c r="I26" s="460">
        <v>0</v>
      </c>
      <c r="J26" s="460">
        <v>0</v>
      </c>
      <c r="K26" s="461">
        <v>0</v>
      </c>
      <c r="L26" s="461">
        <v>0</v>
      </c>
      <c r="M26" s="461">
        <v>0</v>
      </c>
      <c r="N26" s="460">
        <v>0</v>
      </c>
      <c r="O26" s="460">
        <v>0</v>
      </c>
      <c r="P26" s="461">
        <v>0</v>
      </c>
      <c r="Q26" s="460">
        <v>0</v>
      </c>
      <c r="R26" s="460">
        <v>0</v>
      </c>
      <c r="S26" s="460">
        <v>0</v>
      </c>
      <c r="T26" s="358">
        <v>0</v>
      </c>
      <c r="U26" s="358">
        <v>0</v>
      </c>
      <c r="V26" s="358">
        <v>0</v>
      </c>
      <c r="W26" s="359">
        <v>0</v>
      </c>
      <c r="X26" s="358">
        <v>0</v>
      </c>
      <c r="Y26" s="358">
        <v>0</v>
      </c>
      <c r="Z26" s="358">
        <v>0</v>
      </c>
      <c r="AA26" s="359">
        <v>0</v>
      </c>
      <c r="AB26" s="514"/>
      <c r="AC26" s="515"/>
    </row>
    <row r="27" spans="1:29">
      <c r="A27" s="467" t="s">
        <v>245</v>
      </c>
      <c r="B27" s="362" t="s">
        <v>10</v>
      </c>
      <c r="C27" s="366">
        <v>6006983.5</v>
      </c>
      <c r="D27" s="367">
        <v>0</v>
      </c>
      <c r="E27" s="367">
        <v>877340</v>
      </c>
      <c r="F27" s="367">
        <v>336513</v>
      </c>
      <c r="G27" s="367">
        <v>0</v>
      </c>
      <c r="H27" s="367">
        <v>0</v>
      </c>
      <c r="I27" s="366">
        <v>7220836.5</v>
      </c>
      <c r="J27" s="366">
        <v>22785288</v>
      </c>
      <c r="K27" s="367">
        <v>4296608</v>
      </c>
      <c r="L27" s="367">
        <v>1017080</v>
      </c>
      <c r="M27" s="367">
        <v>146443</v>
      </c>
      <c r="N27" s="366">
        <v>28245419</v>
      </c>
      <c r="O27" s="366">
        <v>0</v>
      </c>
      <c r="P27" s="367">
        <v>0</v>
      </c>
      <c r="Q27" s="366">
        <v>0</v>
      </c>
      <c r="R27" s="366">
        <v>0</v>
      </c>
      <c r="S27" s="366">
        <v>0</v>
      </c>
      <c r="T27" s="350">
        <v>0</v>
      </c>
      <c r="U27" s="350">
        <v>0</v>
      </c>
      <c r="V27" s="350">
        <v>0</v>
      </c>
      <c r="W27" s="351">
        <v>0</v>
      </c>
      <c r="X27" s="350">
        <v>0</v>
      </c>
      <c r="Y27" s="350">
        <v>0</v>
      </c>
      <c r="Z27" s="350">
        <v>0</v>
      </c>
      <c r="AA27" s="351">
        <v>0</v>
      </c>
      <c r="AB27" s="512"/>
      <c r="AC27" s="513"/>
    </row>
    <row r="28" spans="1:29" s="1" customFormat="1">
      <c r="A28" s="468"/>
      <c r="B28" s="447" t="s">
        <v>14</v>
      </c>
      <c r="C28" s="368">
        <v>56769</v>
      </c>
      <c r="D28" s="106">
        <v>0</v>
      </c>
      <c r="E28" s="106">
        <v>1129</v>
      </c>
      <c r="F28" s="106">
        <v>338</v>
      </c>
      <c r="G28" s="106">
        <v>0</v>
      </c>
      <c r="H28" s="106">
        <v>0</v>
      </c>
      <c r="I28" s="368">
        <v>58236</v>
      </c>
      <c r="J28" s="368">
        <v>531496</v>
      </c>
      <c r="K28" s="106">
        <v>164309</v>
      </c>
      <c r="L28" s="106">
        <v>93271</v>
      </c>
      <c r="M28" s="106">
        <v>5560</v>
      </c>
      <c r="N28" s="368">
        <v>794636</v>
      </c>
      <c r="O28" s="368">
        <v>0</v>
      </c>
      <c r="P28" s="106">
        <v>0</v>
      </c>
      <c r="Q28" s="368">
        <v>0</v>
      </c>
      <c r="R28" s="368">
        <v>0</v>
      </c>
      <c r="S28" s="368">
        <v>0</v>
      </c>
      <c r="T28" s="352">
        <v>0</v>
      </c>
      <c r="U28" s="352">
        <v>0</v>
      </c>
      <c r="V28" s="352">
        <v>0</v>
      </c>
      <c r="W28" s="353">
        <v>0</v>
      </c>
      <c r="X28" s="352">
        <v>0</v>
      </c>
      <c r="Y28" s="352">
        <v>0</v>
      </c>
      <c r="Z28" s="352">
        <v>0</v>
      </c>
      <c r="AA28" s="353">
        <v>0</v>
      </c>
      <c r="AB28" s="514"/>
      <c r="AC28" s="515"/>
    </row>
    <row r="29" spans="1:29">
      <c r="A29" s="468"/>
      <c r="B29" s="446" t="s">
        <v>16</v>
      </c>
      <c r="C29" s="446">
        <v>9.4505004050701984E-3</v>
      </c>
      <c r="D29" s="459">
        <v>0</v>
      </c>
      <c r="E29" s="459">
        <v>1.2868443248911482E-3</v>
      </c>
      <c r="F29" s="459">
        <v>1.0044188486031743E-3</v>
      </c>
      <c r="G29" s="459">
        <v>0</v>
      </c>
      <c r="H29" s="459">
        <v>0</v>
      </c>
      <c r="I29" s="446">
        <v>8.064993577960115E-3</v>
      </c>
      <c r="J29" s="446">
        <v>2.3326279659050174E-2</v>
      </c>
      <c r="K29" s="459">
        <v>3.8241561715660351E-2</v>
      </c>
      <c r="L29" s="469">
        <v>9.1704683997325676E-2</v>
      </c>
      <c r="M29" s="459">
        <v>3.7966990569709716E-2</v>
      </c>
      <c r="N29" s="446">
        <v>2.8133270035753409E-2</v>
      </c>
      <c r="O29" s="446">
        <v>0</v>
      </c>
      <c r="P29" s="459">
        <v>0</v>
      </c>
      <c r="Q29" s="446">
        <v>0</v>
      </c>
      <c r="R29" s="446">
        <v>0</v>
      </c>
      <c r="S29" s="446">
        <v>0</v>
      </c>
      <c r="T29" s="354">
        <v>0</v>
      </c>
      <c r="U29" s="354">
        <v>0</v>
      </c>
      <c r="V29" s="354">
        <v>0</v>
      </c>
      <c r="W29" s="355">
        <v>0</v>
      </c>
      <c r="X29" s="354">
        <v>0</v>
      </c>
      <c r="Y29" s="354">
        <v>0</v>
      </c>
      <c r="Z29" s="354">
        <v>0</v>
      </c>
      <c r="AA29" s="355">
        <v>0</v>
      </c>
      <c r="AB29" s="514"/>
      <c r="AC29" s="515"/>
    </row>
    <row r="30" spans="1:29" s="1" customFormat="1">
      <c r="A30" s="468"/>
      <c r="B30" s="447" t="s">
        <v>11</v>
      </c>
      <c r="C30" s="368">
        <v>6094673</v>
      </c>
      <c r="D30" s="106">
        <v>0</v>
      </c>
      <c r="E30" s="106">
        <v>857104</v>
      </c>
      <c r="F30" s="106">
        <v>348942</v>
      </c>
      <c r="G30" s="106">
        <v>0</v>
      </c>
      <c r="H30" s="106">
        <v>0</v>
      </c>
      <c r="I30" s="368">
        <v>7300719</v>
      </c>
      <c r="J30" s="368">
        <v>22677271</v>
      </c>
      <c r="K30" s="106">
        <v>4210565</v>
      </c>
      <c r="L30" s="106">
        <v>1020889</v>
      </c>
      <c r="M30" s="106">
        <v>182058</v>
      </c>
      <c r="N30" s="368">
        <v>28090783</v>
      </c>
      <c r="O30" s="368">
        <v>0</v>
      </c>
      <c r="P30" s="106">
        <v>0</v>
      </c>
      <c r="Q30" s="368">
        <v>0</v>
      </c>
      <c r="R30" s="368">
        <v>0</v>
      </c>
      <c r="S30" s="368">
        <v>0</v>
      </c>
      <c r="T30" s="352">
        <v>0</v>
      </c>
      <c r="U30" s="352">
        <v>0</v>
      </c>
      <c r="V30" s="352">
        <v>0</v>
      </c>
      <c r="W30" s="353">
        <v>0</v>
      </c>
      <c r="X30" s="352">
        <v>0</v>
      </c>
      <c r="Y30" s="352">
        <v>0</v>
      </c>
      <c r="Z30" s="352">
        <v>0</v>
      </c>
      <c r="AA30" s="353">
        <v>0</v>
      </c>
      <c r="AB30" s="514"/>
      <c r="AC30" s="515"/>
    </row>
    <row r="31" spans="1:29">
      <c r="A31" s="468"/>
      <c r="B31" s="447" t="s">
        <v>15</v>
      </c>
      <c r="C31" s="368">
        <v>55376</v>
      </c>
      <c r="D31" s="106">
        <v>0</v>
      </c>
      <c r="E31" s="106">
        <v>3831</v>
      </c>
      <c r="F31" s="106">
        <v>457</v>
      </c>
      <c r="G31" s="106">
        <v>0</v>
      </c>
      <c r="H31" s="106">
        <v>0</v>
      </c>
      <c r="I31" s="368">
        <v>59664</v>
      </c>
      <c r="J31" s="368">
        <v>561944</v>
      </c>
      <c r="K31" s="106">
        <v>147377</v>
      </c>
      <c r="L31" s="106">
        <v>100676</v>
      </c>
      <c r="M31" s="106">
        <v>6280</v>
      </c>
      <c r="N31" s="368">
        <v>816277</v>
      </c>
      <c r="O31" s="368">
        <v>0</v>
      </c>
      <c r="P31" s="106">
        <v>0</v>
      </c>
      <c r="Q31" s="368">
        <v>0</v>
      </c>
      <c r="R31" s="368">
        <v>0</v>
      </c>
      <c r="S31" s="368">
        <v>0</v>
      </c>
      <c r="T31" s="352">
        <v>0</v>
      </c>
      <c r="U31" s="352">
        <v>0</v>
      </c>
      <c r="V31" s="352">
        <v>0</v>
      </c>
      <c r="W31" s="353">
        <v>0</v>
      </c>
      <c r="X31" s="352">
        <v>0</v>
      </c>
      <c r="Y31" s="352">
        <v>0</v>
      </c>
      <c r="Z31" s="352">
        <v>0</v>
      </c>
      <c r="AA31" s="353">
        <v>0</v>
      </c>
      <c r="AB31" s="514"/>
      <c r="AC31" s="515"/>
    </row>
    <row r="32" spans="1:29" s="1" customFormat="1">
      <c r="A32" s="468"/>
      <c r="B32" s="445" t="s">
        <v>17</v>
      </c>
      <c r="C32" s="446">
        <v>9.0859673685528327E-3</v>
      </c>
      <c r="D32" s="459">
        <v>0</v>
      </c>
      <c r="E32" s="459">
        <v>4.4697026265190691E-3</v>
      </c>
      <c r="F32" s="459">
        <v>1.3096732408251228E-3</v>
      </c>
      <c r="G32" s="459">
        <v>0</v>
      </c>
      <c r="H32" s="459">
        <v>0</v>
      </c>
      <c r="I32" s="446">
        <v>8.1723457648486403E-3</v>
      </c>
      <c r="J32" s="446">
        <v>2.47800540020887E-2</v>
      </c>
      <c r="K32" s="459">
        <v>3.5001715921734969E-2</v>
      </c>
      <c r="L32" s="469">
        <v>9.8616010163690662E-2</v>
      </c>
      <c r="M32" s="459">
        <v>3.4494501752188864E-2</v>
      </c>
      <c r="N32" s="446">
        <v>2.9058534965009698E-2</v>
      </c>
      <c r="O32" s="446">
        <v>0</v>
      </c>
      <c r="P32" s="459">
        <v>0</v>
      </c>
      <c r="Q32" s="446">
        <v>0</v>
      </c>
      <c r="R32" s="445">
        <v>0</v>
      </c>
      <c r="S32" s="445">
        <v>0</v>
      </c>
      <c r="T32" s="356">
        <v>0</v>
      </c>
      <c r="U32" s="356">
        <v>0</v>
      </c>
      <c r="V32" s="356">
        <v>0</v>
      </c>
      <c r="W32" s="357">
        <v>0</v>
      </c>
      <c r="X32" s="356">
        <v>0</v>
      </c>
      <c r="Y32" s="356">
        <v>0</v>
      </c>
      <c r="Z32" s="356">
        <v>0</v>
      </c>
      <c r="AA32" s="357">
        <v>0</v>
      </c>
      <c r="AB32" s="514"/>
      <c r="AC32" s="515"/>
    </row>
    <row r="33" spans="1:29">
      <c r="A33" s="523"/>
      <c r="B33" s="444" t="s">
        <v>204</v>
      </c>
      <c r="C33" s="460">
        <v>-3.6453303651736574E-4</v>
      </c>
      <c r="D33" s="461">
        <v>0</v>
      </c>
      <c r="E33" s="461">
        <v>3.1828583016279208E-3</v>
      </c>
      <c r="F33" s="461">
        <v>3.0525439222194852E-4</v>
      </c>
      <c r="G33" s="461">
        <v>0</v>
      </c>
      <c r="H33" s="461">
        <v>0</v>
      </c>
      <c r="I33" s="460">
        <v>1.0735218688852528E-4</v>
      </c>
      <c r="J33" s="460">
        <v>1.4537743430385261E-3</v>
      </c>
      <c r="K33" s="461">
        <v>-3.2398457939253819E-3</v>
      </c>
      <c r="L33" s="463">
        <v>6.9113261663649866E-3</v>
      </c>
      <c r="M33" s="461">
        <v>-3.4724888175208524E-3</v>
      </c>
      <c r="N33" s="460">
        <v>9.2526492925628853E-4</v>
      </c>
      <c r="O33" s="460">
        <v>0</v>
      </c>
      <c r="P33" s="461">
        <v>0</v>
      </c>
      <c r="Q33" s="460">
        <v>0</v>
      </c>
      <c r="R33" s="460">
        <v>0</v>
      </c>
      <c r="S33" s="460">
        <v>0</v>
      </c>
      <c r="T33" s="358">
        <v>0</v>
      </c>
      <c r="U33" s="358">
        <v>0</v>
      </c>
      <c r="V33" s="358">
        <v>0</v>
      </c>
      <c r="W33" s="359">
        <v>0</v>
      </c>
      <c r="X33" s="358">
        <v>0</v>
      </c>
      <c r="Y33" s="358">
        <v>0</v>
      </c>
      <c r="Z33" s="358">
        <v>0</v>
      </c>
      <c r="AA33" s="359">
        <v>0</v>
      </c>
      <c r="AB33" s="514"/>
      <c r="AC33" s="515"/>
    </row>
    <row r="34" spans="1:29" s="1" customFormat="1">
      <c r="A34" s="467" t="s">
        <v>142</v>
      </c>
      <c r="B34" s="362" t="s">
        <v>10</v>
      </c>
      <c r="C34" s="366">
        <v>1426469.5</v>
      </c>
      <c r="D34" s="367">
        <v>428851</v>
      </c>
      <c r="E34" s="367">
        <v>1764225</v>
      </c>
      <c r="F34" s="367">
        <v>1363701</v>
      </c>
      <c r="G34" s="367">
        <v>198349</v>
      </c>
      <c r="H34" s="367">
        <v>567144</v>
      </c>
      <c r="I34" s="366">
        <v>5748739.5</v>
      </c>
      <c r="J34" s="366">
        <v>250977</v>
      </c>
      <c r="K34" s="367">
        <v>461341</v>
      </c>
      <c r="L34" s="367">
        <v>513691.5</v>
      </c>
      <c r="M34" s="367">
        <v>0</v>
      </c>
      <c r="N34" s="366">
        <v>1226009.5</v>
      </c>
      <c r="O34" s="366">
        <v>0</v>
      </c>
      <c r="P34" s="367">
        <v>0</v>
      </c>
      <c r="Q34" s="366">
        <v>2150595.5</v>
      </c>
      <c r="R34" s="366">
        <v>0</v>
      </c>
      <c r="S34" s="366">
        <v>2150595.5</v>
      </c>
      <c r="T34" s="350">
        <v>0</v>
      </c>
      <c r="U34" s="350">
        <v>0</v>
      </c>
      <c r="V34" s="350">
        <v>0</v>
      </c>
      <c r="W34" s="351">
        <v>0</v>
      </c>
      <c r="X34" s="350">
        <v>0</v>
      </c>
      <c r="Y34" s="350">
        <v>0</v>
      </c>
      <c r="Z34" s="350">
        <v>0</v>
      </c>
      <c r="AA34" s="351">
        <v>0</v>
      </c>
      <c r="AB34" s="512"/>
      <c r="AC34" s="513"/>
    </row>
    <row r="35" spans="1:29">
      <c r="A35" s="468"/>
      <c r="B35" s="447" t="s">
        <v>14</v>
      </c>
      <c r="C35" s="368">
        <v>3199</v>
      </c>
      <c r="D35" s="106">
        <v>3198</v>
      </c>
      <c r="E35" s="106">
        <v>12252</v>
      </c>
      <c r="F35" s="106">
        <v>18682</v>
      </c>
      <c r="G35" s="106">
        <v>1783</v>
      </c>
      <c r="H35" s="106">
        <v>13513</v>
      </c>
      <c r="I35" s="368">
        <v>52627</v>
      </c>
      <c r="J35" s="368">
        <v>6834</v>
      </c>
      <c r="K35" s="106">
        <v>15199</v>
      </c>
      <c r="L35" s="106">
        <v>12112</v>
      </c>
      <c r="M35" s="106">
        <v>0</v>
      </c>
      <c r="N35" s="368">
        <v>34145</v>
      </c>
      <c r="O35" s="368">
        <v>0</v>
      </c>
      <c r="P35" s="106">
        <v>0</v>
      </c>
      <c r="Q35" s="368">
        <v>101059.1</v>
      </c>
      <c r="R35" s="368">
        <v>0</v>
      </c>
      <c r="S35" s="368">
        <v>101059.1</v>
      </c>
      <c r="T35" s="352">
        <v>0</v>
      </c>
      <c r="U35" s="352">
        <v>0</v>
      </c>
      <c r="V35" s="352">
        <v>0</v>
      </c>
      <c r="W35" s="353">
        <v>0</v>
      </c>
      <c r="X35" s="352">
        <v>0</v>
      </c>
      <c r="Y35" s="352">
        <v>0</v>
      </c>
      <c r="Z35" s="352">
        <v>0</v>
      </c>
      <c r="AA35" s="353">
        <v>0</v>
      </c>
      <c r="AB35" s="514"/>
      <c r="AC35" s="515"/>
    </row>
    <row r="36" spans="1:29" s="1" customFormat="1">
      <c r="A36" s="468"/>
      <c r="B36" s="446" t="s">
        <v>16</v>
      </c>
      <c r="C36" s="446">
        <v>2.2425996489935465E-3</v>
      </c>
      <c r="D36" s="459">
        <v>7.457135461966977E-3</v>
      </c>
      <c r="E36" s="459">
        <v>6.9446924286868175E-3</v>
      </c>
      <c r="F36" s="459">
        <v>1.3699483977792786E-2</v>
      </c>
      <c r="G36" s="459">
        <v>8.9892058946604222E-3</v>
      </c>
      <c r="H36" s="459">
        <v>2.3826400349822974E-2</v>
      </c>
      <c r="I36" s="446">
        <v>9.1545285710023915E-3</v>
      </c>
      <c r="J36" s="446">
        <v>2.7229586774883754E-2</v>
      </c>
      <c r="K36" s="459">
        <v>3.2945261747817776E-2</v>
      </c>
      <c r="L36" s="459">
        <v>2.3578353934219275E-2</v>
      </c>
      <c r="M36" s="459">
        <v>0</v>
      </c>
      <c r="N36" s="446">
        <v>2.7850518287174775E-2</v>
      </c>
      <c r="O36" s="446">
        <v>0</v>
      </c>
      <c r="P36" s="459">
        <v>0</v>
      </c>
      <c r="Q36" s="446">
        <v>4.6991217083826323E-2</v>
      </c>
      <c r="R36" s="446">
        <v>0</v>
      </c>
      <c r="S36" s="446">
        <v>4.6991217083826323E-2</v>
      </c>
      <c r="T36" s="354">
        <v>0</v>
      </c>
      <c r="U36" s="354">
        <v>0</v>
      </c>
      <c r="V36" s="354">
        <v>0</v>
      </c>
      <c r="W36" s="355">
        <v>0</v>
      </c>
      <c r="X36" s="354">
        <v>0</v>
      </c>
      <c r="Y36" s="354">
        <v>0</v>
      </c>
      <c r="Z36" s="354">
        <v>0</v>
      </c>
      <c r="AA36" s="355">
        <v>0</v>
      </c>
      <c r="AB36" s="514"/>
      <c r="AC36" s="515"/>
    </row>
    <row r="37" spans="1:29">
      <c r="A37" s="468"/>
      <c r="B37" s="447" t="s">
        <v>11</v>
      </c>
      <c r="C37" s="368">
        <v>1442248.5</v>
      </c>
      <c r="D37" s="106">
        <v>433618.99</v>
      </c>
      <c r="E37" s="106">
        <v>1834194</v>
      </c>
      <c r="F37" s="106">
        <v>1367642</v>
      </c>
      <c r="G37" s="106">
        <v>191177</v>
      </c>
      <c r="H37" s="106">
        <v>580558</v>
      </c>
      <c r="I37" s="368">
        <v>5849438.4900000002</v>
      </c>
      <c r="J37" s="368">
        <v>251917</v>
      </c>
      <c r="K37" s="106">
        <v>455219</v>
      </c>
      <c r="L37" s="106">
        <v>504253.5</v>
      </c>
      <c r="M37" s="106">
        <v>0</v>
      </c>
      <c r="N37" s="368">
        <v>1211389.5</v>
      </c>
      <c r="O37" s="368">
        <v>0</v>
      </c>
      <c r="P37" s="106">
        <v>0</v>
      </c>
      <c r="Q37" s="368">
        <v>2025187</v>
      </c>
      <c r="R37" s="368">
        <v>0</v>
      </c>
      <c r="S37" s="368">
        <v>2025187</v>
      </c>
      <c r="T37" s="352">
        <v>0</v>
      </c>
      <c r="U37" s="352">
        <v>0</v>
      </c>
      <c r="V37" s="352">
        <v>0</v>
      </c>
      <c r="W37" s="353">
        <v>0</v>
      </c>
      <c r="X37" s="352">
        <v>0</v>
      </c>
      <c r="Y37" s="352">
        <v>0</v>
      </c>
      <c r="Z37" s="352">
        <v>0</v>
      </c>
      <c r="AA37" s="353">
        <v>0</v>
      </c>
      <c r="AB37" s="514"/>
      <c r="AC37" s="515"/>
    </row>
    <row r="38" spans="1:29" s="1" customFormat="1">
      <c r="A38" s="468"/>
      <c r="B38" s="447" t="s">
        <v>15</v>
      </c>
      <c r="C38" s="368">
        <v>3600</v>
      </c>
      <c r="D38" s="106">
        <v>3637</v>
      </c>
      <c r="E38" s="106">
        <v>15985</v>
      </c>
      <c r="F38" s="106">
        <v>23577</v>
      </c>
      <c r="G38" s="106">
        <v>2005</v>
      </c>
      <c r="H38" s="106">
        <v>14740</v>
      </c>
      <c r="I38" s="368">
        <v>63544</v>
      </c>
      <c r="J38" s="368">
        <v>7628</v>
      </c>
      <c r="K38" s="106">
        <v>16133</v>
      </c>
      <c r="L38" s="106">
        <v>19023</v>
      </c>
      <c r="M38" s="106">
        <v>0</v>
      </c>
      <c r="N38" s="368">
        <v>42784</v>
      </c>
      <c r="O38" s="368">
        <v>0</v>
      </c>
      <c r="P38" s="106">
        <v>0</v>
      </c>
      <c r="Q38" s="368">
        <v>135501.9</v>
      </c>
      <c r="R38" s="368">
        <v>0</v>
      </c>
      <c r="S38" s="368">
        <v>135501.9</v>
      </c>
      <c r="T38" s="352">
        <v>0</v>
      </c>
      <c r="U38" s="352">
        <v>0</v>
      </c>
      <c r="V38" s="352">
        <v>0</v>
      </c>
      <c r="W38" s="353">
        <v>0</v>
      </c>
      <c r="X38" s="352">
        <v>0</v>
      </c>
      <c r="Y38" s="352">
        <v>0</v>
      </c>
      <c r="Z38" s="352">
        <v>0</v>
      </c>
      <c r="AA38" s="353">
        <v>0</v>
      </c>
      <c r="AB38" s="514"/>
      <c r="AC38" s="515"/>
    </row>
    <row r="39" spans="1:29">
      <c r="A39" s="468"/>
      <c r="B39" s="445" t="s">
        <v>17</v>
      </c>
      <c r="C39" s="446">
        <v>2.4961024400441396E-3</v>
      </c>
      <c r="D39" s="459">
        <v>8.3875477870560978E-3</v>
      </c>
      <c r="E39" s="459">
        <v>8.7149996129089937E-3</v>
      </c>
      <c r="F39" s="459">
        <v>1.7239160540550816E-2</v>
      </c>
      <c r="G39" s="459">
        <v>1.0487663264932497E-2</v>
      </c>
      <c r="H39" s="459">
        <v>2.5389366781613552E-2</v>
      </c>
      <c r="I39" s="446">
        <v>1.0863264928528208E-2</v>
      </c>
      <c r="J39" s="446">
        <v>3.027981438330879E-2</v>
      </c>
      <c r="K39" s="459">
        <v>3.5440084882221522E-2</v>
      </c>
      <c r="L39" s="459">
        <v>3.7725072805642398E-2</v>
      </c>
      <c r="M39" s="459">
        <v>0</v>
      </c>
      <c r="N39" s="446">
        <v>3.5318120224750171E-2</v>
      </c>
      <c r="O39" s="446">
        <v>0</v>
      </c>
      <c r="P39" s="459">
        <v>0</v>
      </c>
      <c r="Q39" s="446">
        <v>6.6908339822446025E-2</v>
      </c>
      <c r="R39" s="445">
        <v>0</v>
      </c>
      <c r="S39" s="445">
        <v>6.6908339822446025E-2</v>
      </c>
      <c r="T39" s="356">
        <v>0</v>
      </c>
      <c r="U39" s="356">
        <v>0</v>
      </c>
      <c r="V39" s="356">
        <v>0</v>
      </c>
      <c r="W39" s="357">
        <v>0</v>
      </c>
      <c r="X39" s="356">
        <v>0</v>
      </c>
      <c r="Y39" s="356">
        <v>0</v>
      </c>
      <c r="Z39" s="356">
        <v>0</v>
      </c>
      <c r="AA39" s="357">
        <v>0</v>
      </c>
      <c r="AB39" s="514"/>
      <c r="AC39" s="515"/>
    </row>
    <row r="40" spans="1:29" s="1" customFormat="1">
      <c r="A40" s="523"/>
      <c r="B40" s="444" t="s">
        <v>204</v>
      </c>
      <c r="C40" s="460">
        <v>2.5350279105059315E-4</v>
      </c>
      <c r="D40" s="461">
        <v>9.3041232508912081E-4</v>
      </c>
      <c r="E40" s="461">
        <v>1.7703071842221762E-3</v>
      </c>
      <c r="F40" s="461">
        <v>3.5396765627580297E-3</v>
      </c>
      <c r="G40" s="461">
        <v>1.4984573702720751E-3</v>
      </c>
      <c r="H40" s="461">
        <v>1.562966431790578E-3</v>
      </c>
      <c r="I40" s="460">
        <v>1.7087363575258169E-3</v>
      </c>
      <c r="J40" s="460">
        <v>3.0502276084250352E-3</v>
      </c>
      <c r="K40" s="461">
        <v>2.4948231344037453E-3</v>
      </c>
      <c r="L40" s="463">
        <v>1.4146718871423124E-2</v>
      </c>
      <c r="M40" s="461">
        <v>0</v>
      </c>
      <c r="N40" s="460">
        <v>7.4676019375753966E-3</v>
      </c>
      <c r="O40" s="460">
        <v>0</v>
      </c>
      <c r="P40" s="461">
        <v>0</v>
      </c>
      <c r="Q40" s="462">
        <v>1.9917122738619703E-2</v>
      </c>
      <c r="R40" s="460">
        <v>0</v>
      </c>
      <c r="S40" s="460">
        <v>1.9917122738619703E-2</v>
      </c>
      <c r="T40" s="358">
        <v>0</v>
      </c>
      <c r="U40" s="358">
        <v>0</v>
      </c>
      <c r="V40" s="358">
        <v>0</v>
      </c>
      <c r="W40" s="359">
        <v>0</v>
      </c>
      <c r="X40" s="358">
        <v>0</v>
      </c>
      <c r="Y40" s="358">
        <v>0</v>
      </c>
      <c r="Z40" s="358">
        <v>0</v>
      </c>
      <c r="AA40" s="359">
        <v>0</v>
      </c>
      <c r="AB40" s="514"/>
      <c r="AC40" s="515"/>
    </row>
    <row r="41" spans="1:29">
      <c r="A41" s="467" t="s">
        <v>219</v>
      </c>
      <c r="B41" s="362" t="s">
        <v>10</v>
      </c>
      <c r="C41" s="366">
        <v>1014848</v>
      </c>
      <c r="D41" s="367">
        <v>0</v>
      </c>
      <c r="E41" s="367">
        <v>1557412</v>
      </c>
      <c r="F41" s="367">
        <v>47143</v>
      </c>
      <c r="G41" s="367">
        <v>0</v>
      </c>
      <c r="H41" s="367">
        <v>0</v>
      </c>
      <c r="I41" s="366">
        <v>2619403</v>
      </c>
      <c r="J41" s="366">
        <v>0</v>
      </c>
      <c r="K41" s="367">
        <v>441975</v>
      </c>
      <c r="L41" s="367">
        <v>914495</v>
      </c>
      <c r="M41" s="367">
        <v>33863</v>
      </c>
      <c r="N41" s="366">
        <v>1390333</v>
      </c>
      <c r="O41" s="366">
        <v>0</v>
      </c>
      <c r="P41" s="367">
        <v>0</v>
      </c>
      <c r="Q41" s="366">
        <v>152962</v>
      </c>
      <c r="R41" s="366">
        <v>0</v>
      </c>
      <c r="S41" s="366">
        <v>152962</v>
      </c>
      <c r="T41" s="350">
        <v>0</v>
      </c>
      <c r="U41" s="350">
        <v>0</v>
      </c>
      <c r="V41" s="350">
        <v>0</v>
      </c>
      <c r="W41" s="351">
        <v>0</v>
      </c>
      <c r="X41" s="350">
        <v>0</v>
      </c>
      <c r="Y41" s="350">
        <v>0</v>
      </c>
      <c r="Z41" s="350">
        <v>0</v>
      </c>
      <c r="AA41" s="351">
        <v>0</v>
      </c>
      <c r="AB41" s="512"/>
      <c r="AC41" s="513"/>
    </row>
    <row r="42" spans="1:29" s="1" customFormat="1">
      <c r="A42" s="468"/>
      <c r="B42" s="447" t="s">
        <v>14</v>
      </c>
      <c r="C42" s="368">
        <v>1651</v>
      </c>
      <c r="D42" s="106">
        <v>0</v>
      </c>
      <c r="E42" s="106">
        <v>46998</v>
      </c>
      <c r="F42" s="106">
        <v>1470</v>
      </c>
      <c r="G42" s="106">
        <v>0</v>
      </c>
      <c r="H42" s="106">
        <v>0</v>
      </c>
      <c r="I42" s="368">
        <v>50119</v>
      </c>
      <c r="J42" s="368">
        <v>0</v>
      </c>
      <c r="K42" s="106">
        <v>18191</v>
      </c>
      <c r="L42" s="106">
        <v>53933</v>
      </c>
      <c r="M42" s="106">
        <v>2103</v>
      </c>
      <c r="N42" s="368">
        <v>74227</v>
      </c>
      <c r="O42" s="368">
        <v>0</v>
      </c>
      <c r="P42" s="106">
        <v>0</v>
      </c>
      <c r="Q42" s="368">
        <v>7827</v>
      </c>
      <c r="R42" s="368">
        <v>0</v>
      </c>
      <c r="S42" s="368">
        <v>7827</v>
      </c>
      <c r="T42" s="352">
        <v>0</v>
      </c>
      <c r="U42" s="352">
        <v>0</v>
      </c>
      <c r="V42" s="352">
        <v>0</v>
      </c>
      <c r="W42" s="353">
        <v>0</v>
      </c>
      <c r="X42" s="352">
        <v>0</v>
      </c>
      <c r="Y42" s="352">
        <v>0</v>
      </c>
      <c r="Z42" s="352">
        <v>0</v>
      </c>
      <c r="AA42" s="353">
        <v>0</v>
      </c>
      <c r="AB42" s="514"/>
      <c r="AC42" s="515"/>
    </row>
    <row r="43" spans="1:29">
      <c r="A43" s="468"/>
      <c r="B43" s="446" t="s">
        <v>16</v>
      </c>
      <c r="C43" s="446">
        <v>1.6268446112127136E-3</v>
      </c>
      <c r="D43" s="459">
        <v>0</v>
      </c>
      <c r="E43" s="459">
        <v>3.0176985922800131E-2</v>
      </c>
      <c r="F43" s="459">
        <v>3.1181723691746387E-2</v>
      </c>
      <c r="G43" s="459">
        <v>0</v>
      </c>
      <c r="H43" s="459">
        <v>0</v>
      </c>
      <c r="I43" s="446">
        <v>1.9133749178725075E-2</v>
      </c>
      <c r="J43" s="446">
        <v>0</v>
      </c>
      <c r="K43" s="459">
        <v>4.1158436563154023E-2</v>
      </c>
      <c r="L43" s="459">
        <v>5.8975718839359426E-2</v>
      </c>
      <c r="M43" s="459">
        <v>6.210318046245164E-2</v>
      </c>
      <c r="N43" s="446">
        <v>5.3387929366561823E-2</v>
      </c>
      <c r="O43" s="446">
        <v>0</v>
      </c>
      <c r="P43" s="459">
        <v>0</v>
      </c>
      <c r="Q43" s="446">
        <v>5.1169571527568937E-2</v>
      </c>
      <c r="R43" s="446">
        <v>0</v>
      </c>
      <c r="S43" s="446">
        <v>5.1169571527568937E-2</v>
      </c>
      <c r="T43" s="354">
        <v>0</v>
      </c>
      <c r="U43" s="354">
        <v>0</v>
      </c>
      <c r="V43" s="354">
        <v>0</v>
      </c>
      <c r="W43" s="355">
        <v>0</v>
      </c>
      <c r="X43" s="354">
        <v>0</v>
      </c>
      <c r="Y43" s="354">
        <v>0</v>
      </c>
      <c r="Z43" s="354">
        <v>0</v>
      </c>
      <c r="AA43" s="355">
        <v>0</v>
      </c>
      <c r="AB43" s="514"/>
      <c r="AC43" s="515"/>
    </row>
    <row r="44" spans="1:29" s="1" customFormat="1">
      <c r="A44" s="468"/>
      <c r="B44" s="447" t="s">
        <v>11</v>
      </c>
      <c r="C44" s="368">
        <v>1032573</v>
      </c>
      <c r="D44" s="106">
        <v>0</v>
      </c>
      <c r="E44" s="106">
        <v>1556219</v>
      </c>
      <c r="F44" s="106">
        <v>41156</v>
      </c>
      <c r="G44" s="106">
        <v>0</v>
      </c>
      <c r="H44" s="106">
        <v>0</v>
      </c>
      <c r="I44" s="368">
        <v>2629948</v>
      </c>
      <c r="J44" s="368">
        <v>0</v>
      </c>
      <c r="K44" s="106">
        <v>417933</v>
      </c>
      <c r="L44" s="106">
        <v>836371</v>
      </c>
      <c r="M44" s="106">
        <v>29351</v>
      </c>
      <c r="N44" s="368">
        <v>1283655</v>
      </c>
      <c r="O44" s="368">
        <v>0</v>
      </c>
      <c r="P44" s="106">
        <v>0</v>
      </c>
      <c r="Q44" s="368">
        <v>146961</v>
      </c>
      <c r="R44" s="368">
        <v>0</v>
      </c>
      <c r="S44" s="368">
        <v>146961</v>
      </c>
      <c r="T44" s="352">
        <v>0</v>
      </c>
      <c r="U44" s="352">
        <v>0</v>
      </c>
      <c r="V44" s="352">
        <v>0</v>
      </c>
      <c r="W44" s="353">
        <v>0</v>
      </c>
      <c r="X44" s="352">
        <v>0</v>
      </c>
      <c r="Y44" s="352">
        <v>0</v>
      </c>
      <c r="Z44" s="352">
        <v>0</v>
      </c>
      <c r="AA44" s="353">
        <v>0</v>
      </c>
      <c r="AB44" s="514"/>
      <c r="AC44" s="515"/>
    </row>
    <row r="45" spans="1:29">
      <c r="A45" s="468"/>
      <c r="B45" s="447" t="s">
        <v>15</v>
      </c>
      <c r="C45" s="368">
        <v>1972</v>
      </c>
      <c r="D45" s="106">
        <v>0</v>
      </c>
      <c r="E45" s="106">
        <v>53733</v>
      </c>
      <c r="F45" s="106">
        <v>1697</v>
      </c>
      <c r="G45" s="106">
        <v>0</v>
      </c>
      <c r="H45" s="106">
        <v>0</v>
      </c>
      <c r="I45" s="368">
        <v>57402</v>
      </c>
      <c r="J45" s="368">
        <v>0</v>
      </c>
      <c r="K45" s="106">
        <v>19319</v>
      </c>
      <c r="L45" s="106">
        <v>55760</v>
      </c>
      <c r="M45" s="106">
        <v>1799</v>
      </c>
      <c r="N45" s="368">
        <v>76878</v>
      </c>
      <c r="O45" s="368">
        <v>0</v>
      </c>
      <c r="P45" s="106">
        <v>0</v>
      </c>
      <c r="Q45" s="368">
        <v>11010</v>
      </c>
      <c r="R45" s="368">
        <v>0</v>
      </c>
      <c r="S45" s="368">
        <v>11010</v>
      </c>
      <c r="T45" s="352">
        <v>0</v>
      </c>
      <c r="U45" s="352">
        <v>0</v>
      </c>
      <c r="V45" s="352">
        <v>0</v>
      </c>
      <c r="W45" s="353">
        <v>0</v>
      </c>
      <c r="X45" s="352">
        <v>0</v>
      </c>
      <c r="Y45" s="352">
        <v>0</v>
      </c>
      <c r="Z45" s="352">
        <v>0</v>
      </c>
      <c r="AA45" s="353">
        <v>0</v>
      </c>
      <c r="AB45" s="514"/>
      <c r="AC45" s="515"/>
    </row>
    <row r="46" spans="1:29" s="1" customFormat="1">
      <c r="A46" s="468"/>
      <c r="B46" s="445" t="s">
        <v>17</v>
      </c>
      <c r="C46" s="446">
        <v>1.9097923342950088E-3</v>
      </c>
      <c r="D46" s="459">
        <v>0</v>
      </c>
      <c r="E46" s="459">
        <v>3.4527916700670021E-2</v>
      </c>
      <c r="F46" s="459">
        <v>4.1233356011274175E-2</v>
      </c>
      <c r="G46" s="459">
        <v>0</v>
      </c>
      <c r="H46" s="459">
        <v>0</v>
      </c>
      <c r="I46" s="446">
        <v>2.18262870596681E-2</v>
      </c>
      <c r="J46" s="446">
        <v>0</v>
      </c>
      <c r="K46" s="459">
        <v>4.6225112637671588E-2</v>
      </c>
      <c r="L46" s="459">
        <v>6.6668978240517665E-2</v>
      </c>
      <c r="M46" s="459">
        <v>6.129263057476747E-2</v>
      </c>
      <c r="N46" s="446">
        <v>5.9889923694450613E-2</v>
      </c>
      <c r="O46" s="446">
        <v>0</v>
      </c>
      <c r="P46" s="459">
        <v>0</v>
      </c>
      <c r="Q46" s="446">
        <v>7.4917835344070871E-2</v>
      </c>
      <c r="R46" s="445">
        <v>0</v>
      </c>
      <c r="S46" s="445">
        <v>7.4917835344070871E-2</v>
      </c>
      <c r="T46" s="356">
        <v>0</v>
      </c>
      <c r="U46" s="356">
        <v>0</v>
      </c>
      <c r="V46" s="356">
        <v>0</v>
      </c>
      <c r="W46" s="357">
        <v>0</v>
      </c>
      <c r="X46" s="356">
        <v>0</v>
      </c>
      <c r="Y46" s="356">
        <v>0</v>
      </c>
      <c r="Z46" s="356">
        <v>0</v>
      </c>
      <c r="AA46" s="357">
        <v>0</v>
      </c>
      <c r="AB46" s="514"/>
      <c r="AC46" s="515"/>
    </row>
    <row r="47" spans="1:29">
      <c r="A47" s="523"/>
      <c r="B47" s="444" t="s">
        <v>204</v>
      </c>
      <c r="C47" s="460">
        <v>2.8294772308229518E-4</v>
      </c>
      <c r="D47" s="461">
        <v>0</v>
      </c>
      <c r="E47" s="461">
        <v>4.3509307778698894E-3</v>
      </c>
      <c r="F47" s="461">
        <v>1.0051632319527787E-2</v>
      </c>
      <c r="G47" s="461">
        <v>0</v>
      </c>
      <c r="H47" s="461">
        <v>0</v>
      </c>
      <c r="I47" s="460">
        <v>2.6925378809430252E-3</v>
      </c>
      <c r="J47" s="460">
        <v>0</v>
      </c>
      <c r="K47" s="461">
        <v>5.0666760745175649E-3</v>
      </c>
      <c r="L47" s="461">
        <v>7.6932594011582395E-3</v>
      </c>
      <c r="M47" s="461">
        <v>-8.1054988768416991E-4</v>
      </c>
      <c r="N47" s="460">
        <v>6.5019943278887896E-3</v>
      </c>
      <c r="O47" s="460">
        <v>0</v>
      </c>
      <c r="P47" s="461">
        <v>0</v>
      </c>
      <c r="Q47" s="462">
        <v>2.3748263816501934E-2</v>
      </c>
      <c r="R47" s="460">
        <v>0</v>
      </c>
      <c r="S47" s="460">
        <v>2.3748263816501934E-2</v>
      </c>
      <c r="T47" s="358">
        <v>0</v>
      </c>
      <c r="U47" s="358">
        <v>0</v>
      </c>
      <c r="V47" s="358">
        <v>0</v>
      </c>
      <c r="W47" s="359">
        <v>0</v>
      </c>
      <c r="X47" s="358">
        <v>0</v>
      </c>
      <c r="Y47" s="358">
        <v>0</v>
      </c>
      <c r="Z47" s="358">
        <v>0</v>
      </c>
      <c r="AA47" s="359">
        <v>0</v>
      </c>
      <c r="AB47" s="514"/>
      <c r="AC47" s="515"/>
    </row>
    <row r="48" spans="1:29" s="1" customFormat="1">
      <c r="A48" s="467" t="s">
        <v>228</v>
      </c>
      <c r="B48" s="362" t="s">
        <v>10</v>
      </c>
      <c r="C48" s="366">
        <v>726426</v>
      </c>
      <c r="D48" s="367">
        <v>816515</v>
      </c>
      <c r="E48" s="367">
        <v>655579</v>
      </c>
      <c r="F48" s="367">
        <v>735242</v>
      </c>
      <c r="G48" s="367">
        <v>65072</v>
      </c>
      <c r="H48" s="367">
        <v>55365</v>
      </c>
      <c r="I48" s="366">
        <v>3054199</v>
      </c>
      <c r="J48" s="366">
        <v>0</v>
      </c>
      <c r="K48" s="367">
        <v>743219.5</v>
      </c>
      <c r="L48" s="367">
        <v>276616</v>
      </c>
      <c r="M48" s="367">
        <v>137992</v>
      </c>
      <c r="N48" s="366">
        <v>1157827.5</v>
      </c>
      <c r="O48" s="366">
        <v>0</v>
      </c>
      <c r="P48" s="367">
        <v>0</v>
      </c>
      <c r="Q48" s="366">
        <v>307485.5</v>
      </c>
      <c r="R48" s="366">
        <v>0</v>
      </c>
      <c r="S48" s="366">
        <v>307485.5</v>
      </c>
      <c r="T48" s="350">
        <v>0</v>
      </c>
      <c r="U48" s="350">
        <v>0</v>
      </c>
      <c r="V48" s="350">
        <v>0</v>
      </c>
      <c r="W48" s="351">
        <v>0</v>
      </c>
      <c r="X48" s="350">
        <v>0</v>
      </c>
      <c r="Y48" s="350">
        <v>0</v>
      </c>
      <c r="Z48" s="350">
        <v>0</v>
      </c>
      <c r="AA48" s="351">
        <v>0</v>
      </c>
      <c r="AB48" s="512"/>
      <c r="AC48" s="513"/>
    </row>
    <row r="49" spans="1:29">
      <c r="A49" s="468"/>
      <c r="B49" s="447" t="s">
        <v>14</v>
      </c>
      <c r="C49" s="368">
        <v>4569</v>
      </c>
      <c r="D49" s="106">
        <v>20422</v>
      </c>
      <c r="E49" s="106">
        <v>30506</v>
      </c>
      <c r="F49" s="106">
        <v>22831</v>
      </c>
      <c r="G49" s="106">
        <v>1371</v>
      </c>
      <c r="H49" s="106">
        <v>3437</v>
      </c>
      <c r="I49" s="368">
        <v>83136</v>
      </c>
      <c r="J49" s="368">
        <v>0</v>
      </c>
      <c r="K49" s="106">
        <v>14895</v>
      </c>
      <c r="L49" s="106">
        <v>20602</v>
      </c>
      <c r="M49" s="106">
        <v>15302</v>
      </c>
      <c r="N49" s="368">
        <v>50799</v>
      </c>
      <c r="O49" s="368">
        <v>0</v>
      </c>
      <c r="P49" s="106">
        <v>0</v>
      </c>
      <c r="Q49" s="368">
        <v>46503</v>
      </c>
      <c r="R49" s="368">
        <v>0</v>
      </c>
      <c r="S49" s="368">
        <v>46503</v>
      </c>
      <c r="T49" s="352">
        <v>0</v>
      </c>
      <c r="U49" s="352">
        <v>0</v>
      </c>
      <c r="V49" s="352">
        <v>0</v>
      </c>
      <c r="W49" s="353">
        <v>0</v>
      </c>
      <c r="X49" s="352">
        <v>0</v>
      </c>
      <c r="Y49" s="352">
        <v>0</v>
      </c>
      <c r="Z49" s="352">
        <v>0</v>
      </c>
      <c r="AA49" s="353">
        <v>0</v>
      </c>
      <c r="AB49" s="514"/>
      <c r="AC49" s="515"/>
    </row>
    <row r="50" spans="1:29" s="1" customFormat="1">
      <c r="A50" s="468"/>
      <c r="B50" s="446" t="s">
        <v>16</v>
      </c>
      <c r="C50" s="446">
        <v>6.2896977806411111E-3</v>
      </c>
      <c r="D50" s="459">
        <v>2.5011175544846085E-2</v>
      </c>
      <c r="E50" s="459">
        <v>4.6532912128057796E-2</v>
      </c>
      <c r="F50" s="459">
        <v>3.1052360991347068E-2</v>
      </c>
      <c r="G50" s="459">
        <v>2.1068969756577328E-2</v>
      </c>
      <c r="H50" s="469">
        <v>6.2078930732412177E-2</v>
      </c>
      <c r="I50" s="446">
        <v>2.7220230246948546E-2</v>
      </c>
      <c r="J50" s="446">
        <v>0</v>
      </c>
      <c r="K50" s="459">
        <v>2.0041185679331611E-2</v>
      </c>
      <c r="L50" s="459">
        <v>7.4478699713682511E-2</v>
      </c>
      <c r="M50" s="469">
        <v>0.11089048640500898</v>
      </c>
      <c r="N50" s="446">
        <v>4.3874411343658708E-2</v>
      </c>
      <c r="O50" s="446">
        <v>0</v>
      </c>
      <c r="P50" s="459">
        <v>0</v>
      </c>
      <c r="Q50" s="446">
        <v>0.15123639976519218</v>
      </c>
      <c r="R50" s="446">
        <v>0</v>
      </c>
      <c r="S50" s="446">
        <v>0.15123639976519218</v>
      </c>
      <c r="T50" s="354">
        <v>0</v>
      </c>
      <c r="U50" s="354">
        <v>0</v>
      </c>
      <c r="V50" s="354">
        <v>0</v>
      </c>
      <c r="W50" s="355">
        <v>0</v>
      </c>
      <c r="X50" s="354">
        <v>0</v>
      </c>
      <c r="Y50" s="354">
        <v>0</v>
      </c>
      <c r="Z50" s="354">
        <v>0</v>
      </c>
      <c r="AA50" s="355">
        <v>0</v>
      </c>
      <c r="AB50" s="514"/>
      <c r="AC50" s="515"/>
    </row>
    <row r="51" spans="1:29">
      <c r="A51" s="468"/>
      <c r="B51" s="447" t="s">
        <v>11</v>
      </c>
      <c r="C51" s="368">
        <v>738492</v>
      </c>
      <c r="D51" s="106">
        <v>838096</v>
      </c>
      <c r="E51" s="106">
        <v>649075</v>
      </c>
      <c r="F51" s="106">
        <v>712165</v>
      </c>
      <c r="G51" s="106">
        <v>57370</v>
      </c>
      <c r="H51" s="106">
        <v>60798</v>
      </c>
      <c r="I51" s="368">
        <v>3055996</v>
      </c>
      <c r="J51" s="368">
        <v>0</v>
      </c>
      <c r="K51" s="106">
        <v>688718</v>
      </c>
      <c r="L51" s="106">
        <v>276892</v>
      </c>
      <c r="M51" s="106">
        <v>134156</v>
      </c>
      <c r="N51" s="368">
        <v>1099766</v>
      </c>
      <c r="O51" s="368">
        <v>0</v>
      </c>
      <c r="P51" s="106">
        <v>0</v>
      </c>
      <c r="Q51" s="368">
        <v>292740</v>
      </c>
      <c r="R51" s="368">
        <v>0</v>
      </c>
      <c r="S51" s="368">
        <v>292740</v>
      </c>
      <c r="T51" s="352">
        <v>0</v>
      </c>
      <c r="U51" s="352">
        <v>0</v>
      </c>
      <c r="V51" s="352">
        <v>0</v>
      </c>
      <c r="W51" s="353">
        <v>0</v>
      </c>
      <c r="X51" s="352">
        <v>0</v>
      </c>
      <c r="Y51" s="352">
        <v>0</v>
      </c>
      <c r="Z51" s="352">
        <v>0</v>
      </c>
      <c r="AA51" s="353">
        <v>0</v>
      </c>
      <c r="AB51" s="514"/>
      <c r="AC51" s="515"/>
    </row>
    <row r="52" spans="1:29" s="1" customFormat="1">
      <c r="A52" s="468"/>
      <c r="B52" s="447" t="s">
        <v>15</v>
      </c>
      <c r="C52" s="368">
        <v>5864</v>
      </c>
      <c r="D52" s="106">
        <v>23795</v>
      </c>
      <c r="E52" s="106">
        <v>35472</v>
      </c>
      <c r="F52" s="106">
        <v>22724</v>
      </c>
      <c r="G52" s="106">
        <v>1404</v>
      </c>
      <c r="H52" s="106">
        <v>5555</v>
      </c>
      <c r="I52" s="368">
        <v>94814</v>
      </c>
      <c r="J52" s="368">
        <v>0</v>
      </c>
      <c r="K52" s="106">
        <v>13347</v>
      </c>
      <c r="L52" s="106">
        <v>22091</v>
      </c>
      <c r="M52" s="106">
        <v>15261</v>
      </c>
      <c r="N52" s="368">
        <v>50699</v>
      </c>
      <c r="O52" s="368">
        <v>0</v>
      </c>
      <c r="P52" s="106">
        <v>0</v>
      </c>
      <c r="Q52" s="368">
        <v>44629.9</v>
      </c>
      <c r="R52" s="368">
        <v>0</v>
      </c>
      <c r="S52" s="368">
        <v>44629.9</v>
      </c>
      <c r="T52" s="352">
        <v>0</v>
      </c>
      <c r="U52" s="352">
        <v>0</v>
      </c>
      <c r="V52" s="352">
        <v>0</v>
      </c>
      <c r="W52" s="353">
        <v>0</v>
      </c>
      <c r="X52" s="352">
        <v>0</v>
      </c>
      <c r="Y52" s="352">
        <v>0</v>
      </c>
      <c r="Z52" s="352">
        <v>0</v>
      </c>
      <c r="AA52" s="353">
        <v>0</v>
      </c>
      <c r="AB52" s="514"/>
      <c r="AC52" s="515"/>
    </row>
    <row r="53" spans="1:29">
      <c r="A53" s="468"/>
      <c r="B53" s="445" t="s">
        <v>17</v>
      </c>
      <c r="C53" s="446">
        <v>7.9405057874696004E-3</v>
      </c>
      <c r="D53" s="459">
        <v>2.839173555296768E-2</v>
      </c>
      <c r="E53" s="459">
        <v>5.4650078958517888E-2</v>
      </c>
      <c r="F53" s="459">
        <v>3.1908335849136084E-2</v>
      </c>
      <c r="G53" s="459">
        <v>2.4472720934286211E-2</v>
      </c>
      <c r="H53" s="469">
        <v>9.1368137109773345E-2</v>
      </c>
      <c r="I53" s="446">
        <v>3.1025564169586611E-2</v>
      </c>
      <c r="J53" s="446">
        <v>0</v>
      </c>
      <c r="K53" s="459">
        <v>1.9379484781870085E-2</v>
      </c>
      <c r="L53" s="459">
        <v>7.9782008869884291E-2</v>
      </c>
      <c r="M53" s="469">
        <v>0.11375562777661827</v>
      </c>
      <c r="N53" s="446">
        <v>4.6099806686149603E-2</v>
      </c>
      <c r="O53" s="446">
        <v>0</v>
      </c>
      <c r="P53" s="459">
        <v>0</v>
      </c>
      <c r="Q53" s="446">
        <v>0.15245576279292206</v>
      </c>
      <c r="R53" s="445">
        <v>0</v>
      </c>
      <c r="S53" s="445">
        <v>0.15245576279292206</v>
      </c>
      <c r="T53" s="356">
        <v>0</v>
      </c>
      <c r="U53" s="356">
        <v>0</v>
      </c>
      <c r="V53" s="356">
        <v>0</v>
      </c>
      <c r="W53" s="357">
        <v>0</v>
      </c>
      <c r="X53" s="356">
        <v>0</v>
      </c>
      <c r="Y53" s="356">
        <v>0</v>
      </c>
      <c r="Z53" s="356">
        <v>0</v>
      </c>
      <c r="AA53" s="357">
        <v>0</v>
      </c>
      <c r="AB53" s="514"/>
      <c r="AC53" s="515"/>
    </row>
    <row r="54" spans="1:29" s="1" customFormat="1">
      <c r="A54" s="523"/>
      <c r="B54" s="444" t="s">
        <v>204</v>
      </c>
      <c r="C54" s="460">
        <v>1.6508080068284893E-3</v>
      </c>
      <c r="D54" s="461">
        <v>3.3805600081215949E-3</v>
      </c>
      <c r="E54" s="461">
        <v>8.1171668304600916E-3</v>
      </c>
      <c r="F54" s="461">
        <v>8.5597485778901583E-4</v>
      </c>
      <c r="G54" s="461">
        <v>3.4037511777088823E-3</v>
      </c>
      <c r="H54" s="463">
        <v>2.9289206377361168E-2</v>
      </c>
      <c r="I54" s="460">
        <v>3.8053339226380642E-3</v>
      </c>
      <c r="J54" s="460">
        <v>0</v>
      </c>
      <c r="K54" s="461">
        <v>-6.6170089746152641E-4</v>
      </c>
      <c r="L54" s="461">
        <v>5.3033091562017798E-3</v>
      </c>
      <c r="M54" s="461">
        <v>2.8651413716092866E-3</v>
      </c>
      <c r="N54" s="460">
        <v>2.2253953424908948E-3</v>
      </c>
      <c r="O54" s="460">
        <v>0</v>
      </c>
      <c r="P54" s="461">
        <v>0</v>
      </c>
      <c r="Q54" s="460">
        <v>1.219363027729875E-3</v>
      </c>
      <c r="R54" s="460">
        <v>0</v>
      </c>
      <c r="S54" s="460">
        <v>1.219363027729875E-3</v>
      </c>
      <c r="T54" s="358">
        <v>0</v>
      </c>
      <c r="U54" s="358">
        <v>0</v>
      </c>
      <c r="V54" s="358">
        <v>0</v>
      </c>
      <c r="W54" s="359">
        <v>0</v>
      </c>
      <c r="X54" s="358">
        <v>0</v>
      </c>
      <c r="Y54" s="358">
        <v>0</v>
      </c>
      <c r="Z54" s="358">
        <v>0</v>
      </c>
      <c r="AA54" s="359">
        <v>0</v>
      </c>
      <c r="AB54" s="514"/>
      <c r="AC54" s="515"/>
    </row>
    <row r="55" spans="1:29">
      <c r="A55" s="467" t="s">
        <v>247</v>
      </c>
      <c r="B55" s="362" t="s">
        <v>10</v>
      </c>
      <c r="C55" s="366">
        <v>0</v>
      </c>
      <c r="D55" s="367">
        <v>0</v>
      </c>
      <c r="E55" s="367">
        <v>0</v>
      </c>
      <c r="F55" s="367">
        <v>0</v>
      </c>
      <c r="G55" s="367">
        <v>0</v>
      </c>
      <c r="H55" s="367">
        <v>0</v>
      </c>
      <c r="I55" s="366">
        <v>0</v>
      </c>
      <c r="J55" s="366">
        <v>0</v>
      </c>
      <c r="K55" s="367">
        <v>0</v>
      </c>
      <c r="L55" s="367">
        <v>0</v>
      </c>
      <c r="M55" s="367">
        <v>0</v>
      </c>
      <c r="N55" s="366">
        <v>0</v>
      </c>
      <c r="O55" s="366">
        <v>0</v>
      </c>
      <c r="P55" s="367">
        <v>0</v>
      </c>
      <c r="Q55" s="366">
        <v>0</v>
      </c>
      <c r="R55" s="366">
        <v>0</v>
      </c>
      <c r="S55" s="366">
        <v>0</v>
      </c>
      <c r="T55" s="350">
        <v>0</v>
      </c>
      <c r="U55" s="350">
        <v>0</v>
      </c>
      <c r="V55" s="350">
        <v>0</v>
      </c>
      <c r="W55" s="351">
        <v>0</v>
      </c>
      <c r="X55" s="350">
        <v>0</v>
      </c>
      <c r="Y55" s="350">
        <v>0</v>
      </c>
      <c r="Z55" s="350">
        <v>0</v>
      </c>
      <c r="AA55" s="351">
        <v>0</v>
      </c>
      <c r="AB55" s="512"/>
      <c r="AC55" s="513"/>
    </row>
    <row r="56" spans="1:29" s="1" customFormat="1">
      <c r="A56" s="468"/>
      <c r="B56" s="447" t="s">
        <v>14</v>
      </c>
      <c r="C56" s="368">
        <v>0</v>
      </c>
      <c r="D56" s="106">
        <v>0</v>
      </c>
      <c r="E56" s="106">
        <v>0</v>
      </c>
      <c r="F56" s="106">
        <v>0</v>
      </c>
      <c r="G56" s="106">
        <v>0</v>
      </c>
      <c r="H56" s="106">
        <v>0</v>
      </c>
      <c r="I56" s="368">
        <v>0</v>
      </c>
      <c r="J56" s="368">
        <v>0</v>
      </c>
      <c r="K56" s="106">
        <v>0</v>
      </c>
      <c r="L56" s="106">
        <v>0</v>
      </c>
      <c r="M56" s="106">
        <v>0</v>
      </c>
      <c r="N56" s="368">
        <v>0</v>
      </c>
      <c r="O56" s="368">
        <v>0</v>
      </c>
      <c r="P56" s="106">
        <v>0</v>
      </c>
      <c r="Q56" s="368">
        <v>0</v>
      </c>
      <c r="R56" s="368">
        <v>0</v>
      </c>
      <c r="S56" s="368">
        <v>0</v>
      </c>
      <c r="T56" s="352">
        <v>0</v>
      </c>
      <c r="U56" s="352">
        <v>0</v>
      </c>
      <c r="V56" s="352">
        <v>0</v>
      </c>
      <c r="W56" s="353">
        <v>0</v>
      </c>
      <c r="X56" s="352">
        <v>0</v>
      </c>
      <c r="Y56" s="352">
        <v>0</v>
      </c>
      <c r="Z56" s="352">
        <v>0</v>
      </c>
      <c r="AA56" s="353">
        <v>0</v>
      </c>
      <c r="AB56" s="514"/>
      <c r="AC56" s="515"/>
    </row>
    <row r="57" spans="1:29">
      <c r="A57" s="468"/>
      <c r="B57" s="446" t="s">
        <v>16</v>
      </c>
      <c r="C57" s="446">
        <v>0</v>
      </c>
      <c r="D57" s="459">
        <v>0</v>
      </c>
      <c r="E57" s="459">
        <v>0</v>
      </c>
      <c r="F57" s="459">
        <v>0</v>
      </c>
      <c r="G57" s="459">
        <v>0</v>
      </c>
      <c r="H57" s="459">
        <v>0</v>
      </c>
      <c r="I57" s="446">
        <v>0</v>
      </c>
      <c r="J57" s="446">
        <v>0</v>
      </c>
      <c r="K57" s="459">
        <v>0</v>
      </c>
      <c r="L57" s="459">
        <v>0</v>
      </c>
      <c r="M57" s="459">
        <v>0</v>
      </c>
      <c r="N57" s="446">
        <v>0</v>
      </c>
      <c r="O57" s="446">
        <v>0</v>
      </c>
      <c r="P57" s="459">
        <v>0</v>
      </c>
      <c r="Q57" s="446">
        <v>0</v>
      </c>
      <c r="R57" s="446">
        <v>0</v>
      </c>
      <c r="S57" s="446">
        <v>0</v>
      </c>
      <c r="T57" s="354">
        <v>0</v>
      </c>
      <c r="U57" s="354">
        <v>0</v>
      </c>
      <c r="V57" s="354">
        <v>0</v>
      </c>
      <c r="W57" s="355">
        <v>0</v>
      </c>
      <c r="X57" s="354">
        <v>0</v>
      </c>
      <c r="Y57" s="354">
        <v>0</v>
      </c>
      <c r="Z57" s="354">
        <v>0</v>
      </c>
      <c r="AA57" s="355">
        <v>0</v>
      </c>
      <c r="AB57" s="514"/>
      <c r="AC57" s="515"/>
    </row>
    <row r="58" spans="1:29" s="1" customFormat="1">
      <c r="A58" s="468"/>
      <c r="B58" s="447" t="s">
        <v>11</v>
      </c>
      <c r="C58" s="368">
        <v>0</v>
      </c>
      <c r="D58" s="106">
        <v>0</v>
      </c>
      <c r="E58" s="106">
        <v>0</v>
      </c>
      <c r="F58" s="106">
        <v>0</v>
      </c>
      <c r="G58" s="106">
        <v>0</v>
      </c>
      <c r="H58" s="106">
        <v>0</v>
      </c>
      <c r="I58" s="368">
        <v>0</v>
      </c>
      <c r="J58" s="368">
        <v>0</v>
      </c>
      <c r="K58" s="106">
        <v>0</v>
      </c>
      <c r="L58" s="106">
        <v>0</v>
      </c>
      <c r="M58" s="106">
        <v>0</v>
      </c>
      <c r="N58" s="368">
        <v>0</v>
      </c>
      <c r="O58" s="368">
        <v>0</v>
      </c>
      <c r="P58" s="106">
        <v>0</v>
      </c>
      <c r="Q58" s="368">
        <v>0</v>
      </c>
      <c r="R58" s="368">
        <v>0</v>
      </c>
      <c r="S58" s="368">
        <v>0</v>
      </c>
      <c r="T58" s="352">
        <v>0</v>
      </c>
      <c r="U58" s="352">
        <v>0</v>
      </c>
      <c r="V58" s="352">
        <v>0</v>
      </c>
      <c r="W58" s="353">
        <v>0</v>
      </c>
      <c r="X58" s="352">
        <v>0</v>
      </c>
      <c r="Y58" s="352">
        <v>0</v>
      </c>
      <c r="Z58" s="352">
        <v>0</v>
      </c>
      <c r="AA58" s="353">
        <v>0</v>
      </c>
      <c r="AB58" s="514"/>
      <c r="AC58" s="515"/>
    </row>
    <row r="59" spans="1:29">
      <c r="A59" s="468"/>
      <c r="B59" s="447" t="s">
        <v>15</v>
      </c>
      <c r="C59" s="368">
        <v>0</v>
      </c>
      <c r="D59" s="106">
        <v>0</v>
      </c>
      <c r="E59" s="106">
        <v>0</v>
      </c>
      <c r="F59" s="106">
        <v>0</v>
      </c>
      <c r="G59" s="106">
        <v>0</v>
      </c>
      <c r="H59" s="106">
        <v>0</v>
      </c>
      <c r="I59" s="368">
        <v>0</v>
      </c>
      <c r="J59" s="368">
        <v>0</v>
      </c>
      <c r="K59" s="106">
        <v>0</v>
      </c>
      <c r="L59" s="106">
        <v>0</v>
      </c>
      <c r="M59" s="106">
        <v>0</v>
      </c>
      <c r="N59" s="368">
        <v>0</v>
      </c>
      <c r="O59" s="368">
        <v>0</v>
      </c>
      <c r="P59" s="106">
        <v>0</v>
      </c>
      <c r="Q59" s="368">
        <v>0</v>
      </c>
      <c r="R59" s="368">
        <v>0</v>
      </c>
      <c r="S59" s="368">
        <v>0</v>
      </c>
      <c r="T59" s="352">
        <v>0</v>
      </c>
      <c r="U59" s="352">
        <v>0</v>
      </c>
      <c r="V59" s="352">
        <v>0</v>
      </c>
      <c r="W59" s="353">
        <v>0</v>
      </c>
      <c r="X59" s="352">
        <v>0</v>
      </c>
      <c r="Y59" s="352">
        <v>0</v>
      </c>
      <c r="Z59" s="352">
        <v>0</v>
      </c>
      <c r="AA59" s="353">
        <v>0</v>
      </c>
      <c r="AB59" s="514"/>
      <c r="AC59" s="515"/>
    </row>
    <row r="60" spans="1:29" s="1" customFormat="1">
      <c r="A60" s="468"/>
      <c r="B60" s="445" t="s">
        <v>17</v>
      </c>
      <c r="C60" s="446">
        <v>0</v>
      </c>
      <c r="D60" s="459">
        <v>0</v>
      </c>
      <c r="E60" s="459">
        <v>0</v>
      </c>
      <c r="F60" s="459">
        <v>0</v>
      </c>
      <c r="G60" s="459">
        <v>0</v>
      </c>
      <c r="H60" s="459">
        <v>0</v>
      </c>
      <c r="I60" s="446">
        <v>0</v>
      </c>
      <c r="J60" s="446">
        <v>0</v>
      </c>
      <c r="K60" s="459">
        <v>0</v>
      </c>
      <c r="L60" s="459">
        <v>0</v>
      </c>
      <c r="M60" s="459">
        <v>0</v>
      </c>
      <c r="N60" s="446">
        <v>0</v>
      </c>
      <c r="O60" s="446">
        <v>0</v>
      </c>
      <c r="P60" s="459">
        <v>0</v>
      </c>
      <c r="Q60" s="446">
        <v>0</v>
      </c>
      <c r="R60" s="445">
        <v>0</v>
      </c>
      <c r="S60" s="445">
        <v>0</v>
      </c>
      <c r="T60" s="356">
        <v>0</v>
      </c>
      <c r="U60" s="356">
        <v>0</v>
      </c>
      <c r="V60" s="356">
        <v>0</v>
      </c>
      <c r="W60" s="357">
        <v>0</v>
      </c>
      <c r="X60" s="356">
        <v>0</v>
      </c>
      <c r="Y60" s="356">
        <v>0</v>
      </c>
      <c r="Z60" s="356">
        <v>0</v>
      </c>
      <c r="AA60" s="357">
        <v>0</v>
      </c>
      <c r="AB60" s="514"/>
      <c r="AC60" s="515"/>
    </row>
    <row r="61" spans="1:29">
      <c r="A61" s="523"/>
      <c r="B61" s="444" t="s">
        <v>204</v>
      </c>
      <c r="C61" s="460">
        <v>0</v>
      </c>
      <c r="D61" s="461">
        <v>0</v>
      </c>
      <c r="E61" s="461">
        <v>0</v>
      </c>
      <c r="F61" s="461">
        <v>0</v>
      </c>
      <c r="G61" s="461">
        <v>0</v>
      </c>
      <c r="H61" s="461">
        <v>0</v>
      </c>
      <c r="I61" s="460">
        <v>0</v>
      </c>
      <c r="J61" s="460">
        <v>0</v>
      </c>
      <c r="K61" s="461">
        <v>0</v>
      </c>
      <c r="L61" s="461">
        <v>0</v>
      </c>
      <c r="M61" s="461">
        <v>0</v>
      </c>
      <c r="N61" s="460">
        <v>0</v>
      </c>
      <c r="O61" s="460">
        <v>0</v>
      </c>
      <c r="P61" s="461">
        <v>0</v>
      </c>
      <c r="Q61" s="460">
        <v>0</v>
      </c>
      <c r="R61" s="460">
        <v>0</v>
      </c>
      <c r="S61" s="460">
        <v>0</v>
      </c>
      <c r="T61" s="358">
        <v>0</v>
      </c>
      <c r="U61" s="358">
        <v>0</v>
      </c>
      <c r="V61" s="358">
        <v>0</v>
      </c>
      <c r="W61" s="359">
        <v>0</v>
      </c>
      <c r="X61" s="358">
        <v>0</v>
      </c>
      <c r="Y61" s="358">
        <v>0</v>
      </c>
      <c r="Z61" s="358">
        <v>0</v>
      </c>
      <c r="AA61" s="359">
        <v>0</v>
      </c>
      <c r="AB61" s="514"/>
      <c r="AC61" s="515"/>
    </row>
    <row r="62" spans="1:29" s="1" customFormat="1">
      <c r="A62" s="467" t="s">
        <v>231</v>
      </c>
      <c r="B62" s="362" t="s">
        <v>10</v>
      </c>
      <c r="C62" s="366">
        <v>0</v>
      </c>
      <c r="D62" s="367">
        <v>0</v>
      </c>
      <c r="E62" s="367">
        <v>0</v>
      </c>
      <c r="F62" s="367">
        <v>0</v>
      </c>
      <c r="G62" s="367">
        <v>0</v>
      </c>
      <c r="H62" s="367">
        <v>0</v>
      </c>
      <c r="I62" s="366">
        <v>0</v>
      </c>
      <c r="J62" s="366">
        <v>0</v>
      </c>
      <c r="K62" s="367">
        <v>912113</v>
      </c>
      <c r="L62" s="367">
        <v>939394</v>
      </c>
      <c r="M62" s="367">
        <v>108435</v>
      </c>
      <c r="N62" s="366">
        <v>1959942</v>
      </c>
      <c r="O62" s="366">
        <v>0</v>
      </c>
      <c r="P62" s="367">
        <v>0</v>
      </c>
      <c r="Q62" s="366">
        <v>0</v>
      </c>
      <c r="R62" s="366">
        <v>0</v>
      </c>
      <c r="S62" s="366">
        <v>0</v>
      </c>
      <c r="T62" s="350">
        <v>0</v>
      </c>
      <c r="U62" s="350">
        <v>0</v>
      </c>
      <c r="V62" s="350">
        <v>0</v>
      </c>
      <c r="W62" s="351">
        <v>0</v>
      </c>
      <c r="X62" s="350">
        <v>0</v>
      </c>
      <c r="Y62" s="350">
        <v>0</v>
      </c>
      <c r="Z62" s="350">
        <v>0</v>
      </c>
      <c r="AA62" s="351">
        <v>0</v>
      </c>
      <c r="AB62" s="512"/>
      <c r="AC62" s="513"/>
    </row>
    <row r="63" spans="1:29">
      <c r="A63" s="468"/>
      <c r="B63" s="447" t="s">
        <v>14</v>
      </c>
      <c r="C63" s="368">
        <v>0</v>
      </c>
      <c r="D63" s="106">
        <v>0</v>
      </c>
      <c r="E63" s="106">
        <v>0</v>
      </c>
      <c r="F63" s="106">
        <v>0</v>
      </c>
      <c r="G63" s="106">
        <v>0</v>
      </c>
      <c r="H63" s="106">
        <v>0</v>
      </c>
      <c r="I63" s="368">
        <v>0</v>
      </c>
      <c r="J63" s="368">
        <v>0</v>
      </c>
      <c r="K63" s="106">
        <v>23237</v>
      </c>
      <c r="L63" s="106">
        <v>20663</v>
      </c>
      <c r="M63" s="106">
        <v>2312</v>
      </c>
      <c r="N63" s="368">
        <v>46212</v>
      </c>
      <c r="O63" s="368">
        <v>0</v>
      </c>
      <c r="P63" s="106">
        <v>0</v>
      </c>
      <c r="Q63" s="368">
        <v>0</v>
      </c>
      <c r="R63" s="368">
        <v>0</v>
      </c>
      <c r="S63" s="368">
        <v>0</v>
      </c>
      <c r="T63" s="352">
        <v>0</v>
      </c>
      <c r="U63" s="352">
        <v>0</v>
      </c>
      <c r="V63" s="352">
        <v>0</v>
      </c>
      <c r="W63" s="353">
        <v>0</v>
      </c>
      <c r="X63" s="352">
        <v>0</v>
      </c>
      <c r="Y63" s="352">
        <v>0</v>
      </c>
      <c r="Z63" s="352">
        <v>0</v>
      </c>
      <c r="AA63" s="353">
        <v>0</v>
      </c>
      <c r="AB63" s="514"/>
      <c r="AC63" s="515"/>
    </row>
    <row r="64" spans="1:29" s="1" customFormat="1">
      <c r="A64" s="468"/>
      <c r="B64" s="446" t="s">
        <v>16</v>
      </c>
      <c r="C64" s="446">
        <v>0</v>
      </c>
      <c r="D64" s="459">
        <v>0</v>
      </c>
      <c r="E64" s="459">
        <v>0</v>
      </c>
      <c r="F64" s="459">
        <v>0</v>
      </c>
      <c r="G64" s="459">
        <v>0</v>
      </c>
      <c r="H64" s="459">
        <v>0</v>
      </c>
      <c r="I64" s="446">
        <v>0</v>
      </c>
      <c r="J64" s="446">
        <v>0</v>
      </c>
      <c r="K64" s="459">
        <v>2.5476010099625815E-2</v>
      </c>
      <c r="L64" s="459">
        <v>2.1996095355090624E-2</v>
      </c>
      <c r="M64" s="459">
        <v>2.13215290266058E-2</v>
      </c>
      <c r="N64" s="446">
        <v>2.357824874409549E-2</v>
      </c>
      <c r="O64" s="446">
        <v>0</v>
      </c>
      <c r="P64" s="459">
        <v>0</v>
      </c>
      <c r="Q64" s="446">
        <v>0</v>
      </c>
      <c r="R64" s="446">
        <v>0</v>
      </c>
      <c r="S64" s="446">
        <v>0</v>
      </c>
      <c r="T64" s="354">
        <v>0</v>
      </c>
      <c r="U64" s="354">
        <v>0</v>
      </c>
      <c r="V64" s="354">
        <v>0</v>
      </c>
      <c r="W64" s="355">
        <v>0</v>
      </c>
      <c r="X64" s="354">
        <v>0</v>
      </c>
      <c r="Y64" s="354">
        <v>0</v>
      </c>
      <c r="Z64" s="354">
        <v>0</v>
      </c>
      <c r="AA64" s="355">
        <v>0</v>
      </c>
      <c r="AB64" s="514"/>
      <c r="AC64" s="515"/>
    </row>
    <row r="65" spans="1:29">
      <c r="A65" s="468"/>
      <c r="B65" s="447" t="s">
        <v>11</v>
      </c>
      <c r="C65" s="368">
        <v>0</v>
      </c>
      <c r="D65" s="106">
        <v>0</v>
      </c>
      <c r="E65" s="106">
        <v>0</v>
      </c>
      <c r="F65" s="106">
        <v>0</v>
      </c>
      <c r="G65" s="106">
        <v>0</v>
      </c>
      <c r="H65" s="106">
        <v>0</v>
      </c>
      <c r="I65" s="368">
        <v>0</v>
      </c>
      <c r="J65" s="368">
        <v>0</v>
      </c>
      <c r="K65" s="106">
        <v>899728</v>
      </c>
      <c r="L65" s="106">
        <v>936959</v>
      </c>
      <c r="M65" s="106">
        <v>107750</v>
      </c>
      <c r="N65" s="368">
        <v>1944437</v>
      </c>
      <c r="O65" s="368">
        <v>0</v>
      </c>
      <c r="P65" s="106">
        <v>0</v>
      </c>
      <c r="Q65" s="368">
        <v>0</v>
      </c>
      <c r="R65" s="368">
        <v>0</v>
      </c>
      <c r="S65" s="368">
        <v>0</v>
      </c>
      <c r="T65" s="352">
        <v>0</v>
      </c>
      <c r="U65" s="352">
        <v>0</v>
      </c>
      <c r="V65" s="352">
        <v>0</v>
      </c>
      <c r="W65" s="353">
        <v>0</v>
      </c>
      <c r="X65" s="352">
        <v>0</v>
      </c>
      <c r="Y65" s="352">
        <v>0</v>
      </c>
      <c r="Z65" s="352">
        <v>0</v>
      </c>
      <c r="AA65" s="353">
        <v>0</v>
      </c>
      <c r="AB65" s="514"/>
      <c r="AC65" s="515"/>
    </row>
    <row r="66" spans="1:29" s="1" customFormat="1">
      <c r="A66" s="468"/>
      <c r="B66" s="447" t="s">
        <v>15</v>
      </c>
      <c r="C66" s="368">
        <v>0</v>
      </c>
      <c r="D66" s="106">
        <v>0</v>
      </c>
      <c r="E66" s="106">
        <v>0</v>
      </c>
      <c r="F66" s="106">
        <v>0</v>
      </c>
      <c r="G66" s="106">
        <v>0</v>
      </c>
      <c r="H66" s="106">
        <v>0</v>
      </c>
      <c r="I66" s="368">
        <v>0</v>
      </c>
      <c r="J66" s="368">
        <v>0</v>
      </c>
      <c r="K66" s="106">
        <v>27927</v>
      </c>
      <c r="L66" s="106">
        <v>28817</v>
      </c>
      <c r="M66" s="106">
        <v>3372</v>
      </c>
      <c r="N66" s="368">
        <v>60116</v>
      </c>
      <c r="O66" s="368">
        <v>0</v>
      </c>
      <c r="P66" s="106">
        <v>0</v>
      </c>
      <c r="Q66" s="368">
        <v>0</v>
      </c>
      <c r="R66" s="368">
        <v>0</v>
      </c>
      <c r="S66" s="368">
        <v>0</v>
      </c>
      <c r="T66" s="352">
        <v>0</v>
      </c>
      <c r="U66" s="352">
        <v>0</v>
      </c>
      <c r="V66" s="352">
        <v>0</v>
      </c>
      <c r="W66" s="353">
        <v>0</v>
      </c>
      <c r="X66" s="352">
        <v>0</v>
      </c>
      <c r="Y66" s="352">
        <v>0</v>
      </c>
      <c r="Z66" s="352">
        <v>0</v>
      </c>
      <c r="AA66" s="353">
        <v>0</v>
      </c>
      <c r="AB66" s="514"/>
      <c r="AC66" s="515"/>
    </row>
    <row r="67" spans="1:29">
      <c r="A67" s="468"/>
      <c r="B67" s="445" t="s">
        <v>17</v>
      </c>
      <c r="C67" s="446">
        <v>0</v>
      </c>
      <c r="D67" s="459">
        <v>0</v>
      </c>
      <c r="E67" s="459">
        <v>0</v>
      </c>
      <c r="F67" s="459">
        <v>0</v>
      </c>
      <c r="G67" s="459">
        <v>0</v>
      </c>
      <c r="H67" s="459">
        <v>0</v>
      </c>
      <c r="I67" s="446">
        <v>0</v>
      </c>
      <c r="J67" s="446">
        <v>0</v>
      </c>
      <c r="K67" s="459">
        <v>3.1039380790638949E-2</v>
      </c>
      <c r="L67" s="459">
        <v>3.0755881527366725E-2</v>
      </c>
      <c r="M67" s="459">
        <v>3.129466357308585E-2</v>
      </c>
      <c r="N67" s="446">
        <v>3.091691836763032E-2</v>
      </c>
      <c r="O67" s="446">
        <v>0</v>
      </c>
      <c r="P67" s="459">
        <v>0</v>
      </c>
      <c r="Q67" s="446">
        <v>0</v>
      </c>
      <c r="R67" s="445">
        <v>0</v>
      </c>
      <c r="S67" s="445">
        <v>0</v>
      </c>
      <c r="T67" s="356">
        <v>0</v>
      </c>
      <c r="U67" s="356">
        <v>0</v>
      </c>
      <c r="V67" s="356">
        <v>0</v>
      </c>
      <c r="W67" s="357">
        <v>0</v>
      </c>
      <c r="X67" s="356">
        <v>0</v>
      </c>
      <c r="Y67" s="356">
        <v>0</v>
      </c>
      <c r="Z67" s="356">
        <v>0</v>
      </c>
      <c r="AA67" s="357">
        <v>0</v>
      </c>
      <c r="AB67" s="514"/>
      <c r="AC67" s="515"/>
    </row>
    <row r="68" spans="1:29" s="1" customFormat="1">
      <c r="A68" s="468"/>
      <c r="B68" s="444" t="s">
        <v>204</v>
      </c>
      <c r="C68" s="460">
        <v>0</v>
      </c>
      <c r="D68" s="461">
        <v>0</v>
      </c>
      <c r="E68" s="461">
        <v>0</v>
      </c>
      <c r="F68" s="461">
        <v>0</v>
      </c>
      <c r="G68" s="461">
        <v>0</v>
      </c>
      <c r="H68" s="461">
        <v>0</v>
      </c>
      <c r="I68" s="460">
        <v>0</v>
      </c>
      <c r="J68" s="460">
        <v>0</v>
      </c>
      <c r="K68" s="461">
        <v>5.5633706910131336E-3</v>
      </c>
      <c r="L68" s="461">
        <v>8.7597861722761017E-3</v>
      </c>
      <c r="M68" s="461">
        <v>9.9731345464800503E-3</v>
      </c>
      <c r="N68" s="460">
        <v>7.3386696235348305E-3</v>
      </c>
      <c r="O68" s="460">
        <v>0</v>
      </c>
      <c r="P68" s="461">
        <v>0</v>
      </c>
      <c r="Q68" s="460">
        <v>0</v>
      </c>
      <c r="R68" s="460">
        <v>0</v>
      </c>
      <c r="S68" s="460">
        <v>0</v>
      </c>
      <c r="T68" s="358">
        <v>0</v>
      </c>
      <c r="U68" s="358">
        <v>0</v>
      </c>
      <c r="V68" s="358">
        <v>0</v>
      </c>
      <c r="W68" s="359">
        <v>0</v>
      </c>
      <c r="X68" s="358">
        <v>0</v>
      </c>
      <c r="Y68" s="358">
        <v>0</v>
      </c>
      <c r="Z68" s="358">
        <v>0</v>
      </c>
      <c r="AA68" s="359">
        <v>0</v>
      </c>
      <c r="AB68" s="514"/>
      <c r="AC68" s="515"/>
    </row>
    <row r="69" spans="1:29">
      <c r="A69" s="467" t="s">
        <v>229</v>
      </c>
      <c r="B69" s="362" t="s">
        <v>10</v>
      </c>
      <c r="C69" s="366">
        <v>2219355</v>
      </c>
      <c r="D69" s="367">
        <v>596907</v>
      </c>
      <c r="E69" s="367">
        <v>1544622</v>
      </c>
      <c r="F69" s="367">
        <v>148585</v>
      </c>
      <c r="G69" s="367">
        <v>286985</v>
      </c>
      <c r="H69" s="367">
        <v>161758</v>
      </c>
      <c r="I69" s="366">
        <v>4958212</v>
      </c>
      <c r="J69" s="366">
        <v>0</v>
      </c>
      <c r="K69" s="367">
        <v>2279990</v>
      </c>
      <c r="L69" s="367">
        <v>1786227</v>
      </c>
      <c r="M69" s="367">
        <v>700563</v>
      </c>
      <c r="N69" s="366">
        <v>4766780</v>
      </c>
      <c r="O69" s="366">
        <v>0</v>
      </c>
      <c r="P69" s="367">
        <v>0</v>
      </c>
      <c r="Q69" s="366">
        <v>0</v>
      </c>
      <c r="R69" s="366">
        <v>0</v>
      </c>
      <c r="S69" s="366">
        <v>0</v>
      </c>
      <c r="T69" s="350">
        <v>0</v>
      </c>
      <c r="U69" s="350">
        <v>0</v>
      </c>
      <c r="V69" s="350">
        <v>0</v>
      </c>
      <c r="W69" s="351">
        <v>0</v>
      </c>
      <c r="X69" s="350">
        <v>0</v>
      </c>
      <c r="Y69" s="350">
        <v>0</v>
      </c>
      <c r="Z69" s="350">
        <v>0</v>
      </c>
      <c r="AA69" s="351">
        <v>0</v>
      </c>
      <c r="AB69" s="512"/>
      <c r="AC69" s="513"/>
    </row>
    <row r="70" spans="1:29" s="1" customFormat="1">
      <c r="A70" s="468"/>
      <c r="B70" s="447" t="s">
        <v>14</v>
      </c>
      <c r="C70" s="368">
        <v>2576</v>
      </c>
      <c r="D70" s="106">
        <v>2646</v>
      </c>
      <c r="E70" s="106">
        <v>6110</v>
      </c>
      <c r="F70" s="106">
        <v>4699</v>
      </c>
      <c r="G70" s="106">
        <v>0</v>
      </c>
      <c r="H70" s="106">
        <v>0</v>
      </c>
      <c r="I70" s="368">
        <v>16031</v>
      </c>
      <c r="J70" s="368">
        <v>0</v>
      </c>
      <c r="K70" s="106">
        <v>56270</v>
      </c>
      <c r="L70" s="106">
        <v>154643</v>
      </c>
      <c r="M70" s="106">
        <v>95702</v>
      </c>
      <c r="N70" s="368">
        <v>306615</v>
      </c>
      <c r="O70" s="368">
        <v>0</v>
      </c>
      <c r="P70" s="106">
        <v>0</v>
      </c>
      <c r="Q70" s="368">
        <v>0</v>
      </c>
      <c r="R70" s="368">
        <v>0</v>
      </c>
      <c r="S70" s="368">
        <v>0</v>
      </c>
      <c r="T70" s="352">
        <v>0</v>
      </c>
      <c r="U70" s="352">
        <v>0</v>
      </c>
      <c r="V70" s="352">
        <v>0</v>
      </c>
      <c r="W70" s="353">
        <v>0</v>
      </c>
      <c r="X70" s="352">
        <v>0</v>
      </c>
      <c r="Y70" s="352">
        <v>0</v>
      </c>
      <c r="Z70" s="352">
        <v>0</v>
      </c>
      <c r="AA70" s="353">
        <v>0</v>
      </c>
      <c r="AB70" s="514"/>
      <c r="AC70" s="515"/>
    </row>
    <row r="71" spans="1:29">
      <c r="A71" s="468"/>
      <c r="B71" s="446" t="s">
        <v>16</v>
      </c>
      <c r="C71" s="446">
        <v>1.1606975900655821E-3</v>
      </c>
      <c r="D71" s="459">
        <v>4.4328513487025614E-3</v>
      </c>
      <c r="E71" s="459">
        <v>3.9556603492634443E-3</v>
      </c>
      <c r="F71" s="459">
        <v>3.1624995793653465E-2</v>
      </c>
      <c r="G71" s="459">
        <v>0</v>
      </c>
      <c r="H71" s="459">
        <v>0</v>
      </c>
      <c r="I71" s="446">
        <v>3.2332219759865048E-3</v>
      </c>
      <c r="J71" s="446">
        <v>0</v>
      </c>
      <c r="K71" s="459">
        <v>2.4679932806722836E-2</v>
      </c>
      <c r="L71" s="469">
        <v>8.6575222522109446E-2</v>
      </c>
      <c r="M71" s="469">
        <v>0.13660727158014341</v>
      </c>
      <c r="N71" s="446">
        <v>6.4323295809749978E-2</v>
      </c>
      <c r="O71" s="446">
        <v>0</v>
      </c>
      <c r="P71" s="459">
        <v>0</v>
      </c>
      <c r="Q71" s="446">
        <v>0</v>
      </c>
      <c r="R71" s="446">
        <v>0</v>
      </c>
      <c r="S71" s="446">
        <v>0</v>
      </c>
      <c r="T71" s="354">
        <v>0</v>
      </c>
      <c r="U71" s="354">
        <v>0</v>
      </c>
      <c r="V71" s="354">
        <v>0</v>
      </c>
      <c r="W71" s="355">
        <v>0</v>
      </c>
      <c r="X71" s="354">
        <v>0</v>
      </c>
      <c r="Y71" s="354">
        <v>0</v>
      </c>
      <c r="Z71" s="354">
        <v>0</v>
      </c>
      <c r="AA71" s="355">
        <v>0</v>
      </c>
      <c r="AB71" s="514"/>
      <c r="AC71" s="515"/>
    </row>
    <row r="72" spans="1:29" s="1" customFormat="1">
      <c r="A72" s="468"/>
      <c r="B72" s="447" t="s">
        <v>11</v>
      </c>
      <c r="C72" s="368">
        <v>2248339</v>
      </c>
      <c r="D72" s="106">
        <v>615334</v>
      </c>
      <c r="E72" s="106">
        <v>1555846</v>
      </c>
      <c r="F72" s="106">
        <v>151383</v>
      </c>
      <c r="G72" s="106">
        <v>281211</v>
      </c>
      <c r="H72" s="106">
        <v>152030</v>
      </c>
      <c r="I72" s="368">
        <v>5004143</v>
      </c>
      <c r="J72" s="368">
        <v>0</v>
      </c>
      <c r="K72" s="106">
        <v>2171350</v>
      </c>
      <c r="L72" s="106">
        <v>1665733</v>
      </c>
      <c r="M72" s="106">
        <v>641975</v>
      </c>
      <c r="N72" s="368">
        <v>4479058</v>
      </c>
      <c r="O72" s="368">
        <v>0</v>
      </c>
      <c r="P72" s="106">
        <v>0</v>
      </c>
      <c r="Q72" s="368">
        <v>0</v>
      </c>
      <c r="R72" s="368">
        <v>0</v>
      </c>
      <c r="S72" s="368">
        <v>0</v>
      </c>
      <c r="T72" s="352">
        <v>0</v>
      </c>
      <c r="U72" s="352">
        <v>0</v>
      </c>
      <c r="V72" s="352">
        <v>0</v>
      </c>
      <c r="W72" s="353">
        <v>0</v>
      </c>
      <c r="X72" s="352">
        <v>0</v>
      </c>
      <c r="Y72" s="352">
        <v>0</v>
      </c>
      <c r="Z72" s="352">
        <v>0</v>
      </c>
      <c r="AA72" s="353">
        <v>0</v>
      </c>
      <c r="AB72" s="514"/>
      <c r="AC72" s="515"/>
    </row>
    <row r="73" spans="1:29">
      <c r="A73" s="468"/>
      <c r="B73" s="447" t="s">
        <v>15</v>
      </c>
      <c r="C73" s="368">
        <v>5280</v>
      </c>
      <c r="D73" s="106">
        <v>6035</v>
      </c>
      <c r="E73" s="106">
        <v>6121</v>
      </c>
      <c r="F73" s="106">
        <v>2693</v>
      </c>
      <c r="G73" s="106">
        <v>0</v>
      </c>
      <c r="H73" s="106">
        <v>0</v>
      </c>
      <c r="I73" s="368">
        <v>20129</v>
      </c>
      <c r="J73" s="368">
        <v>0</v>
      </c>
      <c r="K73" s="106">
        <v>62234</v>
      </c>
      <c r="L73" s="106">
        <v>174818</v>
      </c>
      <c r="M73" s="106">
        <v>107051</v>
      </c>
      <c r="N73" s="368">
        <v>344103</v>
      </c>
      <c r="O73" s="368">
        <v>0</v>
      </c>
      <c r="P73" s="106">
        <v>0</v>
      </c>
      <c r="Q73" s="368">
        <v>0</v>
      </c>
      <c r="R73" s="368">
        <v>0</v>
      </c>
      <c r="S73" s="368">
        <v>0</v>
      </c>
      <c r="T73" s="352">
        <v>0</v>
      </c>
      <c r="U73" s="352">
        <v>0</v>
      </c>
      <c r="V73" s="352">
        <v>0</v>
      </c>
      <c r="W73" s="353">
        <v>0</v>
      </c>
      <c r="X73" s="352">
        <v>0</v>
      </c>
      <c r="Y73" s="352">
        <v>0</v>
      </c>
      <c r="Z73" s="352">
        <v>0</v>
      </c>
      <c r="AA73" s="353">
        <v>0</v>
      </c>
      <c r="AB73" s="514"/>
      <c r="AC73" s="515"/>
    </row>
    <row r="74" spans="1:29" s="1" customFormat="1">
      <c r="A74" s="468"/>
      <c r="B74" s="445" t="s">
        <v>17</v>
      </c>
      <c r="C74" s="446">
        <v>2.3484003079606765E-3</v>
      </c>
      <c r="D74" s="459">
        <v>9.8076816818183296E-3</v>
      </c>
      <c r="E74" s="459">
        <v>3.9341940012057753E-3</v>
      </c>
      <c r="F74" s="459">
        <v>1.778931584127676E-2</v>
      </c>
      <c r="G74" s="459">
        <v>0</v>
      </c>
      <c r="H74" s="459">
        <v>0</v>
      </c>
      <c r="I74" s="446">
        <v>4.022466983857176E-3</v>
      </c>
      <c r="J74" s="446">
        <v>0</v>
      </c>
      <c r="K74" s="459">
        <v>2.8661431828125361E-2</v>
      </c>
      <c r="L74" s="469">
        <v>0.10494959276186519</v>
      </c>
      <c r="M74" s="469">
        <v>0.16675259940028817</v>
      </c>
      <c r="N74" s="446">
        <v>7.6824859155652819E-2</v>
      </c>
      <c r="O74" s="446">
        <v>0</v>
      </c>
      <c r="P74" s="459">
        <v>0</v>
      </c>
      <c r="Q74" s="446">
        <v>0</v>
      </c>
      <c r="R74" s="445">
        <v>0</v>
      </c>
      <c r="S74" s="445">
        <v>0</v>
      </c>
      <c r="T74" s="356">
        <v>0</v>
      </c>
      <c r="U74" s="356">
        <v>0</v>
      </c>
      <c r="V74" s="356">
        <v>0</v>
      </c>
      <c r="W74" s="357">
        <v>0</v>
      </c>
      <c r="X74" s="356">
        <v>0</v>
      </c>
      <c r="Y74" s="356">
        <v>0</v>
      </c>
      <c r="Z74" s="356">
        <v>0</v>
      </c>
      <c r="AA74" s="357">
        <v>0</v>
      </c>
      <c r="AB74" s="514"/>
      <c r="AC74" s="515"/>
    </row>
    <row r="75" spans="1:29">
      <c r="A75" s="468"/>
      <c r="B75" s="444" t="s">
        <v>204</v>
      </c>
      <c r="C75" s="460">
        <v>1.1877027178950944E-3</v>
      </c>
      <c r="D75" s="461">
        <v>5.3748303331157682E-3</v>
      </c>
      <c r="E75" s="461">
        <v>-2.1466348057668991E-5</v>
      </c>
      <c r="F75" s="463">
        <v>-1.3835679952376705E-2</v>
      </c>
      <c r="G75" s="461">
        <v>0</v>
      </c>
      <c r="H75" s="461">
        <v>0</v>
      </c>
      <c r="I75" s="460">
        <v>7.8924500787067118E-4</v>
      </c>
      <c r="J75" s="460">
        <v>0</v>
      </c>
      <c r="K75" s="461">
        <v>3.981499021402525E-3</v>
      </c>
      <c r="L75" s="463">
        <v>1.8374370239755744E-2</v>
      </c>
      <c r="M75" s="463">
        <v>3.0145327820144757E-2</v>
      </c>
      <c r="N75" s="460">
        <v>1.2501563345902841E-2</v>
      </c>
      <c r="O75" s="460">
        <v>0</v>
      </c>
      <c r="P75" s="461">
        <v>0</v>
      </c>
      <c r="Q75" s="460">
        <v>0</v>
      </c>
      <c r="R75" s="460">
        <v>0</v>
      </c>
      <c r="S75" s="460">
        <v>0</v>
      </c>
      <c r="T75" s="358">
        <v>0</v>
      </c>
      <c r="U75" s="358">
        <v>0</v>
      </c>
      <c r="V75" s="358">
        <v>0</v>
      </c>
      <c r="W75" s="359">
        <v>0</v>
      </c>
      <c r="X75" s="358">
        <v>0</v>
      </c>
      <c r="Y75" s="358">
        <v>0</v>
      </c>
      <c r="Z75" s="358">
        <v>0</v>
      </c>
      <c r="AA75" s="359">
        <v>0</v>
      </c>
      <c r="AB75" s="514"/>
      <c r="AC75" s="515"/>
    </row>
    <row r="76" spans="1:29" s="1" customFormat="1">
      <c r="A76" s="467" t="s">
        <v>233</v>
      </c>
      <c r="B76" s="362" t="s">
        <v>10</v>
      </c>
      <c r="C76" s="366">
        <v>0</v>
      </c>
      <c r="D76" s="367">
        <v>0</v>
      </c>
      <c r="E76" s="367">
        <v>0</v>
      </c>
      <c r="F76" s="367">
        <v>0</v>
      </c>
      <c r="G76" s="367">
        <v>0</v>
      </c>
      <c r="H76" s="367">
        <v>0</v>
      </c>
      <c r="I76" s="366">
        <v>0</v>
      </c>
      <c r="J76" s="366">
        <v>0</v>
      </c>
      <c r="K76" s="367">
        <v>0</v>
      </c>
      <c r="L76" s="367">
        <v>0</v>
      </c>
      <c r="M76" s="367">
        <v>0</v>
      </c>
      <c r="N76" s="366">
        <v>0</v>
      </c>
      <c r="O76" s="366">
        <v>0</v>
      </c>
      <c r="P76" s="367">
        <v>0</v>
      </c>
      <c r="Q76" s="366">
        <v>0</v>
      </c>
      <c r="R76" s="366">
        <v>0</v>
      </c>
      <c r="S76" s="366">
        <v>0</v>
      </c>
      <c r="T76" s="350">
        <v>0</v>
      </c>
      <c r="U76" s="350">
        <v>0</v>
      </c>
      <c r="V76" s="350">
        <v>0</v>
      </c>
      <c r="W76" s="351">
        <v>0</v>
      </c>
      <c r="X76" s="350">
        <v>0</v>
      </c>
      <c r="Y76" s="350">
        <v>0</v>
      </c>
      <c r="Z76" s="350">
        <v>0</v>
      </c>
      <c r="AA76" s="351">
        <v>0</v>
      </c>
      <c r="AB76" s="512"/>
      <c r="AC76" s="513"/>
    </row>
    <row r="77" spans="1:29">
      <c r="A77" s="468"/>
      <c r="B77" s="447" t="s">
        <v>14</v>
      </c>
      <c r="C77" s="368">
        <v>0</v>
      </c>
      <c r="D77" s="106">
        <v>0</v>
      </c>
      <c r="E77" s="106">
        <v>0</v>
      </c>
      <c r="F77" s="106">
        <v>0</v>
      </c>
      <c r="G77" s="106">
        <v>0</v>
      </c>
      <c r="H77" s="106">
        <v>0</v>
      </c>
      <c r="I77" s="368">
        <v>0</v>
      </c>
      <c r="J77" s="368">
        <v>0</v>
      </c>
      <c r="K77" s="106">
        <v>0</v>
      </c>
      <c r="L77" s="106">
        <v>0</v>
      </c>
      <c r="M77" s="106">
        <v>0</v>
      </c>
      <c r="N77" s="368">
        <v>0</v>
      </c>
      <c r="O77" s="368">
        <v>0</v>
      </c>
      <c r="P77" s="106">
        <v>0</v>
      </c>
      <c r="Q77" s="368">
        <v>0</v>
      </c>
      <c r="R77" s="368">
        <v>0</v>
      </c>
      <c r="S77" s="368">
        <v>0</v>
      </c>
      <c r="T77" s="352">
        <v>0</v>
      </c>
      <c r="U77" s="352">
        <v>0</v>
      </c>
      <c r="V77" s="352">
        <v>0</v>
      </c>
      <c r="W77" s="353">
        <v>0</v>
      </c>
      <c r="X77" s="352">
        <v>0</v>
      </c>
      <c r="Y77" s="352">
        <v>0</v>
      </c>
      <c r="Z77" s="352">
        <v>0</v>
      </c>
      <c r="AA77" s="353">
        <v>0</v>
      </c>
      <c r="AB77" s="514"/>
      <c r="AC77" s="515"/>
    </row>
    <row r="78" spans="1:29" s="1" customFormat="1">
      <c r="A78" s="468"/>
      <c r="B78" s="446" t="s">
        <v>16</v>
      </c>
      <c r="C78" s="446">
        <v>0</v>
      </c>
      <c r="D78" s="459">
        <v>0</v>
      </c>
      <c r="E78" s="459">
        <v>0</v>
      </c>
      <c r="F78" s="459">
        <v>0</v>
      </c>
      <c r="G78" s="459">
        <v>0</v>
      </c>
      <c r="H78" s="459">
        <v>0</v>
      </c>
      <c r="I78" s="446">
        <v>0</v>
      </c>
      <c r="J78" s="446">
        <v>0</v>
      </c>
      <c r="K78" s="459">
        <v>0</v>
      </c>
      <c r="L78" s="459">
        <v>0</v>
      </c>
      <c r="M78" s="459">
        <v>0</v>
      </c>
      <c r="N78" s="446">
        <v>0</v>
      </c>
      <c r="O78" s="446">
        <v>0</v>
      </c>
      <c r="P78" s="459">
        <v>0</v>
      </c>
      <c r="Q78" s="446">
        <v>0</v>
      </c>
      <c r="R78" s="446">
        <v>0</v>
      </c>
      <c r="S78" s="446">
        <v>0</v>
      </c>
      <c r="T78" s="354">
        <v>0</v>
      </c>
      <c r="U78" s="354">
        <v>0</v>
      </c>
      <c r="V78" s="354">
        <v>0</v>
      </c>
      <c r="W78" s="355">
        <v>0</v>
      </c>
      <c r="X78" s="354">
        <v>0</v>
      </c>
      <c r="Y78" s="354">
        <v>0</v>
      </c>
      <c r="Z78" s="354">
        <v>0</v>
      </c>
      <c r="AA78" s="355">
        <v>0</v>
      </c>
      <c r="AB78" s="514"/>
      <c r="AC78" s="515"/>
    </row>
    <row r="79" spans="1:29">
      <c r="A79" s="468"/>
      <c r="B79" s="447" t="s">
        <v>11</v>
      </c>
      <c r="C79" s="368">
        <v>0</v>
      </c>
      <c r="D79" s="106">
        <v>0</v>
      </c>
      <c r="E79" s="106">
        <v>0</v>
      </c>
      <c r="F79" s="106">
        <v>0</v>
      </c>
      <c r="G79" s="106">
        <v>0</v>
      </c>
      <c r="H79" s="106">
        <v>0</v>
      </c>
      <c r="I79" s="368">
        <v>0</v>
      </c>
      <c r="J79" s="368">
        <v>0</v>
      </c>
      <c r="K79" s="106">
        <v>0</v>
      </c>
      <c r="L79" s="106">
        <v>0</v>
      </c>
      <c r="M79" s="106">
        <v>0</v>
      </c>
      <c r="N79" s="368">
        <v>0</v>
      </c>
      <c r="O79" s="368">
        <v>0</v>
      </c>
      <c r="P79" s="106">
        <v>0</v>
      </c>
      <c r="Q79" s="368">
        <v>0</v>
      </c>
      <c r="R79" s="368">
        <v>0</v>
      </c>
      <c r="S79" s="368">
        <v>0</v>
      </c>
      <c r="T79" s="352">
        <v>0</v>
      </c>
      <c r="U79" s="352">
        <v>0</v>
      </c>
      <c r="V79" s="352">
        <v>0</v>
      </c>
      <c r="W79" s="353">
        <v>0</v>
      </c>
      <c r="X79" s="352">
        <v>0</v>
      </c>
      <c r="Y79" s="352">
        <v>0</v>
      </c>
      <c r="Z79" s="352">
        <v>0</v>
      </c>
      <c r="AA79" s="353">
        <v>0</v>
      </c>
      <c r="AB79" s="514"/>
      <c r="AC79" s="515"/>
    </row>
    <row r="80" spans="1:29" s="1" customFormat="1">
      <c r="A80" s="468"/>
      <c r="B80" s="447" t="s">
        <v>15</v>
      </c>
      <c r="C80" s="368">
        <v>0</v>
      </c>
      <c r="D80" s="106">
        <v>0</v>
      </c>
      <c r="E80" s="106">
        <v>0</v>
      </c>
      <c r="F80" s="106">
        <v>0</v>
      </c>
      <c r="G80" s="106">
        <v>0</v>
      </c>
      <c r="H80" s="106">
        <v>0</v>
      </c>
      <c r="I80" s="368">
        <v>0</v>
      </c>
      <c r="J80" s="368">
        <v>0</v>
      </c>
      <c r="K80" s="106">
        <v>0</v>
      </c>
      <c r="L80" s="106">
        <v>0</v>
      </c>
      <c r="M80" s="106">
        <v>0</v>
      </c>
      <c r="N80" s="368">
        <v>0</v>
      </c>
      <c r="O80" s="368">
        <v>0</v>
      </c>
      <c r="P80" s="106">
        <v>0</v>
      </c>
      <c r="Q80" s="368">
        <v>0</v>
      </c>
      <c r="R80" s="368">
        <v>0</v>
      </c>
      <c r="S80" s="368">
        <v>0</v>
      </c>
      <c r="T80" s="352">
        <v>0</v>
      </c>
      <c r="U80" s="352">
        <v>0</v>
      </c>
      <c r="V80" s="352">
        <v>0</v>
      </c>
      <c r="W80" s="353">
        <v>0</v>
      </c>
      <c r="X80" s="352">
        <v>0</v>
      </c>
      <c r="Y80" s="352">
        <v>0</v>
      </c>
      <c r="Z80" s="352">
        <v>0</v>
      </c>
      <c r="AA80" s="353">
        <v>0</v>
      </c>
      <c r="AB80" s="514"/>
      <c r="AC80" s="515"/>
    </row>
    <row r="81" spans="1:29">
      <c r="A81" s="468"/>
      <c r="B81" s="445" t="s">
        <v>17</v>
      </c>
      <c r="C81" s="446">
        <v>0</v>
      </c>
      <c r="D81" s="459">
        <v>0</v>
      </c>
      <c r="E81" s="459">
        <v>0</v>
      </c>
      <c r="F81" s="459">
        <v>0</v>
      </c>
      <c r="G81" s="459">
        <v>0</v>
      </c>
      <c r="H81" s="459">
        <v>0</v>
      </c>
      <c r="I81" s="446">
        <v>0</v>
      </c>
      <c r="J81" s="446">
        <v>0</v>
      </c>
      <c r="K81" s="459">
        <v>0</v>
      </c>
      <c r="L81" s="459">
        <v>0</v>
      </c>
      <c r="M81" s="459">
        <v>0</v>
      </c>
      <c r="N81" s="446">
        <v>0</v>
      </c>
      <c r="O81" s="446">
        <v>0</v>
      </c>
      <c r="P81" s="459">
        <v>0</v>
      </c>
      <c r="Q81" s="446">
        <v>0</v>
      </c>
      <c r="R81" s="445">
        <v>0</v>
      </c>
      <c r="S81" s="445">
        <v>0</v>
      </c>
      <c r="T81" s="356">
        <v>0</v>
      </c>
      <c r="U81" s="356">
        <v>0</v>
      </c>
      <c r="V81" s="356">
        <v>0</v>
      </c>
      <c r="W81" s="357">
        <v>0</v>
      </c>
      <c r="X81" s="356">
        <v>0</v>
      </c>
      <c r="Y81" s="356">
        <v>0</v>
      </c>
      <c r="Z81" s="356">
        <v>0</v>
      </c>
      <c r="AA81" s="357">
        <v>0</v>
      </c>
      <c r="AB81" s="514"/>
      <c r="AC81" s="515"/>
    </row>
    <row r="82" spans="1:29" s="1" customFormat="1">
      <c r="A82" s="468"/>
      <c r="B82" s="444" t="s">
        <v>204</v>
      </c>
      <c r="C82" s="460">
        <v>0</v>
      </c>
      <c r="D82" s="461">
        <v>0</v>
      </c>
      <c r="E82" s="461">
        <v>0</v>
      </c>
      <c r="F82" s="461">
        <v>0</v>
      </c>
      <c r="G82" s="461">
        <v>0</v>
      </c>
      <c r="H82" s="461">
        <v>0</v>
      </c>
      <c r="I82" s="460">
        <v>0</v>
      </c>
      <c r="J82" s="460">
        <v>0</v>
      </c>
      <c r="K82" s="461">
        <v>0</v>
      </c>
      <c r="L82" s="461">
        <v>0</v>
      </c>
      <c r="M82" s="461">
        <v>0</v>
      </c>
      <c r="N82" s="460">
        <v>0</v>
      </c>
      <c r="O82" s="460">
        <v>0</v>
      </c>
      <c r="P82" s="461">
        <v>0</v>
      </c>
      <c r="Q82" s="460">
        <v>0</v>
      </c>
      <c r="R82" s="460">
        <v>0</v>
      </c>
      <c r="S82" s="460">
        <v>0</v>
      </c>
      <c r="T82" s="358">
        <v>0</v>
      </c>
      <c r="U82" s="358">
        <v>0</v>
      </c>
      <c r="V82" s="358">
        <v>0</v>
      </c>
      <c r="W82" s="359">
        <v>0</v>
      </c>
      <c r="X82" s="358">
        <v>0</v>
      </c>
      <c r="Y82" s="358">
        <v>0</v>
      </c>
      <c r="Z82" s="358">
        <v>0</v>
      </c>
      <c r="AA82" s="359">
        <v>0</v>
      </c>
      <c r="AB82" s="514"/>
      <c r="AC82" s="515"/>
    </row>
    <row r="83" spans="1:29">
      <c r="A83" s="467" t="s">
        <v>248</v>
      </c>
      <c r="B83" s="362" t="s">
        <v>10</v>
      </c>
      <c r="C83" s="366">
        <v>1249226</v>
      </c>
      <c r="D83" s="367">
        <v>0</v>
      </c>
      <c r="E83" s="367">
        <v>447871</v>
      </c>
      <c r="F83" s="367">
        <v>0</v>
      </c>
      <c r="G83" s="367">
        <v>97346</v>
      </c>
      <c r="H83" s="367">
        <v>359150</v>
      </c>
      <c r="I83" s="366">
        <v>2153593</v>
      </c>
      <c r="J83" s="366">
        <v>0</v>
      </c>
      <c r="K83" s="367">
        <v>1435858</v>
      </c>
      <c r="L83" s="367">
        <v>454421</v>
      </c>
      <c r="M83" s="367">
        <v>188268</v>
      </c>
      <c r="N83" s="366">
        <v>2078547</v>
      </c>
      <c r="O83" s="366">
        <v>0</v>
      </c>
      <c r="P83" s="367">
        <v>0</v>
      </c>
      <c r="Q83" s="366">
        <v>0</v>
      </c>
      <c r="R83" s="366">
        <v>0</v>
      </c>
      <c r="S83" s="366">
        <v>0</v>
      </c>
      <c r="T83" s="350">
        <v>0</v>
      </c>
      <c r="U83" s="350">
        <v>0</v>
      </c>
      <c r="V83" s="350">
        <v>0</v>
      </c>
      <c r="W83" s="351">
        <v>0</v>
      </c>
      <c r="X83" s="350">
        <v>0</v>
      </c>
      <c r="Y83" s="350">
        <v>0</v>
      </c>
      <c r="Z83" s="350">
        <v>0</v>
      </c>
      <c r="AA83" s="351">
        <v>0</v>
      </c>
      <c r="AB83" s="512"/>
      <c r="AC83" s="513"/>
    </row>
    <row r="84" spans="1:29" s="1" customFormat="1">
      <c r="A84" s="468"/>
      <c r="B84" s="447" t="s">
        <v>14</v>
      </c>
      <c r="C84" s="368">
        <v>615</v>
      </c>
      <c r="D84" s="106">
        <v>0</v>
      </c>
      <c r="E84" s="106">
        <v>1855</v>
      </c>
      <c r="F84" s="106">
        <v>0</v>
      </c>
      <c r="G84" s="106">
        <v>1305</v>
      </c>
      <c r="H84" s="106">
        <v>2976</v>
      </c>
      <c r="I84" s="368">
        <v>6751</v>
      </c>
      <c r="J84" s="368">
        <v>0</v>
      </c>
      <c r="K84" s="106">
        <v>53346</v>
      </c>
      <c r="L84" s="106">
        <v>21491</v>
      </c>
      <c r="M84" s="106">
        <v>13976</v>
      </c>
      <c r="N84" s="368">
        <v>88813</v>
      </c>
      <c r="O84" s="368">
        <v>0</v>
      </c>
      <c r="P84" s="106">
        <v>0</v>
      </c>
      <c r="Q84" s="368">
        <v>0</v>
      </c>
      <c r="R84" s="368">
        <v>0</v>
      </c>
      <c r="S84" s="368">
        <v>0</v>
      </c>
      <c r="T84" s="352">
        <v>0</v>
      </c>
      <c r="U84" s="352">
        <v>0</v>
      </c>
      <c r="V84" s="352">
        <v>0</v>
      </c>
      <c r="W84" s="353">
        <v>0</v>
      </c>
      <c r="X84" s="352">
        <v>0</v>
      </c>
      <c r="Y84" s="352">
        <v>0</v>
      </c>
      <c r="Z84" s="352">
        <v>0</v>
      </c>
      <c r="AA84" s="353">
        <v>0</v>
      </c>
      <c r="AB84" s="514"/>
      <c r="AC84" s="515"/>
    </row>
    <row r="85" spans="1:29">
      <c r="A85" s="468"/>
      <c r="B85" s="446" t="s">
        <v>16</v>
      </c>
      <c r="C85" s="446">
        <v>4.9230483515392729E-4</v>
      </c>
      <c r="D85" s="459">
        <v>0</v>
      </c>
      <c r="E85" s="459">
        <v>4.1418176215919315E-3</v>
      </c>
      <c r="F85" s="459">
        <v>0</v>
      </c>
      <c r="G85" s="469">
        <v>1.3405789657510324E-2</v>
      </c>
      <c r="H85" s="459">
        <v>8.286231379646387E-3</v>
      </c>
      <c r="I85" s="446">
        <v>3.1347613035517855E-3</v>
      </c>
      <c r="J85" s="446">
        <v>0</v>
      </c>
      <c r="K85" s="459">
        <v>3.7152698943767423E-2</v>
      </c>
      <c r="L85" s="459">
        <v>4.7293148864159008E-2</v>
      </c>
      <c r="M85" s="459">
        <v>7.4234601737948033E-2</v>
      </c>
      <c r="N85" s="446">
        <v>4.2728405948963384E-2</v>
      </c>
      <c r="O85" s="446">
        <v>0</v>
      </c>
      <c r="P85" s="459">
        <v>0</v>
      </c>
      <c r="Q85" s="446">
        <v>0</v>
      </c>
      <c r="R85" s="446">
        <v>0</v>
      </c>
      <c r="S85" s="446">
        <v>0</v>
      </c>
      <c r="T85" s="354">
        <v>0</v>
      </c>
      <c r="U85" s="354">
        <v>0</v>
      </c>
      <c r="V85" s="354">
        <v>0</v>
      </c>
      <c r="W85" s="355">
        <v>0</v>
      </c>
      <c r="X85" s="354">
        <v>0</v>
      </c>
      <c r="Y85" s="354">
        <v>0</v>
      </c>
      <c r="Z85" s="354">
        <v>0</v>
      </c>
      <c r="AA85" s="355">
        <v>0</v>
      </c>
      <c r="AB85" s="514"/>
      <c r="AC85" s="515"/>
    </row>
    <row r="86" spans="1:29" s="1" customFormat="1">
      <c r="A86" s="468"/>
      <c r="B86" s="447" t="s">
        <v>11</v>
      </c>
      <c r="C86" s="368">
        <v>540674</v>
      </c>
      <c r="D86" s="106">
        <v>0</v>
      </c>
      <c r="E86" s="106">
        <v>544472.5</v>
      </c>
      <c r="F86" s="106">
        <v>0</v>
      </c>
      <c r="G86" s="106">
        <v>172398</v>
      </c>
      <c r="H86" s="106">
        <v>76212.5</v>
      </c>
      <c r="I86" s="368">
        <v>1333757</v>
      </c>
      <c r="J86" s="368">
        <v>0</v>
      </c>
      <c r="K86" s="106">
        <v>1508433.8199999998</v>
      </c>
      <c r="L86" s="106">
        <v>423444.82000000007</v>
      </c>
      <c r="M86" s="106">
        <v>119241.51</v>
      </c>
      <c r="N86" s="368">
        <v>2051120.1499999997</v>
      </c>
      <c r="O86" s="368">
        <v>0</v>
      </c>
      <c r="P86" s="106">
        <v>0</v>
      </c>
      <c r="Q86" s="368">
        <v>0</v>
      </c>
      <c r="R86" s="368">
        <v>0</v>
      </c>
      <c r="S86" s="368">
        <v>0</v>
      </c>
      <c r="T86" s="352">
        <v>0</v>
      </c>
      <c r="U86" s="352">
        <v>0</v>
      </c>
      <c r="V86" s="352">
        <v>0</v>
      </c>
      <c r="W86" s="353">
        <v>0</v>
      </c>
      <c r="X86" s="352">
        <v>0</v>
      </c>
      <c r="Y86" s="352">
        <v>0</v>
      </c>
      <c r="Z86" s="352">
        <v>0</v>
      </c>
      <c r="AA86" s="353">
        <v>0</v>
      </c>
      <c r="AB86" s="514"/>
      <c r="AC86" s="515"/>
    </row>
    <row r="87" spans="1:29">
      <c r="A87" s="468"/>
      <c r="B87" s="447" t="s">
        <v>15</v>
      </c>
      <c r="C87" s="368">
        <v>690</v>
      </c>
      <c r="D87" s="106">
        <v>0</v>
      </c>
      <c r="E87" s="106">
        <v>2154</v>
      </c>
      <c r="F87" s="106">
        <v>0</v>
      </c>
      <c r="G87" s="106">
        <v>2979</v>
      </c>
      <c r="H87" s="106">
        <v>173</v>
      </c>
      <c r="I87" s="368">
        <v>5996</v>
      </c>
      <c r="J87" s="368">
        <v>0</v>
      </c>
      <c r="K87" s="106">
        <v>62871</v>
      </c>
      <c r="L87" s="106">
        <v>24271</v>
      </c>
      <c r="M87" s="106">
        <v>6443</v>
      </c>
      <c r="N87" s="368">
        <v>93585</v>
      </c>
      <c r="O87" s="368">
        <v>0</v>
      </c>
      <c r="P87" s="106">
        <v>0</v>
      </c>
      <c r="Q87" s="368">
        <v>0</v>
      </c>
      <c r="R87" s="368">
        <v>0</v>
      </c>
      <c r="S87" s="368">
        <v>0</v>
      </c>
      <c r="T87" s="352">
        <v>0</v>
      </c>
      <c r="U87" s="352">
        <v>0</v>
      </c>
      <c r="V87" s="352">
        <v>0</v>
      </c>
      <c r="W87" s="353">
        <v>0</v>
      </c>
      <c r="X87" s="352">
        <v>0</v>
      </c>
      <c r="Y87" s="352">
        <v>0</v>
      </c>
      <c r="Z87" s="352">
        <v>0</v>
      </c>
      <c r="AA87" s="353">
        <v>0</v>
      </c>
      <c r="AB87" s="514"/>
      <c r="AC87" s="515"/>
    </row>
    <row r="88" spans="1:29" s="1" customFormat="1">
      <c r="A88" s="468"/>
      <c r="B88" s="445" t="s">
        <v>17</v>
      </c>
      <c r="C88" s="446">
        <v>1.2761849099457343E-3</v>
      </c>
      <c r="D88" s="459">
        <v>0</v>
      </c>
      <c r="E88" s="459">
        <v>3.9561226691889858E-3</v>
      </c>
      <c r="F88" s="459">
        <v>0</v>
      </c>
      <c r="G88" s="469">
        <v>1.7279782828107056E-2</v>
      </c>
      <c r="H88" s="459">
        <v>2.2699688371330164E-3</v>
      </c>
      <c r="I88" s="446">
        <v>4.4955715321456603E-3</v>
      </c>
      <c r="J88" s="446">
        <v>0</v>
      </c>
      <c r="K88" s="459">
        <v>4.1679654199214392E-2</v>
      </c>
      <c r="L88" s="459">
        <v>5.731797592895338E-2</v>
      </c>
      <c r="M88" s="459">
        <v>5.4033196996582822E-2</v>
      </c>
      <c r="N88" s="446">
        <v>4.5626288640380243E-2</v>
      </c>
      <c r="O88" s="446">
        <v>0</v>
      </c>
      <c r="P88" s="459">
        <v>0</v>
      </c>
      <c r="Q88" s="446">
        <v>0</v>
      </c>
      <c r="R88" s="445">
        <v>0</v>
      </c>
      <c r="S88" s="445">
        <v>0</v>
      </c>
      <c r="T88" s="356">
        <v>0</v>
      </c>
      <c r="U88" s="356">
        <v>0</v>
      </c>
      <c r="V88" s="356">
        <v>0</v>
      </c>
      <c r="W88" s="357">
        <v>0</v>
      </c>
      <c r="X88" s="356">
        <v>0</v>
      </c>
      <c r="Y88" s="356">
        <v>0</v>
      </c>
      <c r="Z88" s="356">
        <v>0</v>
      </c>
      <c r="AA88" s="357">
        <v>0</v>
      </c>
      <c r="AB88" s="514"/>
      <c r="AC88" s="515"/>
    </row>
    <row r="89" spans="1:29">
      <c r="A89" s="468"/>
      <c r="B89" s="444" t="s">
        <v>204</v>
      </c>
      <c r="C89" s="460">
        <v>7.8388007479180701E-4</v>
      </c>
      <c r="D89" s="461">
        <v>0</v>
      </c>
      <c r="E89" s="461">
        <v>-1.8569495240294571E-4</v>
      </c>
      <c r="F89" s="461">
        <v>0</v>
      </c>
      <c r="G89" s="461">
        <v>3.8739931705967321E-3</v>
      </c>
      <c r="H89" s="463">
        <v>-6.0162625425133707E-3</v>
      </c>
      <c r="I89" s="460">
        <v>1.3608102285938748E-3</v>
      </c>
      <c r="J89" s="460">
        <v>0</v>
      </c>
      <c r="K89" s="461">
        <v>4.5269552554469683E-3</v>
      </c>
      <c r="L89" s="461">
        <v>1.0024827064794371E-2</v>
      </c>
      <c r="M89" s="463">
        <v>-2.0201404741365211E-2</v>
      </c>
      <c r="N89" s="460">
        <v>2.8978826914168587E-3</v>
      </c>
      <c r="O89" s="460">
        <v>0</v>
      </c>
      <c r="P89" s="461">
        <v>0</v>
      </c>
      <c r="Q89" s="460">
        <v>0</v>
      </c>
      <c r="R89" s="460">
        <v>0</v>
      </c>
      <c r="S89" s="460">
        <v>0</v>
      </c>
      <c r="T89" s="358">
        <v>0</v>
      </c>
      <c r="U89" s="358">
        <v>0</v>
      </c>
      <c r="V89" s="358">
        <v>0</v>
      </c>
      <c r="W89" s="359">
        <v>0</v>
      </c>
      <c r="X89" s="358">
        <v>0</v>
      </c>
      <c r="Y89" s="358">
        <v>0</v>
      </c>
      <c r="Z89" s="358">
        <v>0</v>
      </c>
      <c r="AA89" s="359">
        <v>0</v>
      </c>
      <c r="AB89" s="514"/>
      <c r="AC89" s="515"/>
    </row>
    <row r="90" spans="1:29" s="1" customFormat="1">
      <c r="A90" s="467" t="s">
        <v>237</v>
      </c>
      <c r="B90" s="362" t="s">
        <v>10</v>
      </c>
      <c r="C90" s="366">
        <v>0</v>
      </c>
      <c r="D90" s="367">
        <v>314242</v>
      </c>
      <c r="E90" s="367">
        <v>1344494</v>
      </c>
      <c r="F90" s="367">
        <v>0</v>
      </c>
      <c r="G90" s="367">
        <v>190037</v>
      </c>
      <c r="H90" s="367">
        <v>0</v>
      </c>
      <c r="I90" s="366">
        <v>1848773</v>
      </c>
      <c r="J90" s="366">
        <v>0</v>
      </c>
      <c r="K90" s="367">
        <v>948531</v>
      </c>
      <c r="L90" s="367">
        <v>757704</v>
      </c>
      <c r="M90" s="367">
        <v>0</v>
      </c>
      <c r="N90" s="366">
        <v>1706235</v>
      </c>
      <c r="O90" s="366">
        <v>0</v>
      </c>
      <c r="P90" s="367">
        <v>0</v>
      </c>
      <c r="Q90" s="366">
        <v>0</v>
      </c>
      <c r="R90" s="366">
        <v>0</v>
      </c>
      <c r="S90" s="366">
        <v>0</v>
      </c>
      <c r="T90" s="350">
        <v>0</v>
      </c>
      <c r="U90" s="350">
        <v>0</v>
      </c>
      <c r="V90" s="350">
        <v>0</v>
      </c>
      <c r="W90" s="351">
        <v>0</v>
      </c>
      <c r="X90" s="350">
        <v>0</v>
      </c>
      <c r="Y90" s="350">
        <v>0</v>
      </c>
      <c r="Z90" s="350">
        <v>0</v>
      </c>
      <c r="AA90" s="351">
        <v>0</v>
      </c>
      <c r="AB90" s="512"/>
      <c r="AC90" s="513"/>
    </row>
    <row r="91" spans="1:29">
      <c r="A91" s="468"/>
      <c r="B91" s="447" t="s">
        <v>14</v>
      </c>
      <c r="C91" s="368">
        <v>0</v>
      </c>
      <c r="D91" s="106">
        <v>1950</v>
      </c>
      <c r="E91" s="106">
        <v>3920</v>
      </c>
      <c r="F91" s="106">
        <v>0</v>
      </c>
      <c r="G91" s="106">
        <v>2316</v>
      </c>
      <c r="H91" s="106">
        <v>0</v>
      </c>
      <c r="I91" s="368">
        <v>8186</v>
      </c>
      <c r="J91" s="368">
        <v>0</v>
      </c>
      <c r="K91" s="106">
        <v>47286</v>
      </c>
      <c r="L91" s="106">
        <v>67464</v>
      </c>
      <c r="M91" s="106">
        <v>0</v>
      </c>
      <c r="N91" s="368">
        <v>114750</v>
      </c>
      <c r="O91" s="368">
        <v>0</v>
      </c>
      <c r="P91" s="106">
        <v>0</v>
      </c>
      <c r="Q91" s="368">
        <v>0</v>
      </c>
      <c r="R91" s="368">
        <v>0</v>
      </c>
      <c r="S91" s="368">
        <v>0</v>
      </c>
      <c r="T91" s="352">
        <v>0</v>
      </c>
      <c r="U91" s="352">
        <v>0</v>
      </c>
      <c r="V91" s="352">
        <v>0</v>
      </c>
      <c r="W91" s="353">
        <v>0</v>
      </c>
      <c r="X91" s="352">
        <v>0</v>
      </c>
      <c r="Y91" s="352">
        <v>0</v>
      </c>
      <c r="Z91" s="352">
        <v>0</v>
      </c>
      <c r="AA91" s="353">
        <v>0</v>
      </c>
      <c r="AB91" s="514"/>
      <c r="AC91" s="515"/>
    </row>
    <row r="92" spans="1:29" s="1" customFormat="1">
      <c r="A92" s="468"/>
      <c r="B92" s="446" t="s">
        <v>16</v>
      </c>
      <c r="C92" s="446">
        <v>0</v>
      </c>
      <c r="D92" s="459">
        <v>6.2054085704648012E-3</v>
      </c>
      <c r="E92" s="459">
        <v>2.915595011952452E-3</v>
      </c>
      <c r="F92" s="459">
        <v>0</v>
      </c>
      <c r="G92" s="459">
        <v>1.2187100406762894E-2</v>
      </c>
      <c r="H92" s="459">
        <v>0</v>
      </c>
      <c r="I92" s="446">
        <v>4.4278015743414688E-3</v>
      </c>
      <c r="J92" s="446">
        <v>0</v>
      </c>
      <c r="K92" s="459">
        <v>4.9851823503923434E-2</v>
      </c>
      <c r="L92" s="459">
        <v>8.9037407747616482E-2</v>
      </c>
      <c r="M92" s="459">
        <v>0</v>
      </c>
      <c r="N92" s="446">
        <v>6.7253338490887826E-2</v>
      </c>
      <c r="O92" s="446">
        <v>0</v>
      </c>
      <c r="P92" s="459">
        <v>0</v>
      </c>
      <c r="Q92" s="446">
        <v>0</v>
      </c>
      <c r="R92" s="446">
        <v>0</v>
      </c>
      <c r="S92" s="446">
        <v>0</v>
      </c>
      <c r="T92" s="354">
        <v>0</v>
      </c>
      <c r="U92" s="354">
        <v>0</v>
      </c>
      <c r="V92" s="354">
        <v>0</v>
      </c>
      <c r="W92" s="355">
        <v>0</v>
      </c>
      <c r="X92" s="354">
        <v>0</v>
      </c>
      <c r="Y92" s="354">
        <v>0</v>
      </c>
      <c r="Z92" s="354">
        <v>0</v>
      </c>
      <c r="AA92" s="355">
        <v>0</v>
      </c>
      <c r="AB92" s="514"/>
      <c r="AC92" s="515"/>
    </row>
    <row r="93" spans="1:29">
      <c r="A93" s="468"/>
      <c r="B93" s="447" t="s">
        <v>11</v>
      </c>
      <c r="C93" s="368">
        <v>1025731</v>
      </c>
      <c r="D93" s="106">
        <v>312940</v>
      </c>
      <c r="E93" s="106">
        <v>1321828</v>
      </c>
      <c r="F93" s="106">
        <v>0</v>
      </c>
      <c r="G93" s="106">
        <v>180848</v>
      </c>
      <c r="H93" s="106">
        <v>0</v>
      </c>
      <c r="I93" s="368">
        <v>2841347</v>
      </c>
      <c r="J93" s="368">
        <v>0</v>
      </c>
      <c r="K93" s="106">
        <v>950759</v>
      </c>
      <c r="L93" s="106">
        <v>771698</v>
      </c>
      <c r="M93" s="106">
        <v>0</v>
      </c>
      <c r="N93" s="368">
        <v>1722457</v>
      </c>
      <c r="O93" s="368">
        <v>0</v>
      </c>
      <c r="P93" s="106">
        <v>0</v>
      </c>
      <c r="Q93" s="368">
        <v>0</v>
      </c>
      <c r="R93" s="368">
        <v>0</v>
      </c>
      <c r="S93" s="368">
        <v>0</v>
      </c>
      <c r="T93" s="352">
        <v>0</v>
      </c>
      <c r="U93" s="352">
        <v>0</v>
      </c>
      <c r="V93" s="352">
        <v>0</v>
      </c>
      <c r="W93" s="353">
        <v>0</v>
      </c>
      <c r="X93" s="352">
        <v>0</v>
      </c>
      <c r="Y93" s="352">
        <v>0</v>
      </c>
      <c r="Z93" s="352">
        <v>0</v>
      </c>
      <c r="AA93" s="353">
        <v>0</v>
      </c>
      <c r="AB93" s="514"/>
      <c r="AC93" s="515"/>
    </row>
    <row r="94" spans="1:29" s="1" customFormat="1">
      <c r="A94" s="468"/>
      <c r="B94" s="447" t="s">
        <v>15</v>
      </c>
      <c r="C94" s="368">
        <v>7236</v>
      </c>
      <c r="D94" s="106">
        <v>1999</v>
      </c>
      <c r="E94" s="106">
        <v>5736</v>
      </c>
      <c r="F94" s="106">
        <v>0</v>
      </c>
      <c r="G94" s="106">
        <v>2288</v>
      </c>
      <c r="H94" s="106">
        <v>0</v>
      </c>
      <c r="I94" s="368">
        <v>17259</v>
      </c>
      <c r="J94" s="368">
        <v>0</v>
      </c>
      <c r="K94" s="106">
        <v>50272</v>
      </c>
      <c r="L94" s="106">
        <v>71580</v>
      </c>
      <c r="M94" s="106">
        <v>0</v>
      </c>
      <c r="N94" s="368">
        <v>121852</v>
      </c>
      <c r="O94" s="368">
        <v>0</v>
      </c>
      <c r="P94" s="106">
        <v>0</v>
      </c>
      <c r="Q94" s="368">
        <v>0</v>
      </c>
      <c r="R94" s="368">
        <v>0</v>
      </c>
      <c r="S94" s="368">
        <v>0</v>
      </c>
      <c r="T94" s="352">
        <v>0</v>
      </c>
      <c r="U94" s="352">
        <v>0</v>
      </c>
      <c r="V94" s="352">
        <v>0</v>
      </c>
      <c r="W94" s="353">
        <v>0</v>
      </c>
      <c r="X94" s="352">
        <v>0</v>
      </c>
      <c r="Y94" s="352">
        <v>0</v>
      </c>
      <c r="Z94" s="352">
        <v>0</v>
      </c>
      <c r="AA94" s="353">
        <v>0</v>
      </c>
      <c r="AB94" s="514"/>
      <c r="AC94" s="515"/>
    </row>
    <row r="95" spans="1:29">
      <c r="A95" s="468"/>
      <c r="B95" s="445" t="s">
        <v>17</v>
      </c>
      <c r="C95" s="369">
        <v>7.0544811456414985E-3</v>
      </c>
      <c r="D95" s="459">
        <v>6.3878059691953731E-3</v>
      </c>
      <c r="E95" s="459">
        <v>4.3394450715221649E-3</v>
      </c>
      <c r="F95" s="459">
        <v>0</v>
      </c>
      <c r="G95" s="459">
        <v>1.2651508449084314E-2</v>
      </c>
      <c r="H95" s="459">
        <v>0</v>
      </c>
      <c r="I95" s="446">
        <v>6.074231693629817E-3</v>
      </c>
      <c r="J95" s="446">
        <v>0</v>
      </c>
      <c r="K95" s="459">
        <v>5.2875649875520507E-2</v>
      </c>
      <c r="L95" s="459">
        <v>9.275649282491337E-2</v>
      </c>
      <c r="M95" s="459">
        <v>0</v>
      </c>
      <c r="N95" s="446">
        <v>7.074313030746196E-2</v>
      </c>
      <c r="O95" s="446">
        <v>0</v>
      </c>
      <c r="P95" s="459">
        <v>0</v>
      </c>
      <c r="Q95" s="446">
        <v>0</v>
      </c>
      <c r="R95" s="445">
        <v>0</v>
      </c>
      <c r="S95" s="445">
        <v>0</v>
      </c>
      <c r="T95" s="356">
        <v>0</v>
      </c>
      <c r="U95" s="356">
        <v>0</v>
      </c>
      <c r="V95" s="356">
        <v>0</v>
      </c>
      <c r="W95" s="357">
        <v>0</v>
      </c>
      <c r="X95" s="356">
        <v>0</v>
      </c>
      <c r="Y95" s="356">
        <v>0</v>
      </c>
      <c r="Z95" s="356">
        <v>0</v>
      </c>
      <c r="AA95" s="357">
        <v>0</v>
      </c>
      <c r="AB95" s="514"/>
      <c r="AC95" s="515"/>
    </row>
    <row r="96" spans="1:29" s="1" customFormat="1">
      <c r="A96" s="468"/>
      <c r="B96" s="444" t="s">
        <v>204</v>
      </c>
      <c r="C96" s="462">
        <v>7.0544811456414985E-3</v>
      </c>
      <c r="D96" s="461">
        <v>1.8239739873057194E-4</v>
      </c>
      <c r="E96" s="461">
        <v>1.4238500595697128E-3</v>
      </c>
      <c r="F96" s="461">
        <v>0</v>
      </c>
      <c r="G96" s="461">
        <v>4.6440804232142016E-4</v>
      </c>
      <c r="H96" s="461">
        <v>0</v>
      </c>
      <c r="I96" s="460">
        <v>1.6464301192883482E-3</v>
      </c>
      <c r="J96" s="460">
        <v>0</v>
      </c>
      <c r="K96" s="461">
        <v>3.0238263715970728E-3</v>
      </c>
      <c r="L96" s="461">
        <v>3.7190850772968881E-3</v>
      </c>
      <c r="M96" s="461">
        <v>0</v>
      </c>
      <c r="N96" s="460">
        <v>3.4897918165741337E-3</v>
      </c>
      <c r="O96" s="460">
        <v>0</v>
      </c>
      <c r="P96" s="461">
        <v>0</v>
      </c>
      <c r="Q96" s="460">
        <v>0</v>
      </c>
      <c r="R96" s="460">
        <v>0</v>
      </c>
      <c r="S96" s="460">
        <v>0</v>
      </c>
      <c r="T96" s="358">
        <v>0</v>
      </c>
      <c r="U96" s="358">
        <v>0</v>
      </c>
      <c r="V96" s="358">
        <v>0</v>
      </c>
      <c r="W96" s="359">
        <v>0</v>
      </c>
      <c r="X96" s="358">
        <v>0</v>
      </c>
      <c r="Y96" s="358">
        <v>0</v>
      </c>
      <c r="Z96" s="358">
        <v>0</v>
      </c>
      <c r="AA96" s="359">
        <v>0</v>
      </c>
      <c r="AB96" s="514"/>
      <c r="AC96" s="515"/>
    </row>
    <row r="97" spans="1:29">
      <c r="A97" s="467" t="s">
        <v>234</v>
      </c>
      <c r="B97" s="362" t="s">
        <v>10</v>
      </c>
      <c r="C97" s="366">
        <v>5529306</v>
      </c>
      <c r="D97" s="367">
        <v>1311681</v>
      </c>
      <c r="E97" s="367">
        <v>4549568</v>
      </c>
      <c r="F97" s="367">
        <v>135885</v>
      </c>
      <c r="G97" s="367">
        <v>363003</v>
      </c>
      <c r="H97" s="367">
        <v>60520</v>
      </c>
      <c r="I97" s="366">
        <v>11949963</v>
      </c>
      <c r="J97" s="366">
        <v>753255</v>
      </c>
      <c r="K97" s="367">
        <v>10144585</v>
      </c>
      <c r="L97" s="367">
        <v>2520102</v>
      </c>
      <c r="M97" s="367">
        <v>363099</v>
      </c>
      <c r="N97" s="366">
        <v>13781041</v>
      </c>
      <c r="O97" s="366">
        <v>2427562</v>
      </c>
      <c r="P97" s="367">
        <v>2427562</v>
      </c>
      <c r="Q97" s="366">
        <v>0</v>
      </c>
      <c r="R97" s="366">
        <v>0</v>
      </c>
      <c r="S97" s="366">
        <v>0</v>
      </c>
      <c r="T97" s="350">
        <v>0</v>
      </c>
      <c r="U97" s="350">
        <v>0</v>
      </c>
      <c r="V97" s="350">
        <v>2089164</v>
      </c>
      <c r="W97" s="351">
        <v>2089164</v>
      </c>
      <c r="X97" s="350">
        <v>307597</v>
      </c>
      <c r="Y97" s="350">
        <v>307597</v>
      </c>
      <c r="Z97" s="350">
        <v>30801</v>
      </c>
      <c r="AA97" s="351">
        <v>30801</v>
      </c>
      <c r="AB97" s="512"/>
      <c r="AC97" s="513"/>
    </row>
    <row r="98" spans="1:29" s="1" customFormat="1">
      <c r="A98" s="468"/>
      <c r="B98" s="447" t="s">
        <v>14</v>
      </c>
      <c r="C98" s="368">
        <v>1215</v>
      </c>
      <c r="D98" s="106">
        <v>2688</v>
      </c>
      <c r="E98" s="106">
        <v>46483</v>
      </c>
      <c r="F98" s="106">
        <v>0</v>
      </c>
      <c r="G98" s="106">
        <v>638</v>
      </c>
      <c r="H98" s="106">
        <v>0</v>
      </c>
      <c r="I98" s="368">
        <v>51024</v>
      </c>
      <c r="J98" s="368">
        <v>174906</v>
      </c>
      <c r="K98" s="106">
        <v>772760</v>
      </c>
      <c r="L98" s="106">
        <v>270591</v>
      </c>
      <c r="M98" s="106">
        <v>40427</v>
      </c>
      <c r="N98" s="368">
        <v>1258684</v>
      </c>
      <c r="O98" s="368">
        <v>221413</v>
      </c>
      <c r="P98" s="106">
        <v>221413</v>
      </c>
      <c r="Q98" s="368">
        <v>0</v>
      </c>
      <c r="R98" s="368">
        <v>0</v>
      </c>
      <c r="S98" s="368">
        <v>0</v>
      </c>
      <c r="T98" s="352">
        <v>0</v>
      </c>
      <c r="U98" s="352">
        <v>0</v>
      </c>
      <c r="V98" s="352">
        <v>177614</v>
      </c>
      <c r="W98" s="353">
        <v>177614</v>
      </c>
      <c r="X98" s="352">
        <v>43799</v>
      </c>
      <c r="Y98" s="352">
        <v>43799</v>
      </c>
      <c r="Z98" s="352">
        <v>0</v>
      </c>
      <c r="AA98" s="353">
        <v>0</v>
      </c>
      <c r="AB98" s="514"/>
      <c r="AC98" s="515"/>
    </row>
    <row r="99" spans="1:29">
      <c r="A99" s="468"/>
      <c r="B99" s="446" t="s">
        <v>16</v>
      </c>
      <c r="C99" s="446">
        <v>2.1973824563154942E-4</v>
      </c>
      <c r="D99" s="459">
        <v>2.0492787499399624E-3</v>
      </c>
      <c r="E99" s="469">
        <v>1.0217014011000605E-2</v>
      </c>
      <c r="F99" s="459">
        <v>0</v>
      </c>
      <c r="G99" s="459">
        <v>1.7575612322763173E-3</v>
      </c>
      <c r="H99" s="459">
        <v>0</v>
      </c>
      <c r="I99" s="446">
        <v>4.2698040152927674E-3</v>
      </c>
      <c r="J99" s="369">
        <v>0.23220025091104607</v>
      </c>
      <c r="K99" s="459">
        <v>7.6174629124799095E-2</v>
      </c>
      <c r="L99" s="459">
        <v>0.10737303490096829</v>
      </c>
      <c r="M99" s="459">
        <v>0.11133878088345052</v>
      </c>
      <c r="N99" s="446">
        <v>9.1334464500903809E-2</v>
      </c>
      <c r="O99" s="446">
        <v>9.1207969147646895E-2</v>
      </c>
      <c r="P99" s="459">
        <v>9.1207969147646895E-2</v>
      </c>
      <c r="Q99" s="446">
        <v>0</v>
      </c>
      <c r="R99" s="446">
        <v>0</v>
      </c>
      <c r="S99" s="446">
        <v>0</v>
      </c>
      <c r="T99" s="354">
        <v>0</v>
      </c>
      <c r="U99" s="354">
        <v>0</v>
      </c>
      <c r="V99" s="354">
        <v>8.5016781832350161E-2</v>
      </c>
      <c r="W99" s="355">
        <v>8.5016781832350161E-2</v>
      </c>
      <c r="X99" s="354">
        <v>0.14239085556751205</v>
      </c>
      <c r="Y99" s="354">
        <v>0.14239085556751205</v>
      </c>
      <c r="Z99" s="354">
        <v>0</v>
      </c>
      <c r="AA99" s="355">
        <v>0</v>
      </c>
      <c r="AB99" s="514"/>
      <c r="AC99" s="515"/>
    </row>
    <row r="100" spans="1:29" s="1" customFormat="1">
      <c r="A100" s="468"/>
      <c r="B100" s="447" t="s">
        <v>11</v>
      </c>
      <c r="C100" s="368">
        <v>5710004</v>
      </c>
      <c r="D100" s="106">
        <v>1327343</v>
      </c>
      <c r="E100" s="106">
        <v>4678383</v>
      </c>
      <c r="F100" s="106">
        <v>141048</v>
      </c>
      <c r="G100" s="106">
        <v>359330</v>
      </c>
      <c r="H100" s="106">
        <v>62442</v>
      </c>
      <c r="I100" s="368">
        <v>12278550</v>
      </c>
      <c r="J100" s="368">
        <v>785717</v>
      </c>
      <c r="K100" s="106">
        <v>10073282</v>
      </c>
      <c r="L100" s="106">
        <v>2465273</v>
      </c>
      <c r="M100" s="106">
        <v>377155</v>
      </c>
      <c r="N100" s="368">
        <v>13701427</v>
      </c>
      <c r="O100" s="368">
        <v>2417702</v>
      </c>
      <c r="P100" s="106">
        <v>2417702</v>
      </c>
      <c r="Q100" s="368">
        <v>0</v>
      </c>
      <c r="R100" s="368">
        <v>0</v>
      </c>
      <c r="S100" s="368">
        <v>0</v>
      </c>
      <c r="T100" s="352">
        <v>44047</v>
      </c>
      <c r="U100" s="352">
        <v>44047</v>
      </c>
      <c r="V100" s="352">
        <v>2060889</v>
      </c>
      <c r="W100" s="353">
        <v>2060889</v>
      </c>
      <c r="X100" s="352">
        <v>311352</v>
      </c>
      <c r="Y100" s="352">
        <v>311352</v>
      </c>
      <c r="Z100" s="352">
        <v>45461</v>
      </c>
      <c r="AA100" s="353">
        <v>45461</v>
      </c>
      <c r="AB100" s="514"/>
      <c r="AC100" s="515"/>
    </row>
    <row r="101" spans="1:29">
      <c r="A101" s="468"/>
      <c r="B101" s="447" t="s">
        <v>15</v>
      </c>
      <c r="C101" s="368">
        <v>925</v>
      </c>
      <c r="D101" s="106">
        <v>4636</v>
      </c>
      <c r="E101" s="106">
        <v>63552</v>
      </c>
      <c r="F101" s="106">
        <v>0</v>
      </c>
      <c r="G101" s="106">
        <v>841</v>
      </c>
      <c r="H101" s="106">
        <v>0</v>
      </c>
      <c r="I101" s="368">
        <v>69954</v>
      </c>
      <c r="J101" s="368">
        <v>205205</v>
      </c>
      <c r="K101" s="106">
        <v>856394</v>
      </c>
      <c r="L101" s="106">
        <v>301837</v>
      </c>
      <c r="M101" s="106">
        <v>47464</v>
      </c>
      <c r="N101" s="368">
        <v>1410900</v>
      </c>
      <c r="O101" s="368">
        <v>254128</v>
      </c>
      <c r="P101" s="106">
        <v>254128</v>
      </c>
      <c r="Q101" s="368">
        <v>0</v>
      </c>
      <c r="R101" s="368">
        <v>0</v>
      </c>
      <c r="S101" s="368">
        <v>0</v>
      </c>
      <c r="T101" s="352">
        <v>0</v>
      </c>
      <c r="U101" s="352">
        <v>0</v>
      </c>
      <c r="V101" s="352">
        <v>201238</v>
      </c>
      <c r="W101" s="353">
        <v>201238</v>
      </c>
      <c r="X101" s="352">
        <v>52866</v>
      </c>
      <c r="Y101" s="352">
        <v>52866</v>
      </c>
      <c r="Z101" s="352">
        <v>24</v>
      </c>
      <c r="AA101" s="353">
        <v>24</v>
      </c>
      <c r="AB101" s="514"/>
      <c r="AC101" s="515"/>
    </row>
    <row r="102" spans="1:29">
      <c r="A102" s="468"/>
      <c r="B102" s="445" t="s">
        <v>17</v>
      </c>
      <c r="C102" s="446">
        <v>1.619963838904491E-4</v>
      </c>
      <c r="D102" s="459">
        <v>3.4926917910442141E-3</v>
      </c>
      <c r="E102" s="469">
        <v>1.358418068807107E-2</v>
      </c>
      <c r="F102" s="459">
        <v>0</v>
      </c>
      <c r="G102" s="459">
        <v>2.3404669802131743E-3</v>
      </c>
      <c r="H102" s="459">
        <v>0</v>
      </c>
      <c r="I102" s="446">
        <v>5.6972525257461184E-3</v>
      </c>
      <c r="J102" s="369">
        <v>0.26116909777948039</v>
      </c>
      <c r="K102" s="459">
        <v>8.5016382942520619E-2</v>
      </c>
      <c r="L102" s="459">
        <v>0.1224355274243461</v>
      </c>
      <c r="M102" s="459">
        <v>0.12584746324455462</v>
      </c>
      <c r="N102" s="446">
        <v>0.10297467555751674</v>
      </c>
      <c r="O102" s="446">
        <v>0.10511138262697388</v>
      </c>
      <c r="P102" s="459">
        <v>0.10511138262697388</v>
      </c>
      <c r="Q102" s="446">
        <v>0</v>
      </c>
      <c r="R102" s="445">
        <v>0</v>
      </c>
      <c r="S102" s="445">
        <v>0</v>
      </c>
      <c r="T102" s="356">
        <v>0</v>
      </c>
      <c r="U102" s="356">
        <v>0</v>
      </c>
      <c r="V102" s="356">
        <v>9.7646209960846997E-2</v>
      </c>
      <c r="W102" s="357">
        <v>9.7646209960846997E-2</v>
      </c>
      <c r="X102" s="356">
        <v>0.16979495876050257</v>
      </c>
      <c r="Y102" s="356">
        <v>0.16979495876050257</v>
      </c>
      <c r="Z102" s="356">
        <v>5.2792503464508037E-4</v>
      </c>
      <c r="AA102" s="357">
        <v>5.2792503464508037E-4</v>
      </c>
      <c r="AB102" s="514"/>
      <c r="AC102" s="515"/>
    </row>
    <row r="103" spans="1:29">
      <c r="A103" s="468"/>
      <c r="B103" s="444" t="s">
        <v>204</v>
      </c>
      <c r="C103" s="460">
        <v>-5.7741861741100314E-5</v>
      </c>
      <c r="D103" s="461">
        <v>1.4434130411042517E-3</v>
      </c>
      <c r="E103" s="461">
        <v>3.3671666770704652E-3</v>
      </c>
      <c r="F103" s="461">
        <v>0</v>
      </c>
      <c r="G103" s="461">
        <v>5.8290574793685708E-4</v>
      </c>
      <c r="H103" s="461">
        <v>0</v>
      </c>
      <c r="I103" s="460">
        <v>1.427448510453351E-3</v>
      </c>
      <c r="J103" s="462">
        <v>2.8968846868434317E-2</v>
      </c>
      <c r="K103" s="461">
        <v>8.8417538177215232E-3</v>
      </c>
      <c r="L103" s="461">
        <v>1.506249252337781E-2</v>
      </c>
      <c r="M103" s="461">
        <v>1.45086823611041E-2</v>
      </c>
      <c r="N103" s="460">
        <v>1.1640211056612934E-2</v>
      </c>
      <c r="O103" s="460">
        <v>1.3903413479326984E-2</v>
      </c>
      <c r="P103" s="461">
        <v>1.3903413479326984E-2</v>
      </c>
      <c r="Q103" s="460">
        <v>0</v>
      </c>
      <c r="R103" s="460">
        <v>0</v>
      </c>
      <c r="S103" s="460">
        <v>0</v>
      </c>
      <c r="T103" s="358">
        <v>0</v>
      </c>
      <c r="U103" s="358">
        <v>0</v>
      </c>
      <c r="V103" s="358">
        <v>1.2629428128496836E-2</v>
      </c>
      <c r="W103" s="359">
        <v>1.2629428128496836E-2</v>
      </c>
      <c r="X103" s="358">
        <v>2.7404103192990525E-2</v>
      </c>
      <c r="Y103" s="358">
        <v>2.7404103192990525E-2</v>
      </c>
      <c r="Z103" s="358">
        <v>5.2792503464508037E-4</v>
      </c>
      <c r="AA103" s="359">
        <v>5.2792503464508037E-4</v>
      </c>
      <c r="AB103" s="514"/>
      <c r="AC103" s="515"/>
    </row>
    <row r="104" spans="1:29">
      <c r="A104" s="467" t="s">
        <v>249</v>
      </c>
      <c r="B104" s="362" t="s">
        <v>10</v>
      </c>
      <c r="C104" s="366">
        <v>3044936.5</v>
      </c>
      <c r="D104" s="367">
        <v>184836.8</v>
      </c>
      <c r="E104" s="367">
        <v>1377162.5</v>
      </c>
      <c r="F104" s="367">
        <v>0</v>
      </c>
      <c r="G104" s="367">
        <v>148364</v>
      </c>
      <c r="H104" s="367">
        <v>52685</v>
      </c>
      <c r="I104" s="366">
        <v>4807984.8</v>
      </c>
      <c r="J104" s="366">
        <v>0</v>
      </c>
      <c r="K104" s="367">
        <v>2252451</v>
      </c>
      <c r="L104" s="367">
        <v>1051055</v>
      </c>
      <c r="M104" s="367">
        <v>304394</v>
      </c>
      <c r="N104" s="366">
        <v>3607900</v>
      </c>
      <c r="O104" s="366">
        <v>3575924</v>
      </c>
      <c r="P104" s="367">
        <v>3575924</v>
      </c>
      <c r="Q104" s="366">
        <v>0</v>
      </c>
      <c r="R104" s="366">
        <v>0</v>
      </c>
      <c r="S104" s="366">
        <v>0</v>
      </c>
      <c r="T104" s="350">
        <v>0</v>
      </c>
      <c r="U104" s="350">
        <v>0</v>
      </c>
      <c r="V104" s="350">
        <v>2252451</v>
      </c>
      <c r="W104" s="351">
        <v>2252451</v>
      </c>
      <c r="X104" s="350">
        <v>1104411</v>
      </c>
      <c r="Y104" s="350">
        <v>1104411</v>
      </c>
      <c r="Z104" s="350">
        <v>251038</v>
      </c>
      <c r="AA104" s="351">
        <v>251038</v>
      </c>
      <c r="AB104" s="512"/>
      <c r="AC104" s="513"/>
    </row>
    <row r="105" spans="1:29">
      <c r="A105" s="468"/>
      <c r="B105" s="447" t="s">
        <v>14</v>
      </c>
      <c r="C105" s="368">
        <v>28482</v>
      </c>
      <c r="D105" s="106">
        <v>0</v>
      </c>
      <c r="E105" s="106">
        <v>8314</v>
      </c>
      <c r="F105" s="106">
        <v>0</v>
      </c>
      <c r="G105" s="106">
        <v>0</v>
      </c>
      <c r="H105" s="106">
        <v>358</v>
      </c>
      <c r="I105" s="368">
        <v>37154</v>
      </c>
      <c r="J105" s="368">
        <v>0</v>
      </c>
      <c r="K105" s="106">
        <v>143572</v>
      </c>
      <c r="L105" s="106">
        <v>381579</v>
      </c>
      <c r="M105" s="106">
        <v>128614</v>
      </c>
      <c r="N105" s="368">
        <v>653765</v>
      </c>
      <c r="O105" s="368">
        <v>647312</v>
      </c>
      <c r="P105" s="106">
        <v>647312</v>
      </c>
      <c r="Q105" s="368">
        <v>0</v>
      </c>
      <c r="R105" s="368">
        <v>0</v>
      </c>
      <c r="S105" s="368">
        <v>0</v>
      </c>
      <c r="T105" s="352">
        <v>0</v>
      </c>
      <c r="U105" s="352">
        <v>0</v>
      </c>
      <c r="V105" s="352">
        <v>143572</v>
      </c>
      <c r="W105" s="353">
        <v>143572</v>
      </c>
      <c r="X105" s="352">
        <v>404362</v>
      </c>
      <c r="Y105" s="352">
        <v>404362</v>
      </c>
      <c r="Z105" s="352">
        <v>105831</v>
      </c>
      <c r="AA105" s="353">
        <v>105831</v>
      </c>
      <c r="AB105" s="514"/>
      <c r="AC105" s="515"/>
    </row>
    <row r="106" spans="1:29">
      <c r="A106" s="468"/>
      <c r="B106" s="446" t="s">
        <v>16</v>
      </c>
      <c r="C106" s="446">
        <v>9.353889645974554E-3</v>
      </c>
      <c r="D106" s="459">
        <v>0</v>
      </c>
      <c r="E106" s="459">
        <v>6.0370508200738842E-3</v>
      </c>
      <c r="F106" s="459">
        <v>0</v>
      </c>
      <c r="G106" s="459">
        <v>0</v>
      </c>
      <c r="H106" s="459">
        <v>6.7951029704849579E-3</v>
      </c>
      <c r="I106" s="446">
        <v>7.7275618675000804E-3</v>
      </c>
      <c r="J106" s="446">
        <v>0</v>
      </c>
      <c r="K106" s="459">
        <v>6.374034329714609E-2</v>
      </c>
      <c r="L106" s="469">
        <v>0.36304379884972721</v>
      </c>
      <c r="M106" s="469">
        <v>0.42252475410159201</v>
      </c>
      <c r="N106" s="446">
        <v>0.18120374733224312</v>
      </c>
      <c r="O106" s="446">
        <v>0.18101950712599038</v>
      </c>
      <c r="P106" s="459">
        <v>0.18101950712599038</v>
      </c>
      <c r="Q106" s="446">
        <v>0</v>
      </c>
      <c r="R106" s="446">
        <v>0</v>
      </c>
      <c r="S106" s="446">
        <v>0</v>
      </c>
      <c r="T106" s="354">
        <v>0</v>
      </c>
      <c r="U106" s="354">
        <v>0</v>
      </c>
      <c r="V106" s="354">
        <v>6.374034329714609E-2</v>
      </c>
      <c r="W106" s="355">
        <v>6.374034329714609E-2</v>
      </c>
      <c r="X106" s="354">
        <v>0.36613362235616992</v>
      </c>
      <c r="Y106" s="354">
        <v>0.36613362235616992</v>
      </c>
      <c r="Z106" s="354">
        <v>0.42157362630358752</v>
      </c>
      <c r="AA106" s="355">
        <v>0.42157362630358752</v>
      </c>
      <c r="AB106" s="514"/>
      <c r="AC106" s="515"/>
    </row>
    <row r="107" spans="1:29">
      <c r="A107" s="468"/>
      <c r="B107" s="447" t="s">
        <v>11</v>
      </c>
      <c r="C107" s="368">
        <v>3098218</v>
      </c>
      <c r="D107" s="106">
        <v>186329.90000000002</v>
      </c>
      <c r="E107" s="106">
        <v>1358175</v>
      </c>
      <c r="F107" s="106">
        <v>0</v>
      </c>
      <c r="G107" s="106">
        <v>147791</v>
      </c>
      <c r="H107" s="106">
        <v>52006</v>
      </c>
      <c r="I107" s="368">
        <v>4842519.9000000004</v>
      </c>
      <c r="J107" s="368">
        <v>0</v>
      </c>
      <c r="K107" s="106">
        <v>2147596.5</v>
      </c>
      <c r="L107" s="106">
        <v>1005870</v>
      </c>
      <c r="M107" s="106">
        <v>304136</v>
      </c>
      <c r="N107" s="368">
        <v>3457602.5</v>
      </c>
      <c r="O107" s="368">
        <v>3423293.5</v>
      </c>
      <c r="P107" s="106">
        <v>3423293.5</v>
      </c>
      <c r="Q107" s="368">
        <v>0</v>
      </c>
      <c r="R107" s="368">
        <v>0</v>
      </c>
      <c r="S107" s="368">
        <v>0</v>
      </c>
      <c r="T107" s="352">
        <v>0</v>
      </c>
      <c r="U107" s="352">
        <v>0</v>
      </c>
      <c r="V107" s="352">
        <v>2147596.5</v>
      </c>
      <c r="W107" s="353">
        <v>2147596.5</v>
      </c>
      <c r="X107" s="352">
        <v>1058991</v>
      </c>
      <c r="Y107" s="352">
        <v>1058991</v>
      </c>
      <c r="Z107" s="352">
        <v>251015</v>
      </c>
      <c r="AA107" s="353">
        <v>251015</v>
      </c>
      <c r="AB107" s="514"/>
      <c r="AC107" s="515"/>
    </row>
    <row r="108" spans="1:29">
      <c r="A108" s="468"/>
      <c r="B108" s="447" t="s">
        <v>15</v>
      </c>
      <c r="C108" s="368">
        <v>23880</v>
      </c>
      <c r="D108" s="106">
        <v>0</v>
      </c>
      <c r="E108" s="106">
        <v>7947</v>
      </c>
      <c r="F108" s="106">
        <v>0</v>
      </c>
      <c r="G108" s="106">
        <v>57</v>
      </c>
      <c r="H108" s="106">
        <v>449</v>
      </c>
      <c r="I108" s="368">
        <v>32333</v>
      </c>
      <c r="J108" s="368">
        <v>0</v>
      </c>
      <c r="K108" s="106">
        <v>167141</v>
      </c>
      <c r="L108" s="106">
        <v>397743</v>
      </c>
      <c r="M108" s="106">
        <v>141956</v>
      </c>
      <c r="N108" s="368">
        <v>706840</v>
      </c>
      <c r="O108" s="368">
        <v>693481</v>
      </c>
      <c r="P108" s="106">
        <v>693481</v>
      </c>
      <c r="Q108" s="368">
        <v>0</v>
      </c>
      <c r="R108" s="368">
        <v>0</v>
      </c>
      <c r="S108" s="368">
        <v>0</v>
      </c>
      <c r="T108" s="352">
        <v>0</v>
      </c>
      <c r="U108" s="352">
        <v>0</v>
      </c>
      <c r="V108" s="352">
        <v>167141</v>
      </c>
      <c r="W108" s="353">
        <v>167141</v>
      </c>
      <c r="X108" s="352">
        <v>421512</v>
      </c>
      <c r="Y108" s="352">
        <v>421512</v>
      </c>
      <c r="Z108" s="352">
        <v>118187</v>
      </c>
      <c r="AA108" s="353">
        <v>118187</v>
      </c>
      <c r="AB108" s="514"/>
      <c r="AC108" s="515"/>
    </row>
    <row r="109" spans="1:29">
      <c r="A109" s="468"/>
      <c r="B109" s="445" t="s">
        <v>17</v>
      </c>
      <c r="C109" s="446">
        <v>7.7076564657490212E-3</v>
      </c>
      <c r="D109" s="459">
        <v>0</v>
      </c>
      <c r="E109" s="459">
        <v>5.8512341929427359E-3</v>
      </c>
      <c r="F109" s="459">
        <v>0</v>
      </c>
      <c r="G109" s="459">
        <v>3.8567977752366518E-4</v>
      </c>
      <c r="H109" s="459">
        <v>8.6336191977848704E-3</v>
      </c>
      <c r="I109" s="446">
        <v>6.6768956385703229E-3</v>
      </c>
      <c r="J109" s="446">
        <v>0</v>
      </c>
      <c r="K109" s="459">
        <v>7.7827003350024085E-2</v>
      </c>
      <c r="L109" s="469">
        <v>0.39542187360195652</v>
      </c>
      <c r="M109" s="469">
        <v>0.46675171633742801</v>
      </c>
      <c r="N109" s="446">
        <v>0.20443067125269604</v>
      </c>
      <c r="O109" s="446">
        <v>0.20257713806893859</v>
      </c>
      <c r="P109" s="459">
        <v>0.20257713806893859</v>
      </c>
      <c r="Q109" s="446">
        <v>0</v>
      </c>
      <c r="R109" s="445">
        <v>0</v>
      </c>
      <c r="S109" s="445">
        <v>0</v>
      </c>
      <c r="T109" s="356">
        <v>0</v>
      </c>
      <c r="U109" s="356">
        <v>0</v>
      </c>
      <c r="V109" s="356">
        <v>7.7827003350024085E-2</v>
      </c>
      <c r="W109" s="357">
        <v>7.7827003350024085E-2</v>
      </c>
      <c r="X109" s="356">
        <v>0.39803171131765991</v>
      </c>
      <c r="Y109" s="356">
        <v>0.39803171131765991</v>
      </c>
      <c r="Z109" s="356">
        <v>0.47083640419895223</v>
      </c>
      <c r="AA109" s="357">
        <v>0.47083640419895223</v>
      </c>
      <c r="AB109" s="514"/>
      <c r="AC109" s="515"/>
    </row>
    <row r="110" spans="1:29">
      <c r="A110" s="468"/>
      <c r="B110" s="444" t="s">
        <v>204</v>
      </c>
      <c r="C110" s="460">
        <v>-1.6462331802255328E-3</v>
      </c>
      <c r="D110" s="461">
        <v>0</v>
      </c>
      <c r="E110" s="461">
        <v>-1.8581662713114833E-4</v>
      </c>
      <c r="F110" s="461">
        <v>0</v>
      </c>
      <c r="G110" s="461">
        <v>3.8567977752366518E-4</v>
      </c>
      <c r="H110" s="461">
        <v>1.8385162272999125E-3</v>
      </c>
      <c r="I110" s="460">
        <v>-1.0506662289297575E-3</v>
      </c>
      <c r="J110" s="460">
        <v>0</v>
      </c>
      <c r="K110" s="461">
        <v>1.4086660052877994E-2</v>
      </c>
      <c r="L110" s="463">
        <v>3.2378074752229313E-2</v>
      </c>
      <c r="M110" s="463">
        <v>4.4226962235835998E-2</v>
      </c>
      <c r="N110" s="460">
        <v>2.3226923920452919E-2</v>
      </c>
      <c r="O110" s="460">
        <v>2.1557630942948214E-2</v>
      </c>
      <c r="P110" s="461">
        <v>2.1557630942948214E-2</v>
      </c>
      <c r="Q110" s="460">
        <v>0</v>
      </c>
      <c r="R110" s="460">
        <v>0</v>
      </c>
      <c r="S110" s="460">
        <v>0</v>
      </c>
      <c r="T110" s="358">
        <v>0</v>
      </c>
      <c r="U110" s="358">
        <v>0</v>
      </c>
      <c r="V110" s="358">
        <v>1.4086660052877994E-2</v>
      </c>
      <c r="W110" s="359">
        <v>1.4086660052877994E-2</v>
      </c>
      <c r="X110" s="358">
        <v>3.189808896148999E-2</v>
      </c>
      <c r="Y110" s="358">
        <v>3.189808896148999E-2</v>
      </c>
      <c r="Z110" s="358">
        <v>4.9262777895364707E-2</v>
      </c>
      <c r="AA110" s="359">
        <v>4.9262777895364707E-2</v>
      </c>
      <c r="AB110" s="514"/>
      <c r="AC110" s="515"/>
    </row>
    <row r="111" spans="1:29">
      <c r="A111" s="467" t="s">
        <v>232</v>
      </c>
      <c r="B111" s="362" t="s">
        <v>10</v>
      </c>
      <c r="C111" s="366">
        <v>661100</v>
      </c>
      <c r="D111" s="367">
        <v>0</v>
      </c>
      <c r="E111" s="367">
        <v>264114</v>
      </c>
      <c r="F111" s="367">
        <v>0</v>
      </c>
      <c r="G111" s="367">
        <v>208509</v>
      </c>
      <c r="H111" s="367">
        <v>388930.5</v>
      </c>
      <c r="I111" s="366">
        <v>1522653.5</v>
      </c>
      <c r="J111" s="366">
        <v>39646</v>
      </c>
      <c r="K111" s="367">
        <v>0</v>
      </c>
      <c r="L111" s="367">
        <v>105054</v>
      </c>
      <c r="M111" s="367">
        <v>255387.9</v>
      </c>
      <c r="N111" s="366">
        <v>400087.9</v>
      </c>
      <c r="O111" s="366">
        <v>0</v>
      </c>
      <c r="P111" s="367">
        <v>0</v>
      </c>
      <c r="Q111" s="366">
        <v>0</v>
      </c>
      <c r="R111" s="366">
        <v>0</v>
      </c>
      <c r="S111" s="366">
        <v>0</v>
      </c>
      <c r="T111" s="350">
        <v>0</v>
      </c>
      <c r="U111" s="350">
        <v>0</v>
      </c>
      <c r="V111" s="350">
        <v>0</v>
      </c>
      <c r="W111" s="351">
        <v>0</v>
      </c>
      <c r="X111" s="350">
        <v>0</v>
      </c>
      <c r="Y111" s="350">
        <v>0</v>
      </c>
      <c r="Z111" s="350">
        <v>0</v>
      </c>
      <c r="AA111" s="351">
        <v>0</v>
      </c>
      <c r="AB111" s="512"/>
      <c r="AC111" s="513"/>
    </row>
    <row r="112" spans="1:29">
      <c r="A112" s="468"/>
      <c r="B112" s="447" t="s">
        <v>14</v>
      </c>
      <c r="C112" s="368">
        <v>3847</v>
      </c>
      <c r="D112" s="106">
        <v>0</v>
      </c>
      <c r="E112" s="106">
        <v>4580</v>
      </c>
      <c r="F112" s="106">
        <v>0</v>
      </c>
      <c r="G112" s="106">
        <v>145</v>
      </c>
      <c r="H112" s="106">
        <v>10998</v>
      </c>
      <c r="I112" s="368">
        <v>19570</v>
      </c>
      <c r="J112" s="368">
        <v>2149</v>
      </c>
      <c r="K112" s="106">
        <v>0</v>
      </c>
      <c r="L112" s="106">
        <v>5835</v>
      </c>
      <c r="M112" s="106">
        <v>7189.3</v>
      </c>
      <c r="N112" s="368">
        <v>15173.3</v>
      </c>
      <c r="O112" s="368">
        <v>0</v>
      </c>
      <c r="P112" s="106">
        <v>0</v>
      </c>
      <c r="Q112" s="368">
        <v>0</v>
      </c>
      <c r="R112" s="368">
        <v>0</v>
      </c>
      <c r="S112" s="368">
        <v>0</v>
      </c>
      <c r="T112" s="352">
        <v>0</v>
      </c>
      <c r="U112" s="352">
        <v>0</v>
      </c>
      <c r="V112" s="352">
        <v>0</v>
      </c>
      <c r="W112" s="353">
        <v>0</v>
      </c>
      <c r="X112" s="352">
        <v>0</v>
      </c>
      <c r="Y112" s="352">
        <v>0</v>
      </c>
      <c r="Z112" s="352">
        <v>0</v>
      </c>
      <c r="AA112" s="353">
        <v>0</v>
      </c>
      <c r="AB112" s="514"/>
      <c r="AC112" s="515"/>
    </row>
    <row r="113" spans="1:29">
      <c r="A113" s="468"/>
      <c r="B113" s="446" t="s">
        <v>16</v>
      </c>
      <c r="C113" s="446">
        <v>5.8190893964604447E-3</v>
      </c>
      <c r="D113" s="459">
        <v>0</v>
      </c>
      <c r="E113" s="459">
        <v>1.7340996690822903E-2</v>
      </c>
      <c r="F113" s="459">
        <v>0</v>
      </c>
      <c r="G113" s="459">
        <v>6.9541362722952004E-4</v>
      </c>
      <c r="H113" s="459">
        <v>2.8277545731178192E-2</v>
      </c>
      <c r="I113" s="446">
        <v>1.2852562976409274E-2</v>
      </c>
      <c r="J113" s="446">
        <v>5.4204711698532006E-2</v>
      </c>
      <c r="K113" s="459">
        <v>0</v>
      </c>
      <c r="L113" s="459">
        <v>5.5542863670112512E-2</v>
      </c>
      <c r="M113" s="459">
        <v>2.8150511437699283E-2</v>
      </c>
      <c r="N113" s="446">
        <v>3.7924915999709062E-2</v>
      </c>
      <c r="O113" s="446">
        <v>0</v>
      </c>
      <c r="P113" s="459">
        <v>0</v>
      </c>
      <c r="Q113" s="446">
        <v>0</v>
      </c>
      <c r="R113" s="446">
        <v>0</v>
      </c>
      <c r="S113" s="446">
        <v>0</v>
      </c>
      <c r="T113" s="354">
        <v>0</v>
      </c>
      <c r="U113" s="354">
        <v>0</v>
      </c>
      <c r="V113" s="354">
        <v>0</v>
      </c>
      <c r="W113" s="355">
        <v>0</v>
      </c>
      <c r="X113" s="354">
        <v>0</v>
      </c>
      <c r="Y113" s="354">
        <v>0</v>
      </c>
      <c r="Z113" s="354">
        <v>0</v>
      </c>
      <c r="AA113" s="355">
        <v>0</v>
      </c>
      <c r="AB113" s="514"/>
      <c r="AC113" s="515"/>
    </row>
    <row r="114" spans="1:29">
      <c r="A114" s="468"/>
      <c r="B114" s="447" t="s">
        <v>11</v>
      </c>
      <c r="C114" s="368">
        <v>652125</v>
      </c>
      <c r="D114" s="106">
        <v>0</v>
      </c>
      <c r="E114" s="106">
        <v>261748</v>
      </c>
      <c r="F114" s="106">
        <v>0</v>
      </c>
      <c r="G114" s="106">
        <v>198171</v>
      </c>
      <c r="H114" s="106">
        <v>366597.3</v>
      </c>
      <c r="I114" s="368">
        <v>1478641.3</v>
      </c>
      <c r="J114" s="368">
        <v>37552</v>
      </c>
      <c r="K114" s="106">
        <v>0</v>
      </c>
      <c r="L114" s="106">
        <v>87355</v>
      </c>
      <c r="M114" s="106">
        <v>239328.7</v>
      </c>
      <c r="N114" s="368">
        <v>364235.69999999995</v>
      </c>
      <c r="O114" s="368">
        <v>0</v>
      </c>
      <c r="P114" s="106">
        <v>0</v>
      </c>
      <c r="Q114" s="368">
        <v>0</v>
      </c>
      <c r="R114" s="368">
        <v>0</v>
      </c>
      <c r="S114" s="368">
        <v>0</v>
      </c>
      <c r="T114" s="352">
        <v>0</v>
      </c>
      <c r="U114" s="352">
        <v>0</v>
      </c>
      <c r="V114" s="352">
        <v>0</v>
      </c>
      <c r="W114" s="353">
        <v>0</v>
      </c>
      <c r="X114" s="352">
        <v>0</v>
      </c>
      <c r="Y114" s="352">
        <v>0</v>
      </c>
      <c r="Z114" s="352">
        <v>0</v>
      </c>
      <c r="AA114" s="353">
        <v>0</v>
      </c>
      <c r="AB114" s="514"/>
      <c r="AC114" s="515"/>
    </row>
    <row r="115" spans="1:29">
      <c r="A115" s="468"/>
      <c r="B115" s="447" t="s">
        <v>15</v>
      </c>
      <c r="C115" s="368">
        <v>4737</v>
      </c>
      <c r="D115" s="106">
        <v>0</v>
      </c>
      <c r="E115" s="106">
        <v>5608</v>
      </c>
      <c r="F115" s="106">
        <v>0</v>
      </c>
      <c r="G115" s="106">
        <v>401</v>
      </c>
      <c r="H115" s="106">
        <v>14391</v>
      </c>
      <c r="I115" s="368">
        <v>25137</v>
      </c>
      <c r="J115" s="368">
        <v>2557</v>
      </c>
      <c r="K115" s="106">
        <v>0</v>
      </c>
      <c r="L115" s="106">
        <v>5450</v>
      </c>
      <c r="M115" s="106">
        <v>10971.4</v>
      </c>
      <c r="N115" s="368">
        <v>18978.400000000001</v>
      </c>
      <c r="O115" s="368">
        <v>0</v>
      </c>
      <c r="P115" s="106">
        <v>0</v>
      </c>
      <c r="Q115" s="368">
        <v>0</v>
      </c>
      <c r="R115" s="368">
        <v>0</v>
      </c>
      <c r="S115" s="368">
        <v>0</v>
      </c>
      <c r="T115" s="352">
        <v>0</v>
      </c>
      <c r="U115" s="352">
        <v>0</v>
      </c>
      <c r="V115" s="352">
        <v>0</v>
      </c>
      <c r="W115" s="353">
        <v>0</v>
      </c>
      <c r="X115" s="352">
        <v>0</v>
      </c>
      <c r="Y115" s="352">
        <v>0</v>
      </c>
      <c r="Z115" s="352">
        <v>0</v>
      </c>
      <c r="AA115" s="353">
        <v>0</v>
      </c>
      <c r="AB115" s="514"/>
      <c r="AC115" s="515"/>
    </row>
    <row r="116" spans="1:29">
      <c r="A116" s="468"/>
      <c r="B116" s="445" t="s">
        <v>17</v>
      </c>
      <c r="C116" s="446">
        <v>7.2639447958596894E-3</v>
      </c>
      <c r="D116" s="459">
        <v>0</v>
      </c>
      <c r="E116" s="459">
        <v>2.1425187585005424E-2</v>
      </c>
      <c r="F116" s="459">
        <v>0</v>
      </c>
      <c r="G116" s="459">
        <v>2.0235049527932945E-3</v>
      </c>
      <c r="H116" s="459">
        <v>3.9255608265527327E-2</v>
      </c>
      <c r="I116" s="446">
        <v>1.7000066209431591E-2</v>
      </c>
      <c r="J116" s="446">
        <v>6.8092245419684699E-2</v>
      </c>
      <c r="K116" s="459">
        <v>0</v>
      </c>
      <c r="L116" s="459">
        <v>6.2389101940358307E-2</v>
      </c>
      <c r="M116" s="459">
        <v>4.5842391656328717E-2</v>
      </c>
      <c r="N116" s="446">
        <v>5.2104722299324321E-2</v>
      </c>
      <c r="O116" s="446">
        <v>0</v>
      </c>
      <c r="P116" s="459">
        <v>0</v>
      </c>
      <c r="Q116" s="446">
        <v>0</v>
      </c>
      <c r="R116" s="445">
        <v>0</v>
      </c>
      <c r="S116" s="445">
        <v>0</v>
      </c>
      <c r="T116" s="356">
        <v>0</v>
      </c>
      <c r="U116" s="356">
        <v>0</v>
      </c>
      <c r="V116" s="356">
        <v>0</v>
      </c>
      <c r="W116" s="357">
        <v>0</v>
      </c>
      <c r="X116" s="356">
        <v>0</v>
      </c>
      <c r="Y116" s="356">
        <v>0</v>
      </c>
      <c r="Z116" s="356">
        <v>0</v>
      </c>
      <c r="AA116" s="357">
        <v>0</v>
      </c>
      <c r="AB116" s="514"/>
      <c r="AC116" s="515"/>
    </row>
    <row r="117" spans="1:29">
      <c r="A117" s="468"/>
      <c r="B117" s="444" t="s">
        <v>204</v>
      </c>
      <c r="C117" s="460">
        <v>1.4448553993992447E-3</v>
      </c>
      <c r="D117" s="461">
        <v>0</v>
      </c>
      <c r="E117" s="461">
        <v>4.0841908941825211E-3</v>
      </c>
      <c r="F117" s="461">
        <v>0</v>
      </c>
      <c r="G117" s="461">
        <v>1.3280913255637745E-3</v>
      </c>
      <c r="H117" s="461">
        <v>1.0978062534349135E-2</v>
      </c>
      <c r="I117" s="460">
        <v>4.147503233022317E-3</v>
      </c>
      <c r="J117" s="460">
        <v>1.3887533721152694E-2</v>
      </c>
      <c r="K117" s="461">
        <v>0</v>
      </c>
      <c r="L117" s="461">
        <v>6.8462382702457955E-3</v>
      </c>
      <c r="M117" s="461">
        <v>1.7691880218629434E-2</v>
      </c>
      <c r="N117" s="460">
        <v>1.4179806299615259E-2</v>
      </c>
      <c r="O117" s="460">
        <v>0</v>
      </c>
      <c r="P117" s="461">
        <v>0</v>
      </c>
      <c r="Q117" s="460">
        <v>0</v>
      </c>
      <c r="R117" s="460">
        <v>0</v>
      </c>
      <c r="S117" s="460">
        <v>0</v>
      </c>
      <c r="T117" s="358">
        <v>0</v>
      </c>
      <c r="U117" s="358">
        <v>0</v>
      </c>
      <c r="V117" s="358">
        <v>0</v>
      </c>
      <c r="W117" s="359">
        <v>0</v>
      </c>
      <c r="X117" s="358">
        <v>0</v>
      </c>
      <c r="Y117" s="358">
        <v>0</v>
      </c>
      <c r="Z117" s="358">
        <v>0</v>
      </c>
      <c r="AA117" s="359">
        <v>0</v>
      </c>
      <c r="AB117" s="514"/>
      <c r="AC117" s="515"/>
    </row>
    <row r="118" spans="1:29">
      <c r="A118" s="467" t="s">
        <v>12</v>
      </c>
      <c r="B118" s="362"/>
      <c r="C118" s="366">
        <v>23944430.5</v>
      </c>
      <c r="D118" s="367">
        <v>4280354.8</v>
      </c>
      <c r="E118" s="367">
        <v>16000621.5</v>
      </c>
      <c r="F118" s="367">
        <v>3353544</v>
      </c>
      <c r="G118" s="367">
        <v>1753008</v>
      </c>
      <c r="H118" s="367">
        <v>1959633.5</v>
      </c>
      <c r="I118" s="366">
        <v>51291592.299999997</v>
      </c>
      <c r="J118" s="366">
        <v>23829166</v>
      </c>
      <c r="K118" s="367">
        <v>24684741.5</v>
      </c>
      <c r="L118" s="367">
        <v>11643214.5</v>
      </c>
      <c r="M118" s="367">
        <v>3139752.9</v>
      </c>
      <c r="N118" s="366">
        <v>63296874.899999999</v>
      </c>
      <c r="O118" s="366">
        <v>6003486</v>
      </c>
      <c r="P118" s="367">
        <v>6003486</v>
      </c>
      <c r="Q118" s="366">
        <v>2645837</v>
      </c>
      <c r="R118" s="366">
        <v>57246</v>
      </c>
      <c r="S118" s="366">
        <v>2703083</v>
      </c>
      <c r="T118" s="350">
        <v>0</v>
      </c>
      <c r="U118" s="350">
        <v>0</v>
      </c>
      <c r="V118" s="350">
        <v>4341615</v>
      </c>
      <c r="W118" s="351">
        <v>4341615</v>
      </c>
      <c r="X118" s="350">
        <v>1412008</v>
      </c>
      <c r="Y118" s="350">
        <v>1412008</v>
      </c>
      <c r="Z118" s="350">
        <v>281839</v>
      </c>
      <c r="AA118" s="351">
        <v>281839</v>
      </c>
      <c r="AB118" s="512"/>
      <c r="AC118" s="513"/>
    </row>
    <row r="119" spans="1:29">
      <c r="A119" s="468" t="s">
        <v>18</v>
      </c>
      <c r="B119" s="447"/>
      <c r="C119" s="368">
        <v>111841</v>
      </c>
      <c r="D119" s="106">
        <v>47894</v>
      </c>
      <c r="E119" s="106">
        <v>182435</v>
      </c>
      <c r="F119" s="106">
        <v>52072</v>
      </c>
      <c r="G119" s="106">
        <v>13918</v>
      </c>
      <c r="H119" s="106">
        <v>41133</v>
      </c>
      <c r="I119" s="368">
        <v>449293</v>
      </c>
      <c r="J119" s="368">
        <v>715385</v>
      </c>
      <c r="K119" s="106">
        <v>1340894</v>
      </c>
      <c r="L119" s="106">
        <v>1151860</v>
      </c>
      <c r="M119" s="106">
        <v>391243.3</v>
      </c>
      <c r="N119" s="368">
        <v>3599382.3</v>
      </c>
      <c r="O119" s="368">
        <v>868725</v>
      </c>
      <c r="P119" s="106">
        <v>868725</v>
      </c>
      <c r="Q119" s="368">
        <v>156060.1</v>
      </c>
      <c r="R119" s="368">
        <v>2477</v>
      </c>
      <c r="S119" s="368">
        <v>158537.1</v>
      </c>
      <c r="T119" s="352">
        <v>0</v>
      </c>
      <c r="U119" s="352">
        <v>0</v>
      </c>
      <c r="V119" s="352">
        <v>321186</v>
      </c>
      <c r="W119" s="353">
        <v>321186</v>
      </c>
      <c r="X119" s="352">
        <v>448161</v>
      </c>
      <c r="Y119" s="352">
        <v>448161</v>
      </c>
      <c r="Z119" s="352">
        <v>105831</v>
      </c>
      <c r="AA119" s="353">
        <v>105831</v>
      </c>
      <c r="AB119" s="512"/>
      <c r="AC119" s="513"/>
    </row>
    <row r="120" spans="1:29">
      <c r="A120" s="468" t="s">
        <v>20</v>
      </c>
      <c r="B120" s="446"/>
      <c r="C120" s="446">
        <v>4.670856548457062E-3</v>
      </c>
      <c r="D120" s="459">
        <v>1.1189259357658856E-2</v>
      </c>
      <c r="E120" s="459">
        <v>1.1401744613482669E-2</v>
      </c>
      <c r="F120" s="459">
        <v>1.5527453941263333E-2</v>
      </c>
      <c r="G120" s="459">
        <v>7.9394959977364624E-3</v>
      </c>
      <c r="H120" s="459">
        <v>2.0990149433554796E-2</v>
      </c>
      <c r="I120" s="446">
        <v>8.759583780751529E-3</v>
      </c>
      <c r="J120" s="446">
        <v>3.0021403182973336E-2</v>
      </c>
      <c r="K120" s="459">
        <v>5.4320763294199374E-2</v>
      </c>
      <c r="L120" s="459">
        <v>9.8929724261285407E-2</v>
      </c>
      <c r="M120" s="459">
        <v>0.12460958312993357</v>
      </c>
      <c r="N120" s="446">
        <v>5.6865087031334624E-2</v>
      </c>
      <c r="O120" s="446">
        <v>0.14470342730873362</v>
      </c>
      <c r="P120" s="459">
        <v>0.14470342730873362</v>
      </c>
      <c r="Q120" s="446">
        <v>5.8983263141304622E-2</v>
      </c>
      <c r="R120" s="446">
        <v>4.3269398735282814E-2</v>
      </c>
      <c r="S120" s="446">
        <v>5.8650474291762407E-2</v>
      </c>
      <c r="T120" s="354">
        <v>0</v>
      </c>
      <c r="U120" s="354">
        <v>0</v>
      </c>
      <c r="V120" s="354">
        <v>7.3978461931792666E-2</v>
      </c>
      <c r="W120" s="355">
        <v>7.3978461931792666E-2</v>
      </c>
      <c r="X120" s="354">
        <v>0.31739267766188295</v>
      </c>
      <c r="Y120" s="354">
        <v>0.31739267766188295</v>
      </c>
      <c r="Z120" s="354">
        <v>0.37550161617093447</v>
      </c>
      <c r="AA120" s="355">
        <v>0.37550161617093447</v>
      </c>
      <c r="AB120" s="516"/>
      <c r="AC120" s="517"/>
    </row>
    <row r="121" spans="1:29">
      <c r="A121" s="468" t="s">
        <v>13</v>
      </c>
      <c r="B121" s="447"/>
      <c r="C121" s="368">
        <v>24719310.5</v>
      </c>
      <c r="D121" s="106">
        <v>4343353.8900000006</v>
      </c>
      <c r="E121" s="106">
        <v>16237287.5</v>
      </c>
      <c r="F121" s="106">
        <v>3345896</v>
      </c>
      <c r="G121" s="106">
        <v>1780528</v>
      </c>
      <c r="H121" s="106">
        <v>1658069.8</v>
      </c>
      <c r="I121" s="368">
        <v>52084445.689999998</v>
      </c>
      <c r="J121" s="368">
        <v>23752457</v>
      </c>
      <c r="K121" s="106">
        <v>24230711.32</v>
      </c>
      <c r="L121" s="106">
        <v>11253439.32</v>
      </c>
      <c r="M121" s="106">
        <v>3005433.21</v>
      </c>
      <c r="N121" s="368">
        <v>62242040.850000001</v>
      </c>
      <c r="O121" s="368">
        <v>5840995.5</v>
      </c>
      <c r="P121" s="106">
        <v>5840995.5</v>
      </c>
      <c r="Q121" s="368">
        <v>2500975</v>
      </c>
      <c r="R121" s="368">
        <v>53235</v>
      </c>
      <c r="S121" s="368">
        <v>2554210</v>
      </c>
      <c r="T121" s="352">
        <v>44047</v>
      </c>
      <c r="U121" s="352">
        <v>44047</v>
      </c>
      <c r="V121" s="352">
        <v>4208485.5</v>
      </c>
      <c r="W121" s="353">
        <v>4208485.5</v>
      </c>
      <c r="X121" s="352">
        <v>1370343</v>
      </c>
      <c r="Y121" s="352">
        <v>1370343</v>
      </c>
      <c r="Z121" s="352">
        <v>296476</v>
      </c>
      <c r="AA121" s="353">
        <v>296476</v>
      </c>
      <c r="AB121" s="512"/>
      <c r="AC121" s="513"/>
    </row>
    <row r="122" spans="1:29">
      <c r="A122" s="468" t="s">
        <v>19</v>
      </c>
      <c r="B122" s="447"/>
      <c r="C122" s="368">
        <v>120170</v>
      </c>
      <c r="D122" s="106">
        <v>59318</v>
      </c>
      <c r="E122" s="106">
        <v>223902</v>
      </c>
      <c r="F122" s="106">
        <v>54597</v>
      </c>
      <c r="G122" s="106">
        <v>16718</v>
      </c>
      <c r="H122" s="106">
        <v>47267</v>
      </c>
      <c r="I122" s="368">
        <v>521972</v>
      </c>
      <c r="J122" s="368">
        <v>777334</v>
      </c>
      <c r="K122" s="106">
        <v>1460083</v>
      </c>
      <c r="L122" s="106">
        <v>1263460</v>
      </c>
      <c r="M122" s="106">
        <v>431306.4</v>
      </c>
      <c r="N122" s="368">
        <v>3932183.4</v>
      </c>
      <c r="O122" s="368">
        <v>947609</v>
      </c>
      <c r="P122" s="106">
        <v>947609</v>
      </c>
      <c r="Q122" s="368">
        <v>192241.8</v>
      </c>
      <c r="R122" s="368">
        <v>2440</v>
      </c>
      <c r="S122" s="368">
        <v>194681.8</v>
      </c>
      <c r="T122" s="352">
        <v>0</v>
      </c>
      <c r="U122" s="352">
        <v>0</v>
      </c>
      <c r="V122" s="352">
        <v>368379</v>
      </c>
      <c r="W122" s="353">
        <v>368379</v>
      </c>
      <c r="X122" s="352">
        <v>474378</v>
      </c>
      <c r="Y122" s="352">
        <v>474378</v>
      </c>
      <c r="Z122" s="352">
        <v>118211</v>
      </c>
      <c r="AA122" s="353">
        <v>118211</v>
      </c>
      <c r="AB122" s="512"/>
      <c r="AC122" s="513"/>
    </row>
    <row r="123" spans="1:29">
      <c r="A123" s="468" t="s">
        <v>21</v>
      </c>
      <c r="B123" s="445"/>
      <c r="C123" s="446">
        <v>4.861381550266137E-3</v>
      </c>
      <c r="D123" s="459">
        <v>1.3657187855811581E-2</v>
      </c>
      <c r="E123" s="459">
        <v>1.3789372147287532E-2</v>
      </c>
      <c r="F123" s="459">
        <v>1.6317602220750436E-2</v>
      </c>
      <c r="G123" s="459">
        <v>9.389349676051149E-3</v>
      </c>
      <c r="H123" s="459">
        <v>2.8507243784308717E-2</v>
      </c>
      <c r="I123" s="446">
        <v>1.0021648365170497E-2</v>
      </c>
      <c r="J123" s="446">
        <v>3.2726466992446294E-2</v>
      </c>
      <c r="K123" s="459">
        <v>6.0257537664395733E-2</v>
      </c>
      <c r="L123" s="459">
        <v>0.11227323168256084</v>
      </c>
      <c r="M123" s="459">
        <v>0.14350889534490771</v>
      </c>
      <c r="N123" s="446">
        <v>6.3175682325011681E-2</v>
      </c>
      <c r="O123" s="446">
        <v>0.16223416025573037</v>
      </c>
      <c r="P123" s="459">
        <v>0.16223416025573037</v>
      </c>
      <c r="Q123" s="446">
        <v>7.6866741970631453E-2</v>
      </c>
      <c r="R123" s="445">
        <v>4.5834507372968909E-2</v>
      </c>
      <c r="S123" s="445">
        <v>7.6219966251796056E-2</v>
      </c>
      <c r="T123" s="356">
        <v>0</v>
      </c>
      <c r="U123" s="356">
        <v>0</v>
      </c>
      <c r="V123" s="356">
        <v>8.7532438926069725E-2</v>
      </c>
      <c r="W123" s="357">
        <v>8.7532438926069725E-2</v>
      </c>
      <c r="X123" s="356">
        <v>0.34617464386653563</v>
      </c>
      <c r="Y123" s="356">
        <v>0.34617464386653563</v>
      </c>
      <c r="Z123" s="356">
        <v>0.39872030113736018</v>
      </c>
      <c r="AA123" s="357">
        <v>0.39872030113736018</v>
      </c>
      <c r="AB123" s="512"/>
      <c r="AC123" s="513"/>
    </row>
    <row r="124" spans="1:29">
      <c r="A124" s="468" t="s">
        <v>205</v>
      </c>
      <c r="B124" s="444"/>
      <c r="C124" s="460">
        <v>1.9052500180907501E-4</v>
      </c>
      <c r="D124" s="461">
        <v>2.4679284981527251E-3</v>
      </c>
      <c r="E124" s="461">
        <v>2.387627533804863E-3</v>
      </c>
      <c r="F124" s="461">
        <v>7.901482794871028E-4</v>
      </c>
      <c r="G124" s="461">
        <v>1.4498536783146866E-3</v>
      </c>
      <c r="H124" s="461">
        <v>7.5170943507539209E-3</v>
      </c>
      <c r="I124" s="460">
        <v>1.2620645844189683E-3</v>
      </c>
      <c r="J124" s="460">
        <v>2.705063809472958E-3</v>
      </c>
      <c r="K124" s="461">
        <v>5.9367743701963585E-3</v>
      </c>
      <c r="L124" s="461">
        <v>1.3343507421275436E-2</v>
      </c>
      <c r="M124" s="461">
        <v>1.8899312214974137E-2</v>
      </c>
      <c r="N124" s="460">
        <v>6.3105952936770571E-3</v>
      </c>
      <c r="O124" s="460">
        <v>1.7530732946996752E-2</v>
      </c>
      <c r="P124" s="461">
        <v>1.7530732946996752E-2</v>
      </c>
      <c r="Q124" s="460">
        <v>1.7883478829326831E-2</v>
      </c>
      <c r="R124" s="460">
        <v>2.5651086376860949E-3</v>
      </c>
      <c r="S124" s="460">
        <v>1.7569491960033649E-2</v>
      </c>
      <c r="T124" s="358">
        <v>0</v>
      </c>
      <c r="U124" s="358">
        <v>0</v>
      </c>
      <c r="V124" s="358">
        <v>1.3553976994277059E-2</v>
      </c>
      <c r="W124" s="359">
        <v>1.3553976994277059E-2</v>
      </c>
      <c r="X124" s="358">
        <v>2.8781966204652676E-2</v>
      </c>
      <c r="Y124" s="358">
        <v>2.8781966204652676E-2</v>
      </c>
      <c r="Z124" s="358">
        <v>2.3218684966425707E-2</v>
      </c>
      <c r="AA124" s="359">
        <v>2.3218684966425707E-2</v>
      </c>
      <c r="AB124" s="518"/>
      <c r="AC124" s="519"/>
    </row>
    <row r="125" spans="1:29">
      <c r="A125" s="370" t="s">
        <v>206</v>
      </c>
      <c r="B125"/>
      <c r="C125" s="316"/>
      <c r="D125" s="316"/>
      <c r="E125" s="316"/>
      <c r="F125" s="316"/>
      <c r="G125" s="316"/>
      <c r="H125" s="316"/>
      <c r="I125" s="316"/>
      <c r="J125" s="316"/>
      <c r="K125" s="316"/>
      <c r="L125" s="316"/>
      <c r="M125" s="316"/>
      <c r="N125" s="316"/>
      <c r="O125" s="316"/>
      <c r="P125" s="316"/>
      <c r="Q125" s="316"/>
      <c r="R125" s="316"/>
      <c r="S125" s="316"/>
      <c r="T125"/>
      <c r="U125"/>
      <c r="V125"/>
      <c r="W125"/>
      <c r="X125"/>
      <c r="Y125"/>
      <c r="Z125"/>
      <c r="AA125"/>
    </row>
    <row r="126" spans="1:29">
      <c r="A126"/>
      <c r="B126"/>
      <c r="C126" s="316"/>
      <c r="D126" s="316"/>
      <c r="E126" s="316"/>
      <c r="F126" s="316"/>
      <c r="G126" s="316"/>
      <c r="H126" s="316"/>
      <c r="I126" s="316"/>
      <c r="J126" s="316"/>
      <c r="K126" s="316"/>
      <c r="L126" s="316"/>
      <c r="M126" s="316"/>
      <c r="N126" s="316"/>
      <c r="O126" s="316"/>
      <c r="P126" s="316"/>
      <c r="Q126" s="316"/>
      <c r="R126" s="316"/>
      <c r="S126" s="316"/>
      <c r="T126"/>
      <c r="U126"/>
      <c r="V126"/>
      <c r="W126"/>
      <c r="X126"/>
      <c r="Y126"/>
      <c r="Z126"/>
      <c r="AA126"/>
    </row>
    <row r="127" spans="1:29">
      <c r="A127"/>
      <c r="B127"/>
      <c r="C127" s="316"/>
      <c r="D127" s="316"/>
      <c r="E127" s="316"/>
      <c r="F127" s="316"/>
      <c r="G127" s="316"/>
      <c r="H127" s="316"/>
      <c r="I127" s="316"/>
      <c r="J127" s="316"/>
      <c r="K127" s="316"/>
      <c r="L127" s="316"/>
      <c r="M127" s="316"/>
      <c r="N127" s="316"/>
      <c r="O127" s="316"/>
      <c r="P127" s="316"/>
      <c r="Q127" s="316"/>
      <c r="R127" s="316"/>
      <c r="S127" s="316"/>
      <c r="T127"/>
      <c r="U127"/>
      <c r="V127"/>
      <c r="W127"/>
      <c r="X127"/>
      <c r="Y127"/>
      <c r="Z127"/>
      <c r="AA127"/>
    </row>
    <row r="128" spans="1:29">
      <c r="A128"/>
      <c r="B128"/>
      <c r="C128" s="316"/>
      <c r="D128" s="316"/>
      <c r="E128" s="316"/>
      <c r="F128" s="316"/>
      <c r="G128" s="316"/>
      <c r="H128" s="316"/>
      <c r="I128" s="316"/>
      <c r="J128" s="316"/>
      <c r="K128" s="316"/>
      <c r="L128" s="316"/>
      <c r="M128" s="316"/>
      <c r="N128" s="316"/>
      <c r="O128" s="316"/>
      <c r="P128" s="316"/>
      <c r="Q128" s="316"/>
      <c r="R128" s="316"/>
      <c r="S128" s="316"/>
      <c r="T128"/>
      <c r="U128"/>
      <c r="V128"/>
      <c r="W128"/>
      <c r="X128"/>
      <c r="Y128"/>
      <c r="Z128"/>
      <c r="AA128"/>
    </row>
    <row r="129" spans="1:27">
      <c r="A129"/>
      <c r="B129"/>
      <c r="C129" s="316"/>
      <c r="D129" s="316"/>
      <c r="E129" s="316"/>
      <c r="F129" s="316"/>
      <c r="G129" s="316"/>
      <c r="H129" s="316"/>
      <c r="I129" s="316"/>
      <c r="J129" s="316"/>
      <c r="K129" s="316"/>
      <c r="L129" s="316"/>
      <c r="M129" s="316"/>
      <c r="N129" s="316"/>
      <c r="O129" s="316"/>
      <c r="P129" s="316"/>
      <c r="Q129" s="316"/>
      <c r="R129" s="316"/>
      <c r="S129" s="316"/>
      <c r="T129"/>
      <c r="U129"/>
      <c r="V129"/>
      <c r="W129"/>
      <c r="X129"/>
      <c r="Y129"/>
      <c r="Z129"/>
      <c r="AA129"/>
    </row>
    <row r="130" spans="1:27">
      <c r="A130"/>
      <c r="B130"/>
      <c r="C130" s="316"/>
      <c r="D130" s="316"/>
      <c r="E130" s="316"/>
      <c r="F130" s="316"/>
      <c r="G130" s="316"/>
      <c r="H130" s="316"/>
      <c r="I130" s="316"/>
      <c r="J130" s="316"/>
      <c r="K130" s="316"/>
      <c r="L130" s="316"/>
      <c r="M130" s="316"/>
      <c r="N130" s="316"/>
      <c r="O130" s="316"/>
      <c r="P130" s="316"/>
      <c r="Q130" s="316"/>
      <c r="R130" s="316"/>
      <c r="S130" s="316"/>
      <c r="T130"/>
      <c r="U130"/>
      <c r="V130"/>
      <c r="W130"/>
      <c r="X130"/>
      <c r="Y130"/>
      <c r="Z130"/>
      <c r="AA130"/>
    </row>
    <row r="131" spans="1:27">
      <c r="A131"/>
      <c r="B131"/>
      <c r="C131" s="316"/>
      <c r="D131" s="316"/>
      <c r="E131" s="316"/>
      <c r="F131" s="316"/>
      <c r="G131" s="316"/>
      <c r="H131" s="316"/>
      <c r="I131" s="316"/>
      <c r="J131" s="316"/>
      <c r="K131" s="316"/>
      <c r="L131" s="316"/>
      <c r="M131" s="316"/>
      <c r="N131" s="316"/>
      <c r="O131" s="316"/>
      <c r="P131" s="316"/>
      <c r="Q131" s="316"/>
      <c r="R131" s="316"/>
      <c r="S131" s="316"/>
      <c r="T131"/>
      <c r="U131"/>
      <c r="V131"/>
      <c r="W131"/>
      <c r="X131"/>
      <c r="Y131"/>
      <c r="Z131"/>
      <c r="AA131"/>
    </row>
    <row r="132" spans="1:27">
      <c r="A132"/>
      <c r="B132"/>
      <c r="C132" s="316"/>
      <c r="D132" s="316"/>
      <c r="E132" s="316"/>
      <c r="F132" s="316"/>
      <c r="G132" s="316"/>
      <c r="H132" s="316"/>
      <c r="I132" s="316"/>
      <c r="J132" s="316"/>
      <c r="K132" s="316"/>
      <c r="L132" s="316"/>
      <c r="M132" s="316"/>
      <c r="N132" s="316"/>
      <c r="O132" s="316"/>
      <c r="P132" s="316"/>
      <c r="Q132" s="316"/>
      <c r="R132" s="316"/>
      <c r="S132" s="316"/>
      <c r="T132"/>
      <c r="X132"/>
    </row>
    <row r="133" spans="1:27">
      <c r="A133"/>
      <c r="B133"/>
      <c r="C133" s="316"/>
      <c r="D133" s="316"/>
      <c r="E133" s="316"/>
      <c r="F133" s="316"/>
      <c r="G133" s="316"/>
      <c r="H133" s="316"/>
      <c r="I133" s="316"/>
      <c r="J133" s="316"/>
      <c r="K133" s="316"/>
      <c r="L133" s="316"/>
      <c r="M133" s="316"/>
      <c r="N133" s="316"/>
      <c r="O133" s="316"/>
      <c r="P133" s="316"/>
      <c r="Q133" s="316"/>
      <c r="R133" s="316"/>
      <c r="S133" s="316"/>
      <c r="T133"/>
      <c r="X133"/>
    </row>
    <row r="134" spans="1:27">
      <c r="A134"/>
      <c r="B134"/>
      <c r="C134" s="316"/>
      <c r="D134" s="316"/>
      <c r="E134" s="316"/>
      <c r="F134" s="316"/>
      <c r="G134" s="316"/>
      <c r="H134" s="316"/>
      <c r="I134" s="316"/>
      <c r="J134" s="316"/>
      <c r="K134" s="316"/>
      <c r="L134" s="316"/>
      <c r="M134" s="316"/>
      <c r="N134" s="316"/>
      <c r="O134" s="316"/>
      <c r="P134" s="316"/>
      <c r="Q134" s="316"/>
      <c r="R134" s="316"/>
      <c r="S134" s="316"/>
      <c r="T134"/>
      <c r="X134"/>
    </row>
    <row r="135" spans="1:27">
      <c r="A135"/>
      <c r="B135"/>
      <c r="C135" s="316"/>
      <c r="D135" s="316"/>
      <c r="E135" s="316"/>
      <c r="F135" s="316"/>
      <c r="G135" s="316"/>
      <c r="H135" s="316"/>
      <c r="I135" s="316"/>
      <c r="J135" s="316"/>
      <c r="K135" s="316"/>
      <c r="L135" s="316"/>
      <c r="M135" s="316"/>
      <c r="N135" s="316"/>
      <c r="O135" s="316"/>
      <c r="P135" s="316"/>
      <c r="Q135" s="316"/>
      <c r="R135" s="316"/>
      <c r="S135" s="316"/>
      <c r="T135"/>
      <c r="X135"/>
    </row>
    <row r="136" spans="1:27">
      <c r="A136"/>
      <c r="B136"/>
      <c r="C136" s="316"/>
      <c r="D136" s="316"/>
      <c r="E136" s="316"/>
      <c r="F136" s="316"/>
      <c r="G136" s="316"/>
      <c r="H136" s="316"/>
      <c r="I136" s="316"/>
      <c r="J136" s="316"/>
      <c r="K136" s="316"/>
      <c r="L136" s="316"/>
      <c r="M136" s="316"/>
      <c r="N136" s="316"/>
      <c r="O136" s="316"/>
      <c r="P136" s="316"/>
      <c r="Q136" s="316"/>
      <c r="R136" s="316"/>
      <c r="S136" s="316"/>
      <c r="T136"/>
      <c r="X136"/>
    </row>
    <row r="137" spans="1:27">
      <c r="A137"/>
      <c r="B137"/>
      <c r="C137" s="316"/>
      <c r="D137" s="316"/>
      <c r="E137" s="316"/>
      <c r="F137" s="316"/>
      <c r="G137" s="316"/>
      <c r="H137" s="316"/>
      <c r="I137" s="316"/>
      <c r="J137" s="316"/>
      <c r="K137" s="316"/>
      <c r="L137" s="316"/>
      <c r="M137" s="316"/>
      <c r="N137" s="316"/>
      <c r="O137" s="316"/>
      <c r="P137" s="316"/>
      <c r="Q137" s="316"/>
      <c r="R137" s="316"/>
      <c r="S137" s="316"/>
      <c r="T137"/>
      <c r="X137"/>
    </row>
    <row r="138" spans="1:27">
      <c r="A138"/>
      <c r="B138"/>
      <c r="C138" s="316"/>
      <c r="D138" s="316"/>
      <c r="E138" s="316"/>
      <c r="F138" s="316"/>
      <c r="G138" s="316"/>
      <c r="H138" s="316"/>
      <c r="I138" s="316"/>
      <c r="J138" s="316"/>
      <c r="K138" s="316"/>
      <c r="L138" s="316"/>
      <c r="M138" s="316"/>
      <c r="N138" s="316"/>
      <c r="O138" s="316"/>
      <c r="P138" s="316"/>
      <c r="Q138" s="316"/>
      <c r="R138" s="316"/>
      <c r="S138" s="316"/>
      <c r="T138"/>
      <c r="X138"/>
    </row>
    <row r="139" spans="1:27">
      <c r="A139"/>
      <c r="B139"/>
      <c r="C139" s="316"/>
      <c r="D139" s="316"/>
      <c r="E139" s="316"/>
      <c r="F139" s="316"/>
      <c r="G139" s="316"/>
      <c r="H139" s="316"/>
      <c r="I139" s="316"/>
      <c r="J139" s="316"/>
      <c r="K139" s="316"/>
      <c r="L139" s="316"/>
      <c r="M139" s="316"/>
      <c r="N139" s="316"/>
      <c r="O139" s="316"/>
      <c r="P139" s="316"/>
      <c r="Q139" s="316"/>
      <c r="R139" s="316"/>
      <c r="S139" s="316"/>
      <c r="T139"/>
      <c r="X139"/>
    </row>
    <row r="140" spans="1:27">
      <c r="A140"/>
      <c r="B140"/>
      <c r="C140" s="316"/>
      <c r="D140" s="316"/>
      <c r="E140" s="316"/>
      <c r="F140" s="316"/>
      <c r="G140" s="316"/>
      <c r="H140" s="316"/>
      <c r="I140" s="316"/>
      <c r="J140" s="316"/>
      <c r="K140" s="316"/>
      <c r="L140" s="316"/>
      <c r="M140" s="316"/>
      <c r="N140" s="316"/>
      <c r="O140" s="316"/>
      <c r="P140" s="316"/>
      <c r="Q140" s="316"/>
      <c r="R140" s="316"/>
      <c r="S140" s="316"/>
      <c r="T140"/>
      <c r="X140"/>
    </row>
    <row r="141" spans="1:27">
      <c r="A141"/>
      <c r="B141"/>
      <c r="C141" s="316"/>
      <c r="D141" s="316"/>
      <c r="E141" s="316"/>
      <c r="F141" s="316"/>
      <c r="G141" s="316"/>
      <c r="H141" s="316"/>
      <c r="I141" s="316"/>
      <c r="J141" s="316"/>
      <c r="K141" s="316"/>
      <c r="L141" s="316"/>
      <c r="M141" s="316"/>
      <c r="N141" s="316"/>
      <c r="O141" s="316"/>
      <c r="P141" s="316"/>
      <c r="Q141" s="316"/>
      <c r="R141" s="316"/>
      <c r="S141" s="316"/>
      <c r="T141"/>
      <c r="X141"/>
    </row>
    <row r="145" spans="3:19">
      <c r="C145" s="180"/>
      <c r="D145" s="180"/>
      <c r="E145" s="180"/>
      <c r="F145" s="180"/>
      <c r="G145" s="180"/>
      <c r="H145" s="180"/>
      <c r="I145" s="180"/>
      <c r="J145" s="180"/>
      <c r="K145" s="180"/>
      <c r="L145" s="180"/>
      <c r="M145" s="180"/>
      <c r="N145" s="180"/>
      <c r="O145" s="180"/>
      <c r="P145" s="180"/>
      <c r="Q145" s="180"/>
      <c r="R145" s="180"/>
      <c r="S145" s="180"/>
    </row>
    <row r="146" spans="3:19">
      <c r="C146" s="180"/>
      <c r="D146" s="180"/>
      <c r="E146" s="180"/>
      <c r="F146" s="180"/>
      <c r="G146" s="180"/>
      <c r="H146" s="180"/>
      <c r="I146" s="180"/>
      <c r="J146" s="180"/>
      <c r="K146" s="180"/>
      <c r="L146" s="180"/>
      <c r="M146" s="180"/>
      <c r="N146" s="180"/>
      <c r="O146" s="180"/>
      <c r="P146" s="180"/>
      <c r="Q146" s="180"/>
      <c r="R146" s="180"/>
      <c r="S146" s="180"/>
    </row>
    <row r="147" spans="3:19">
      <c r="C147" s="180"/>
      <c r="D147" s="180"/>
      <c r="E147" s="180"/>
      <c r="F147" s="180"/>
      <c r="G147" s="180"/>
      <c r="H147" s="180"/>
      <c r="I147" s="180"/>
      <c r="J147" s="180"/>
      <c r="K147" s="180"/>
      <c r="L147" s="180"/>
      <c r="M147" s="180"/>
      <c r="N147" s="180"/>
      <c r="O147" s="180"/>
      <c r="P147" s="180"/>
      <c r="Q147" s="180"/>
      <c r="R147" s="180"/>
      <c r="S147" s="180"/>
    </row>
    <row r="148" spans="3:19">
      <c r="C148" s="180"/>
      <c r="D148" s="180"/>
      <c r="E148" s="180"/>
      <c r="F148" s="180"/>
      <c r="G148" s="180"/>
      <c r="H148" s="180"/>
      <c r="I148" s="180"/>
      <c r="J148" s="180"/>
      <c r="K148" s="180"/>
      <c r="L148" s="180"/>
      <c r="M148" s="180"/>
      <c r="N148" s="180"/>
      <c r="O148" s="180"/>
      <c r="P148" s="180"/>
      <c r="Q148" s="180"/>
      <c r="R148" s="180"/>
      <c r="S148" s="180"/>
    </row>
  </sheetData>
  <phoneticPr fontId="0" type="noConversion"/>
  <pageMargins left="0.7" right="0.7" top="0.75" bottom="0.75" header="0.3" footer="0.3"/>
  <pageSetup scale="77" pageOrder="overThenDown" orientation="landscape" r:id="rId2"/>
  <headerFooter>
    <oddHeader>&amp;L&amp;"Arial,Bold"SREB-State Data Exchange&amp;C&amp;"Arial,Bold"Preliminary Tables&amp;R&amp;"Arial,Bold"Part 4  -- High School Student Portion of FTE Enrollment</oddHeader>
    <oddFooter>&amp;L&amp;"Arial,Bold"For Agency Review Only&amp;R&amp;"Arial,Bold"October 2009</oddFooter>
  </headerFooter>
  <rowBreaks count="15" manualBreakCount="15">
    <brk id="11" min="2" max="23" man="1"/>
    <brk id="17" min="2" max="23" man="1"/>
    <brk id="23" min="2" max="23" man="1"/>
    <brk id="29" min="2" max="23" man="1"/>
    <brk id="35" min="2" max="23" man="1"/>
    <brk id="41" min="2" max="23" man="1"/>
    <brk id="47" min="2" max="23" man="1"/>
    <brk id="53" min="2" max="23" man="1"/>
    <brk id="59" min="2" max="23" man="1"/>
    <brk id="65" min="2" max="23" man="1"/>
    <brk id="71" min="2" max="23" man="1"/>
    <brk id="77" min="2" max="23" man="1"/>
    <brk id="83" min="2" max="23" man="1"/>
    <brk id="89" min="2" max="23" man="1"/>
    <brk id="95" min="2" max="23" man="1"/>
  </rowBreaks>
  <colBreaks count="1" manualBreakCount="1">
    <brk id="9" min="5" max="100"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12"/>
  </sheetPr>
  <dimension ref="A1:BA1358"/>
  <sheetViews>
    <sheetView topLeftCell="A2" zoomScaleNormal="100" workbookViewId="0">
      <pane xSplit="5" ySplit="5" topLeftCell="AJ659" activePane="bottomRight" state="frozen"/>
      <selection activeCell="A2" sqref="A2"/>
      <selection pane="topRight" activeCell="F2" sqref="F2"/>
      <selection pane="bottomLeft" activeCell="A7" sqref="A7"/>
      <selection pane="bottomRight" activeCell="F7" sqref="F7"/>
    </sheetView>
  </sheetViews>
  <sheetFormatPr defaultRowHeight="12.75"/>
  <cols>
    <col min="1" max="1" width="6.5" style="155" customWidth="1"/>
    <col min="2" max="2" width="48.1640625" style="155" customWidth="1"/>
    <col min="3" max="3" width="22.83203125" style="155" customWidth="1"/>
    <col min="4" max="4" width="11.1640625" style="157" customWidth="1"/>
    <col min="5" max="5" width="11.1640625" style="158" customWidth="1"/>
    <col min="6" max="6" width="10.6640625" style="159" customWidth="1"/>
    <col min="7" max="7" width="8.83203125" style="160" customWidth="1"/>
    <col min="8" max="8" width="10.83203125" style="161" customWidth="1"/>
    <col min="9" max="9" width="12.5" style="156" customWidth="1"/>
    <col min="10" max="10" width="12.6640625" style="161" customWidth="1"/>
    <col min="11" max="11" width="12.5" style="156" customWidth="1"/>
    <col min="12" max="12" width="12.33203125" style="161" customWidth="1"/>
    <col min="13" max="13" width="12.1640625" style="156" customWidth="1"/>
    <col min="14" max="14" width="12.6640625" style="161" customWidth="1"/>
    <col min="15" max="15" width="12.6640625" style="156" customWidth="1"/>
    <col min="16" max="16" width="11.6640625" style="161" customWidth="1"/>
    <col min="17" max="17" width="10.83203125" style="161" customWidth="1"/>
    <col min="18" max="18" width="13.1640625" style="156" customWidth="1"/>
    <col min="19" max="19" width="9.5" style="156" customWidth="1"/>
    <col min="20" max="20" width="11.5" style="156" customWidth="1"/>
    <col min="21" max="21" width="11.1640625" style="156" bestFit="1" customWidth="1"/>
    <col min="22" max="22" width="13.33203125" style="161" customWidth="1"/>
    <col min="23" max="23" width="12.1640625" style="161" customWidth="1"/>
    <col min="24" max="24" width="12.83203125" style="161" customWidth="1"/>
    <col min="25" max="25" width="12.1640625" style="156" customWidth="1"/>
    <col min="26" max="26" width="11.5" style="161" customWidth="1"/>
    <col min="27" max="27" width="11.83203125" style="156" customWidth="1"/>
    <col min="28" max="28" width="13.33203125" style="161" customWidth="1"/>
    <col min="29" max="29" width="12.33203125" style="156" customWidth="1"/>
    <col min="30" max="30" width="15.1640625" style="161" customWidth="1"/>
    <col min="31" max="31" width="18.1640625" style="156" customWidth="1"/>
    <col min="32" max="32" width="12.6640625" style="161" customWidth="1"/>
    <col min="33" max="33" width="12" style="161" customWidth="1"/>
    <col min="34" max="34" width="13" style="156" customWidth="1"/>
    <col min="35" max="35" width="10.83203125" style="156" customWidth="1"/>
    <col min="36" max="36" width="12.33203125" style="156" customWidth="1"/>
    <col min="37" max="37" width="12" style="156" customWidth="1"/>
    <col min="38" max="39" width="12.6640625" style="161" customWidth="1"/>
    <col min="40" max="40" width="10.83203125" style="161" customWidth="1"/>
    <col min="41" max="41" width="10.83203125" style="156" customWidth="1"/>
    <col min="42" max="42" width="10.83203125" style="161" customWidth="1"/>
    <col min="43" max="43" width="10.83203125" style="156" customWidth="1"/>
    <col min="44" max="44" width="10.83203125" style="161" customWidth="1"/>
    <col min="45" max="45" width="10.83203125" style="156" customWidth="1"/>
    <col min="46" max="46" width="10.83203125" style="161" customWidth="1"/>
    <col min="47" max="47" width="10.83203125" style="156" customWidth="1"/>
    <col min="48" max="48" width="12.5" style="161" customWidth="1"/>
    <col min="49" max="49" width="10.83203125" style="161" customWidth="1"/>
    <col min="50" max="50" width="12.5" style="156" customWidth="1"/>
    <col min="51" max="53" width="10.83203125" style="155" customWidth="1"/>
    <col min="54" max="16384" width="9.33203125" style="155"/>
  </cols>
  <sheetData>
    <row r="1" spans="1:53" s="84" customFormat="1" hidden="1">
      <c r="A1" s="307"/>
      <c r="B1" s="307"/>
      <c r="C1" s="307"/>
      <c r="D1" s="308"/>
      <c r="E1" s="309"/>
      <c r="F1" s="310"/>
      <c r="G1" s="311"/>
      <c r="H1" s="312"/>
      <c r="I1" s="313"/>
      <c r="J1" s="312"/>
      <c r="K1" s="313"/>
      <c r="L1" s="312"/>
      <c r="M1" s="313"/>
      <c r="N1" s="312"/>
      <c r="O1" s="313"/>
      <c r="P1" s="449">
        <f t="shared" ref="P1" si="0">SUM(H1,J1,L1,N1)</f>
        <v>0</v>
      </c>
      <c r="Q1" s="450">
        <f t="shared" ref="Q1" si="1">+P1/30</f>
        <v>0</v>
      </c>
      <c r="R1" s="451">
        <f t="shared" ref="R1" si="2">SUM(I1,K1,M1,O1)</f>
        <v>0</v>
      </c>
      <c r="S1" s="452">
        <f t="shared" ref="S1" si="3">+R1/30</f>
        <v>0</v>
      </c>
      <c r="T1" s="312"/>
      <c r="U1" s="313"/>
      <c r="V1" s="449">
        <f t="shared" ref="V1" si="4">IF(ISBLANK(T1),0,P1)</f>
        <v>0</v>
      </c>
      <c r="W1" s="448">
        <f>IF(ISBLANK(U1),0,R1)</f>
        <v>0</v>
      </c>
      <c r="X1" s="314"/>
      <c r="Y1" s="313"/>
      <c r="Z1" s="312"/>
      <c r="AA1" s="313"/>
      <c r="AB1" s="312"/>
      <c r="AC1" s="313"/>
      <c r="AD1" s="312"/>
      <c r="AE1" s="313"/>
      <c r="AF1" s="449">
        <f t="shared" ref="AF1" si="5">SUM(X1,Z1,AB1,AD1)</f>
        <v>0</v>
      </c>
      <c r="AG1" s="450">
        <f t="shared" ref="AG1" si="6">+AF1/900</f>
        <v>0</v>
      </c>
      <c r="AH1" s="451">
        <f t="shared" ref="AH1" si="7">SUM(Y1,AA1,AC1,AE1)</f>
        <v>0</v>
      </c>
      <c r="AI1" s="451">
        <f t="shared" ref="AI1" si="8">+AH1/900</f>
        <v>0</v>
      </c>
      <c r="AJ1" s="312"/>
      <c r="AK1" s="313"/>
      <c r="AL1" s="449">
        <f t="shared" ref="AL1" si="9">IF(ISBLANK(AJ1),0,AF1)</f>
        <v>0</v>
      </c>
      <c r="AM1" s="452">
        <f t="shared" ref="AM1" si="10">IF(ISBLANK(AK1),0,AH1)</f>
        <v>0</v>
      </c>
      <c r="AN1" s="312"/>
      <c r="AO1" s="312"/>
      <c r="AP1" s="312"/>
      <c r="AQ1" s="312"/>
      <c r="AR1" s="312"/>
      <c r="AS1" s="312"/>
      <c r="AT1" s="312"/>
      <c r="AU1" s="312"/>
      <c r="AV1" s="449">
        <f t="shared" ref="AV1" si="11">SUM(AN1,AP1,AR1,AT1)</f>
        <v>0</v>
      </c>
      <c r="AW1" s="453">
        <f t="shared" ref="AW1" si="12">+AV1/24</f>
        <v>0</v>
      </c>
      <c r="AX1" s="451">
        <f t="shared" ref="AX1" si="13">SUM(AO1,AQ1,AS1,AU1)</f>
        <v>0</v>
      </c>
      <c r="AY1" s="454">
        <f t="shared" ref="AY1" si="14">+AX1/24</f>
        <v>0</v>
      </c>
      <c r="AZ1" s="455">
        <f>SUM(Q1,AG1,AW1)</f>
        <v>0</v>
      </c>
      <c r="BA1" s="451">
        <f>SUM(S1,AI1,AY1)</f>
        <v>0</v>
      </c>
    </row>
    <row r="2" spans="1:53" ht="18.75" thickBot="1">
      <c r="A2" s="300" t="s">
        <v>200</v>
      </c>
      <c r="B2" s="300"/>
      <c r="C2" s="300"/>
      <c r="D2" s="300"/>
      <c r="E2" s="300"/>
    </row>
    <row r="3" spans="1:53" s="72" customFormat="1" ht="23.25" customHeight="1" thickTop="1">
      <c r="A3" s="301" t="s">
        <v>201</v>
      </c>
      <c r="B3" s="302"/>
      <c r="C3" s="302"/>
      <c r="D3" s="302"/>
      <c r="E3" s="302"/>
      <c r="F3" s="489"/>
      <c r="G3" s="490"/>
      <c r="H3" s="303" t="s">
        <v>107</v>
      </c>
      <c r="I3" s="288"/>
      <c r="J3" s="293"/>
      <c r="K3" s="304"/>
      <c r="L3" s="293"/>
      <c r="M3" s="304"/>
      <c r="N3" s="293"/>
      <c r="O3" s="304"/>
      <c r="P3" s="288" t="s">
        <v>110</v>
      </c>
      <c r="Q3" s="288"/>
      <c r="R3" s="288"/>
      <c r="S3" s="288"/>
      <c r="T3" s="208"/>
      <c r="U3" s="146"/>
      <c r="V3" s="288" t="s">
        <v>110</v>
      </c>
      <c r="W3" s="290"/>
      <c r="X3" s="292" t="s">
        <v>108</v>
      </c>
      <c r="Y3" s="288"/>
      <c r="Z3" s="293"/>
      <c r="AA3" s="304"/>
      <c r="AB3" s="293"/>
      <c r="AC3" s="304"/>
      <c r="AD3" s="293"/>
      <c r="AE3" s="304"/>
      <c r="AF3" s="288" t="s">
        <v>110</v>
      </c>
      <c r="AG3" s="288"/>
      <c r="AH3" s="288"/>
      <c r="AI3" s="288"/>
      <c r="AJ3" s="208"/>
      <c r="AK3" s="146"/>
      <c r="AL3" s="288" t="s">
        <v>110</v>
      </c>
      <c r="AM3" s="290"/>
      <c r="AN3" s="292" t="s">
        <v>109</v>
      </c>
      <c r="AO3" s="288"/>
      <c r="AP3" s="293"/>
      <c r="AQ3" s="304"/>
      <c r="AR3" s="293"/>
      <c r="AS3" s="304"/>
      <c r="AT3" s="293"/>
      <c r="AU3" s="304"/>
      <c r="AV3" s="289" t="s">
        <v>110</v>
      </c>
      <c r="AW3" s="288"/>
      <c r="AX3" s="525"/>
      <c r="AY3" s="288"/>
      <c r="AZ3" s="846" t="s">
        <v>59</v>
      </c>
      <c r="BA3" s="847"/>
    </row>
    <row r="4" spans="1:53" s="72" customFormat="1" ht="82.5" customHeight="1" thickBot="1">
      <c r="A4" s="305" t="s">
        <v>202</v>
      </c>
      <c r="B4" s="306"/>
      <c r="C4" s="306"/>
      <c r="D4" s="306"/>
      <c r="E4" s="306"/>
      <c r="F4" s="282" t="s">
        <v>190</v>
      </c>
      <c r="G4" s="283"/>
      <c r="H4" s="282" t="s">
        <v>111</v>
      </c>
      <c r="I4" s="283"/>
      <c r="J4" s="282" t="s">
        <v>112</v>
      </c>
      <c r="K4" s="283"/>
      <c r="L4" s="282" t="s">
        <v>113</v>
      </c>
      <c r="M4" s="283"/>
      <c r="N4" s="282" t="s">
        <v>114</v>
      </c>
      <c r="O4" s="283"/>
      <c r="P4" s="286" t="s">
        <v>191</v>
      </c>
      <c r="Q4" s="286" t="s">
        <v>139</v>
      </c>
      <c r="R4" s="287" t="s">
        <v>191</v>
      </c>
      <c r="S4" s="291" t="s">
        <v>139</v>
      </c>
      <c r="T4" s="284" t="s">
        <v>152</v>
      </c>
      <c r="U4" s="285"/>
      <c r="V4" s="284" t="s">
        <v>192</v>
      </c>
      <c r="W4" s="285"/>
      <c r="X4" s="282" t="s">
        <v>111</v>
      </c>
      <c r="Y4" s="283"/>
      <c r="Z4" s="282" t="s">
        <v>112</v>
      </c>
      <c r="AA4" s="283"/>
      <c r="AB4" s="282" t="s">
        <v>113</v>
      </c>
      <c r="AC4" s="283"/>
      <c r="AD4" s="282" t="s">
        <v>114</v>
      </c>
      <c r="AE4" s="283"/>
      <c r="AF4" s="286" t="s">
        <v>191</v>
      </c>
      <c r="AG4" s="286" t="s">
        <v>139</v>
      </c>
      <c r="AH4" s="287" t="s">
        <v>191</v>
      </c>
      <c r="AI4" s="291" t="s">
        <v>139</v>
      </c>
      <c r="AJ4" s="284" t="s">
        <v>152</v>
      </c>
      <c r="AK4" s="285"/>
      <c r="AL4" s="284" t="s">
        <v>192</v>
      </c>
      <c r="AM4" s="285"/>
      <c r="AN4" s="282" t="s">
        <v>111</v>
      </c>
      <c r="AO4" s="283"/>
      <c r="AP4" s="282" t="s">
        <v>112</v>
      </c>
      <c r="AQ4" s="283"/>
      <c r="AR4" s="282" t="s">
        <v>113</v>
      </c>
      <c r="AS4" s="283"/>
      <c r="AT4" s="282" t="s">
        <v>114</v>
      </c>
      <c r="AU4" s="283"/>
      <c r="AV4" s="286" t="s">
        <v>191</v>
      </c>
      <c r="AW4" s="286" t="s">
        <v>139</v>
      </c>
      <c r="AX4" s="287" t="s">
        <v>191</v>
      </c>
      <c r="AY4" s="287" t="s">
        <v>139</v>
      </c>
      <c r="AZ4" s="442" t="s">
        <v>26</v>
      </c>
      <c r="BA4" s="443"/>
    </row>
    <row r="5" spans="1:53" s="281" customFormat="1" ht="25.5" customHeight="1" thickTop="1" thickBot="1">
      <c r="A5" s="264" t="s">
        <v>105</v>
      </c>
      <c r="B5" s="265" t="s">
        <v>103</v>
      </c>
      <c r="C5" s="265" t="s">
        <v>203</v>
      </c>
      <c r="D5" s="266" t="s">
        <v>189</v>
      </c>
      <c r="E5" s="267" t="s">
        <v>104</v>
      </c>
      <c r="F5" s="268">
        <v>2014</v>
      </c>
      <c r="G5" s="269">
        <v>2015</v>
      </c>
      <c r="H5" s="268">
        <v>2014</v>
      </c>
      <c r="I5" s="269">
        <v>2015</v>
      </c>
      <c r="J5" s="268">
        <v>2014</v>
      </c>
      <c r="K5" s="269">
        <v>2015</v>
      </c>
      <c r="L5" s="268">
        <v>2014</v>
      </c>
      <c r="M5" s="269">
        <v>2015</v>
      </c>
      <c r="N5" s="268">
        <v>2014</v>
      </c>
      <c r="O5" s="269">
        <v>2015</v>
      </c>
      <c r="P5" s="270">
        <v>2014</v>
      </c>
      <c r="Q5" s="271">
        <v>2014</v>
      </c>
      <c r="R5" s="272">
        <v>2015</v>
      </c>
      <c r="S5" s="273">
        <v>2015</v>
      </c>
      <c r="T5" s="268">
        <v>2014</v>
      </c>
      <c r="U5" s="269">
        <v>2015</v>
      </c>
      <c r="V5" s="270">
        <v>2014</v>
      </c>
      <c r="W5" s="274">
        <v>2015</v>
      </c>
      <c r="X5" s="268">
        <v>2014</v>
      </c>
      <c r="Y5" s="269">
        <v>2015</v>
      </c>
      <c r="Z5" s="268">
        <v>2014</v>
      </c>
      <c r="AA5" s="269">
        <v>2015</v>
      </c>
      <c r="AB5" s="268">
        <v>2014</v>
      </c>
      <c r="AC5" s="269">
        <v>2015</v>
      </c>
      <c r="AD5" s="268">
        <v>2014</v>
      </c>
      <c r="AE5" s="269">
        <v>2015</v>
      </c>
      <c r="AF5" s="275">
        <v>2014</v>
      </c>
      <c r="AG5" s="276">
        <v>2014</v>
      </c>
      <c r="AH5" s="277">
        <v>2015</v>
      </c>
      <c r="AI5" s="277">
        <v>2015</v>
      </c>
      <c r="AJ5" s="268">
        <v>2014</v>
      </c>
      <c r="AK5" s="269">
        <v>2015</v>
      </c>
      <c r="AL5" s="276">
        <v>2014</v>
      </c>
      <c r="AM5" s="278">
        <v>2015</v>
      </c>
      <c r="AN5" s="268">
        <v>2014</v>
      </c>
      <c r="AO5" s="269">
        <v>2015</v>
      </c>
      <c r="AP5" s="268">
        <v>2014</v>
      </c>
      <c r="AQ5" s="269">
        <v>2015</v>
      </c>
      <c r="AR5" s="268">
        <v>2014</v>
      </c>
      <c r="AS5" s="269">
        <v>2015</v>
      </c>
      <c r="AT5" s="268">
        <v>2014</v>
      </c>
      <c r="AU5" s="269">
        <v>2015</v>
      </c>
      <c r="AV5" s="275">
        <v>2014</v>
      </c>
      <c r="AW5" s="275">
        <v>2014</v>
      </c>
      <c r="AX5" s="277">
        <v>2015</v>
      </c>
      <c r="AY5" s="279">
        <v>2015</v>
      </c>
      <c r="AZ5" s="280">
        <v>2014</v>
      </c>
      <c r="BA5" s="277">
        <v>2015</v>
      </c>
    </row>
    <row r="6" spans="1:53" s="154" customFormat="1" ht="64.5" hidden="1" thickTop="1">
      <c r="A6" s="147" t="s">
        <v>105</v>
      </c>
      <c r="B6" s="147" t="s">
        <v>103</v>
      </c>
      <c r="C6" s="147" t="s">
        <v>193</v>
      </c>
      <c r="D6" s="148" t="s">
        <v>106</v>
      </c>
      <c r="E6" s="149" t="s">
        <v>104</v>
      </c>
      <c r="F6" s="150" t="s">
        <v>46</v>
      </c>
      <c r="G6" s="150" t="s">
        <v>47</v>
      </c>
      <c r="H6" s="150" t="s">
        <v>115</v>
      </c>
      <c r="I6" s="150" t="s">
        <v>116</v>
      </c>
      <c r="J6" s="150" t="s">
        <v>117</v>
      </c>
      <c r="K6" s="150" t="s">
        <v>118</v>
      </c>
      <c r="L6" s="150" t="s">
        <v>119</v>
      </c>
      <c r="M6" s="150" t="s">
        <v>120</v>
      </c>
      <c r="N6" s="150" t="s">
        <v>121</v>
      </c>
      <c r="O6" s="150" t="s">
        <v>122</v>
      </c>
      <c r="P6" s="150" t="s">
        <v>48</v>
      </c>
      <c r="Q6" s="150" t="s">
        <v>55</v>
      </c>
      <c r="R6" s="150" t="s">
        <v>49</v>
      </c>
      <c r="S6" s="150" t="s">
        <v>56</v>
      </c>
      <c r="T6" s="150" t="s">
        <v>146</v>
      </c>
      <c r="U6" s="150" t="s">
        <v>147</v>
      </c>
      <c r="V6" s="150" t="s">
        <v>158</v>
      </c>
      <c r="W6" s="150" t="s">
        <v>159</v>
      </c>
      <c r="X6" s="150" t="s">
        <v>123</v>
      </c>
      <c r="Y6" s="150" t="s">
        <v>124</v>
      </c>
      <c r="Z6" s="150" t="s">
        <v>125</v>
      </c>
      <c r="AA6" s="150" t="s">
        <v>126</v>
      </c>
      <c r="AB6" s="150" t="s">
        <v>127</v>
      </c>
      <c r="AC6" s="150" t="s">
        <v>128</v>
      </c>
      <c r="AD6" s="150" t="s">
        <v>129</v>
      </c>
      <c r="AE6" s="150" t="s">
        <v>130</v>
      </c>
      <c r="AF6" s="151" t="s">
        <v>43</v>
      </c>
      <c r="AG6" s="151" t="s">
        <v>44</v>
      </c>
      <c r="AH6" s="150" t="s">
        <v>50</v>
      </c>
      <c r="AI6" s="150" t="s">
        <v>57</v>
      </c>
      <c r="AJ6" s="150" t="s">
        <v>148</v>
      </c>
      <c r="AK6" s="150" t="s">
        <v>149</v>
      </c>
      <c r="AL6" s="150" t="s">
        <v>160</v>
      </c>
      <c r="AM6" s="150" t="s">
        <v>161</v>
      </c>
      <c r="AN6" s="150" t="s">
        <v>131</v>
      </c>
      <c r="AO6" s="150" t="s">
        <v>132</v>
      </c>
      <c r="AP6" s="150" t="s">
        <v>133</v>
      </c>
      <c r="AQ6" s="526" t="s">
        <v>134</v>
      </c>
      <c r="AR6" s="150" t="s">
        <v>135</v>
      </c>
      <c r="AS6" s="526" t="s">
        <v>136</v>
      </c>
      <c r="AT6" s="150" t="s">
        <v>137</v>
      </c>
      <c r="AU6" s="526" t="s">
        <v>138</v>
      </c>
      <c r="AV6" s="150" t="s">
        <v>51</v>
      </c>
      <c r="AW6" s="150" t="s">
        <v>53</v>
      </c>
      <c r="AX6" s="150" t="s">
        <v>52</v>
      </c>
      <c r="AY6" s="150" t="s">
        <v>54</v>
      </c>
      <c r="AZ6" s="152" t="s">
        <v>60</v>
      </c>
      <c r="BA6" s="153" t="s">
        <v>61</v>
      </c>
    </row>
    <row r="7" spans="1:53" s="527" customFormat="1" ht="13.5" thickTop="1">
      <c r="A7" s="632" t="s">
        <v>226</v>
      </c>
      <c r="B7" s="629" t="s">
        <v>476</v>
      </c>
      <c r="C7" s="622"/>
      <c r="D7" s="536">
        <v>100858</v>
      </c>
      <c r="E7" s="536">
        <v>1</v>
      </c>
      <c r="F7" s="491" t="s">
        <v>41</v>
      </c>
      <c r="G7" s="492"/>
      <c r="H7" s="456"/>
      <c r="I7" s="493"/>
      <c r="J7" s="456">
        <v>255585</v>
      </c>
      <c r="K7" s="493">
        <v>268440</v>
      </c>
      <c r="L7" s="456">
        <v>49674</v>
      </c>
      <c r="M7" s="493">
        <v>51741</v>
      </c>
      <c r="N7" s="456">
        <v>287456</v>
      </c>
      <c r="O7" s="493">
        <v>302489</v>
      </c>
      <c r="P7" s="449">
        <f t="shared" ref="P7" si="15">SUM(H7,J7,L7,N7)</f>
        <v>592715</v>
      </c>
      <c r="Q7" s="450">
        <f t="shared" ref="Q7" si="16">+P7/30</f>
        <v>19757.166666666668</v>
      </c>
      <c r="R7" s="451">
        <f t="shared" ref="R7" si="17">SUM(I7,K7,M7,O7)</f>
        <v>622670</v>
      </c>
      <c r="S7" s="452">
        <f t="shared" ref="S7" si="18">+R7/30</f>
        <v>20755.666666666668</v>
      </c>
      <c r="T7" s="456">
        <v>17</v>
      </c>
      <c r="U7" s="493">
        <v>61</v>
      </c>
      <c r="V7" s="449">
        <f t="shared" ref="V7" si="19">IF(ISBLANK(T7),0,P7)</f>
        <v>592715</v>
      </c>
      <c r="W7" s="448">
        <f t="shared" ref="W7" si="20">IF(ISBLANK(U7),0,R7)</f>
        <v>622670</v>
      </c>
      <c r="X7" s="456"/>
      <c r="Y7" s="493"/>
      <c r="Z7" s="456"/>
      <c r="AA7" s="493"/>
      <c r="AB7" s="456"/>
      <c r="AC7" s="493"/>
      <c r="AD7" s="456"/>
      <c r="AE7" s="493"/>
      <c r="AF7" s="449">
        <f t="shared" ref="AF7" si="21">SUM(X7,Z7,AB7,AD7)</f>
        <v>0</v>
      </c>
      <c r="AG7" s="450">
        <f t="shared" ref="AG7" si="22">+AF7/900</f>
        <v>0</v>
      </c>
      <c r="AH7" s="451">
        <f t="shared" ref="AH7" si="23">SUM(Y7,AA7,AC7,AE7)</f>
        <v>0</v>
      </c>
      <c r="AI7" s="451">
        <f t="shared" ref="AI7" si="24">+AH7/900</f>
        <v>0</v>
      </c>
      <c r="AJ7" s="456"/>
      <c r="AK7" s="493"/>
      <c r="AL7" s="449">
        <f t="shared" ref="AL7" si="25">IF(ISBLANK(AJ7),0,AF7)</f>
        <v>0</v>
      </c>
      <c r="AM7" s="452">
        <f t="shared" ref="AM7" si="26">IF(ISBLANK(AK7),0,AH7)</f>
        <v>0</v>
      </c>
      <c r="AN7" s="456"/>
      <c r="AO7" s="493"/>
      <c r="AP7" s="456">
        <v>37648</v>
      </c>
      <c r="AQ7" s="493">
        <v>39459</v>
      </c>
      <c r="AR7" s="456">
        <v>19786</v>
      </c>
      <c r="AS7" s="493">
        <v>20650</v>
      </c>
      <c r="AT7" s="456">
        <v>40591</v>
      </c>
      <c r="AU7" s="493">
        <v>41441</v>
      </c>
      <c r="AV7" s="449">
        <f t="shared" ref="AV7" si="27">SUM(AN7,AP7,AR7,AT7)</f>
        <v>98025</v>
      </c>
      <c r="AW7" s="453">
        <f t="shared" ref="AW7" si="28">+AV7/24</f>
        <v>4084.375</v>
      </c>
      <c r="AX7" s="451">
        <f t="shared" ref="AX7" si="29">SUM(AO7,AQ7,AS7,AU7)</f>
        <v>101550</v>
      </c>
      <c r="AY7" s="454">
        <f t="shared" ref="AY7" si="30">+AX7/24</f>
        <v>4231.25</v>
      </c>
      <c r="AZ7" s="455">
        <f t="shared" ref="AZ7" si="31">SUM(Q7,AG7,AW7)</f>
        <v>23841.541666666668</v>
      </c>
      <c r="BA7" s="451">
        <f t="shared" ref="BA7" si="32">SUM(S7,AI7,AY7)</f>
        <v>24986.916666666668</v>
      </c>
    </row>
    <row r="8" spans="1:53" s="527" customFormat="1">
      <c r="A8" s="632" t="s">
        <v>226</v>
      </c>
      <c r="B8" s="629" t="s">
        <v>477</v>
      </c>
      <c r="C8" s="622"/>
      <c r="D8" s="536">
        <v>100751</v>
      </c>
      <c r="E8" s="536">
        <v>1</v>
      </c>
      <c r="F8" s="491" t="s">
        <v>41</v>
      </c>
      <c r="G8" s="492"/>
      <c r="H8" s="456"/>
      <c r="I8" s="493"/>
      <c r="J8" s="456">
        <v>371355</v>
      </c>
      <c r="K8" s="493">
        <v>386563</v>
      </c>
      <c r="L8" s="456">
        <v>66238</v>
      </c>
      <c r="M8" s="493">
        <v>67656</v>
      </c>
      <c r="N8" s="456">
        <v>414095</v>
      </c>
      <c r="O8" s="493">
        <v>430243</v>
      </c>
      <c r="P8" s="449">
        <f t="shared" ref="P8:P71" si="33">SUM(H8,J8,L8,N8)</f>
        <v>851688</v>
      </c>
      <c r="Q8" s="450">
        <f t="shared" ref="Q8:Q71" si="34">+P8/30</f>
        <v>28389.599999999999</v>
      </c>
      <c r="R8" s="451">
        <f t="shared" ref="R8:R71" si="35">SUM(I8,K8,M8,O8)</f>
        <v>884462</v>
      </c>
      <c r="S8" s="452">
        <f t="shared" ref="S8:S71" si="36">+R8/30</f>
        <v>29482.066666666666</v>
      </c>
      <c r="T8" s="456">
        <v>4494</v>
      </c>
      <c r="U8" s="493">
        <v>5593</v>
      </c>
      <c r="V8" s="449">
        <f t="shared" ref="V8:V71" si="37">IF(ISBLANK(T8),0,P8)</f>
        <v>851688</v>
      </c>
      <c r="W8" s="448">
        <f t="shared" ref="W8:W71" si="38">IF(ISBLANK(U8),0,R8)</f>
        <v>884462</v>
      </c>
      <c r="X8" s="456"/>
      <c r="Y8" s="493"/>
      <c r="Z8" s="456"/>
      <c r="AA8" s="493"/>
      <c r="AB8" s="456"/>
      <c r="AC8" s="493"/>
      <c r="AD8" s="456"/>
      <c r="AE8" s="493"/>
      <c r="AF8" s="449">
        <f t="shared" ref="AF8:AF71" si="39">SUM(X8,Z8,AB8,AD8)</f>
        <v>0</v>
      </c>
      <c r="AG8" s="450">
        <f t="shared" ref="AG8:AG71" si="40">+AF8/900</f>
        <v>0</v>
      </c>
      <c r="AH8" s="451">
        <f t="shared" ref="AH8:AH71" si="41">SUM(Y8,AA8,AC8,AE8)</f>
        <v>0</v>
      </c>
      <c r="AI8" s="451">
        <f t="shared" ref="AI8:AI71" si="42">+AH8/900</f>
        <v>0</v>
      </c>
      <c r="AJ8" s="456"/>
      <c r="AK8" s="493"/>
      <c r="AL8" s="449">
        <f t="shared" ref="AL8:AL71" si="43">IF(ISBLANK(AJ8),0,AF8)</f>
        <v>0</v>
      </c>
      <c r="AM8" s="452">
        <f t="shared" ref="AM8:AM71" si="44">IF(ISBLANK(AK8),0,AH8)</f>
        <v>0</v>
      </c>
      <c r="AN8" s="456"/>
      <c r="AO8" s="493"/>
      <c r="AP8" s="456">
        <v>41723</v>
      </c>
      <c r="AQ8" s="493">
        <v>42143</v>
      </c>
      <c r="AR8" s="456">
        <v>11252</v>
      </c>
      <c r="AS8" s="493">
        <v>11721</v>
      </c>
      <c r="AT8" s="456">
        <v>42401</v>
      </c>
      <c r="AU8" s="493">
        <v>43177</v>
      </c>
      <c r="AV8" s="449">
        <f t="shared" ref="AV8:AV71" si="45">SUM(AN8,AP8,AR8,AT8)</f>
        <v>95376</v>
      </c>
      <c r="AW8" s="453">
        <f t="shared" ref="AW8:AW71" si="46">+AV8/24</f>
        <v>3974</v>
      </c>
      <c r="AX8" s="451">
        <f t="shared" ref="AX8:AX71" si="47">SUM(AO8,AQ8,AS8,AU8)</f>
        <v>97041</v>
      </c>
      <c r="AY8" s="454">
        <f t="shared" ref="AY8:AY71" si="48">+AX8/24</f>
        <v>4043.375</v>
      </c>
      <c r="AZ8" s="455">
        <f t="shared" ref="AZ8:AZ71" si="49">SUM(Q8,AG8,AW8)</f>
        <v>32363.599999999999</v>
      </c>
      <c r="BA8" s="451">
        <f t="shared" ref="BA8:BA71" si="50">SUM(S8,AI8,AY8)</f>
        <v>33525.441666666666</v>
      </c>
    </row>
    <row r="9" spans="1:53" s="527" customFormat="1">
      <c r="A9" s="632" t="s">
        <v>226</v>
      </c>
      <c r="B9" s="629" t="s">
        <v>478</v>
      </c>
      <c r="C9" s="530"/>
      <c r="D9" s="536">
        <v>100663</v>
      </c>
      <c r="E9" s="536">
        <v>2</v>
      </c>
      <c r="F9" s="491" t="s">
        <v>41</v>
      </c>
      <c r="G9" s="492"/>
      <c r="H9" s="456"/>
      <c r="I9" s="493"/>
      <c r="J9" s="456">
        <v>112541</v>
      </c>
      <c r="K9" s="493">
        <v>112991</v>
      </c>
      <c r="L9" s="456">
        <v>26137</v>
      </c>
      <c r="M9" s="493">
        <v>26100</v>
      </c>
      <c r="N9" s="456">
        <v>126836</v>
      </c>
      <c r="O9" s="493">
        <v>123892</v>
      </c>
      <c r="P9" s="449">
        <f t="shared" si="33"/>
        <v>265514</v>
      </c>
      <c r="Q9" s="450">
        <f t="shared" si="34"/>
        <v>8850.4666666666672</v>
      </c>
      <c r="R9" s="451">
        <f t="shared" si="35"/>
        <v>262983</v>
      </c>
      <c r="S9" s="452">
        <f t="shared" si="36"/>
        <v>8766.1</v>
      </c>
      <c r="T9" s="456">
        <v>86</v>
      </c>
      <c r="U9" s="493">
        <v>31</v>
      </c>
      <c r="V9" s="449">
        <f t="shared" si="37"/>
        <v>265514</v>
      </c>
      <c r="W9" s="448">
        <f t="shared" si="38"/>
        <v>262983</v>
      </c>
      <c r="X9" s="456"/>
      <c r="Y9" s="493"/>
      <c r="Z9" s="456"/>
      <c r="AA9" s="493"/>
      <c r="AB9" s="456"/>
      <c r="AC9" s="493"/>
      <c r="AD9" s="456"/>
      <c r="AE9" s="493"/>
      <c r="AF9" s="449">
        <f t="shared" si="39"/>
        <v>0</v>
      </c>
      <c r="AG9" s="450">
        <f t="shared" si="40"/>
        <v>0</v>
      </c>
      <c r="AH9" s="451">
        <f t="shared" si="41"/>
        <v>0</v>
      </c>
      <c r="AI9" s="451">
        <f t="shared" si="42"/>
        <v>0</v>
      </c>
      <c r="AJ9" s="456"/>
      <c r="AK9" s="493"/>
      <c r="AL9" s="449">
        <f t="shared" si="43"/>
        <v>0</v>
      </c>
      <c r="AM9" s="452">
        <f t="shared" si="44"/>
        <v>0</v>
      </c>
      <c r="AN9" s="456"/>
      <c r="AO9" s="493"/>
      <c r="AP9" s="456">
        <v>16749</v>
      </c>
      <c r="AQ9" s="493">
        <v>16232</v>
      </c>
      <c r="AR9" s="456">
        <v>11010</v>
      </c>
      <c r="AS9" s="493">
        <v>11030</v>
      </c>
      <c r="AT9" s="456">
        <v>16534</v>
      </c>
      <c r="AU9" s="493">
        <v>15886</v>
      </c>
      <c r="AV9" s="449">
        <f t="shared" si="45"/>
        <v>44293</v>
      </c>
      <c r="AW9" s="453">
        <f t="shared" si="46"/>
        <v>1845.5416666666667</v>
      </c>
      <c r="AX9" s="451">
        <f t="shared" si="47"/>
        <v>43148</v>
      </c>
      <c r="AY9" s="454">
        <f t="shared" si="48"/>
        <v>1797.8333333333333</v>
      </c>
      <c r="AZ9" s="455">
        <f t="shared" si="49"/>
        <v>10696.008333333333</v>
      </c>
      <c r="BA9" s="451">
        <f t="shared" si="50"/>
        <v>10563.933333333334</v>
      </c>
    </row>
    <row r="10" spans="1:53" s="527" customFormat="1">
      <c r="A10" s="632" t="s">
        <v>226</v>
      </c>
      <c r="B10" s="629" t="s">
        <v>479</v>
      </c>
      <c r="C10" s="623"/>
      <c r="D10" s="536">
        <v>100706</v>
      </c>
      <c r="E10" s="536">
        <v>2</v>
      </c>
      <c r="F10" s="491" t="s">
        <v>41</v>
      </c>
      <c r="G10" s="492"/>
      <c r="H10" s="456"/>
      <c r="I10" s="493"/>
      <c r="J10" s="456">
        <v>62273</v>
      </c>
      <c r="K10" s="493">
        <v>64786</v>
      </c>
      <c r="L10" s="456">
        <v>15030</v>
      </c>
      <c r="M10" s="493">
        <v>13914</v>
      </c>
      <c r="N10" s="456">
        <v>68590</v>
      </c>
      <c r="O10" s="493">
        <v>75343</v>
      </c>
      <c r="P10" s="449">
        <f t="shared" si="33"/>
        <v>145893</v>
      </c>
      <c r="Q10" s="450">
        <f t="shared" si="34"/>
        <v>4863.1000000000004</v>
      </c>
      <c r="R10" s="451">
        <f t="shared" si="35"/>
        <v>154043</v>
      </c>
      <c r="S10" s="452">
        <f t="shared" si="36"/>
        <v>5134.7666666666664</v>
      </c>
      <c r="T10" s="456">
        <v>383</v>
      </c>
      <c r="U10" s="493">
        <v>511</v>
      </c>
      <c r="V10" s="449">
        <f t="shared" si="37"/>
        <v>145893</v>
      </c>
      <c r="W10" s="448">
        <f t="shared" si="38"/>
        <v>154043</v>
      </c>
      <c r="X10" s="456"/>
      <c r="Y10" s="493"/>
      <c r="Z10" s="456"/>
      <c r="AA10" s="493"/>
      <c r="AB10" s="456"/>
      <c r="AC10" s="493"/>
      <c r="AD10" s="456"/>
      <c r="AE10" s="493"/>
      <c r="AF10" s="449">
        <f t="shared" si="39"/>
        <v>0</v>
      </c>
      <c r="AG10" s="450">
        <f t="shared" si="40"/>
        <v>0</v>
      </c>
      <c r="AH10" s="451">
        <f t="shared" si="41"/>
        <v>0</v>
      </c>
      <c r="AI10" s="451">
        <f t="shared" si="42"/>
        <v>0</v>
      </c>
      <c r="AJ10" s="456"/>
      <c r="AK10" s="493"/>
      <c r="AL10" s="449">
        <f t="shared" si="43"/>
        <v>0</v>
      </c>
      <c r="AM10" s="452">
        <f t="shared" si="44"/>
        <v>0</v>
      </c>
      <c r="AN10" s="456"/>
      <c r="AO10" s="493"/>
      <c r="AP10" s="456">
        <v>9372</v>
      </c>
      <c r="AQ10" s="493">
        <v>10519</v>
      </c>
      <c r="AR10" s="456">
        <v>4429</v>
      </c>
      <c r="AS10" s="493">
        <v>4510</v>
      </c>
      <c r="AT10" s="456">
        <v>11496</v>
      </c>
      <c r="AU10" s="493">
        <v>12387</v>
      </c>
      <c r="AV10" s="449">
        <f t="shared" si="45"/>
        <v>25297</v>
      </c>
      <c r="AW10" s="453">
        <f t="shared" si="46"/>
        <v>1054.0416666666667</v>
      </c>
      <c r="AX10" s="451">
        <f t="shared" si="47"/>
        <v>27416</v>
      </c>
      <c r="AY10" s="454">
        <f t="shared" si="48"/>
        <v>1142.3333333333333</v>
      </c>
      <c r="AZ10" s="455">
        <f t="shared" si="49"/>
        <v>5917.1416666666673</v>
      </c>
      <c r="BA10" s="451">
        <f t="shared" si="50"/>
        <v>6277.0999999999995</v>
      </c>
    </row>
    <row r="11" spans="1:53" s="527" customFormat="1">
      <c r="A11" s="632" t="s">
        <v>226</v>
      </c>
      <c r="B11" s="629" t="s">
        <v>480</v>
      </c>
      <c r="C11" s="622"/>
      <c r="D11" s="536">
        <v>100654</v>
      </c>
      <c r="E11" s="536">
        <v>3</v>
      </c>
      <c r="F11" s="491" t="s">
        <v>41</v>
      </c>
      <c r="G11" s="492"/>
      <c r="H11" s="456"/>
      <c r="I11" s="493"/>
      <c r="J11" s="456">
        <v>50080</v>
      </c>
      <c r="K11" s="493">
        <v>48321</v>
      </c>
      <c r="L11" s="456">
        <v>3606</v>
      </c>
      <c r="M11" s="493">
        <v>4202</v>
      </c>
      <c r="N11" s="456">
        <v>59631</v>
      </c>
      <c r="O11" s="493">
        <v>65574</v>
      </c>
      <c r="P11" s="449">
        <f t="shared" si="33"/>
        <v>113317</v>
      </c>
      <c r="Q11" s="450">
        <f t="shared" si="34"/>
        <v>3777.2333333333331</v>
      </c>
      <c r="R11" s="451">
        <f t="shared" si="35"/>
        <v>118097</v>
      </c>
      <c r="S11" s="452">
        <f t="shared" si="36"/>
        <v>3936.5666666666666</v>
      </c>
      <c r="T11" s="624">
        <v>0</v>
      </c>
      <c r="U11" s="493">
        <v>0</v>
      </c>
      <c r="V11" s="449">
        <f t="shared" si="37"/>
        <v>113317</v>
      </c>
      <c r="W11" s="448">
        <f t="shared" si="38"/>
        <v>118097</v>
      </c>
      <c r="X11" s="456"/>
      <c r="Y11" s="493"/>
      <c r="Z11" s="456"/>
      <c r="AA11" s="493"/>
      <c r="AB11" s="456"/>
      <c r="AC11" s="493"/>
      <c r="AD11" s="456"/>
      <c r="AE11" s="493"/>
      <c r="AF11" s="449">
        <f t="shared" si="39"/>
        <v>0</v>
      </c>
      <c r="AG11" s="450">
        <f t="shared" si="40"/>
        <v>0</v>
      </c>
      <c r="AH11" s="451">
        <f t="shared" si="41"/>
        <v>0</v>
      </c>
      <c r="AI11" s="451">
        <f t="shared" si="42"/>
        <v>0</v>
      </c>
      <c r="AJ11" s="456"/>
      <c r="AK11" s="493"/>
      <c r="AL11" s="449">
        <f t="shared" si="43"/>
        <v>0</v>
      </c>
      <c r="AM11" s="452">
        <f t="shared" si="44"/>
        <v>0</v>
      </c>
      <c r="AN11" s="456"/>
      <c r="AO11" s="493"/>
      <c r="AP11" s="456">
        <v>7729</v>
      </c>
      <c r="AQ11" s="493">
        <v>8228</v>
      </c>
      <c r="AR11" s="456">
        <v>3210</v>
      </c>
      <c r="AS11" s="493">
        <v>3673</v>
      </c>
      <c r="AT11" s="456">
        <v>8931</v>
      </c>
      <c r="AU11" s="493">
        <v>9039</v>
      </c>
      <c r="AV11" s="449">
        <f t="shared" si="45"/>
        <v>19870</v>
      </c>
      <c r="AW11" s="453">
        <f t="shared" si="46"/>
        <v>827.91666666666663</v>
      </c>
      <c r="AX11" s="451">
        <f t="shared" si="47"/>
        <v>20940</v>
      </c>
      <c r="AY11" s="454">
        <f t="shared" si="48"/>
        <v>872.5</v>
      </c>
      <c r="AZ11" s="455">
        <f t="shared" si="49"/>
        <v>4605.1499999999996</v>
      </c>
      <c r="BA11" s="451">
        <f t="shared" si="50"/>
        <v>4809.0666666666666</v>
      </c>
    </row>
    <row r="12" spans="1:53" s="527" customFormat="1">
      <c r="A12" s="632" t="s">
        <v>226</v>
      </c>
      <c r="B12" s="629" t="s">
        <v>481</v>
      </c>
      <c r="C12" s="622"/>
      <c r="D12" s="536">
        <v>101480</v>
      </c>
      <c r="E12" s="536">
        <v>3</v>
      </c>
      <c r="F12" s="491" t="s">
        <v>41</v>
      </c>
      <c r="G12" s="492"/>
      <c r="H12" s="456"/>
      <c r="I12" s="493"/>
      <c r="J12" s="456">
        <v>84761</v>
      </c>
      <c r="K12" s="493">
        <v>83498</v>
      </c>
      <c r="L12" s="456">
        <v>18424</v>
      </c>
      <c r="M12" s="493">
        <v>17065</v>
      </c>
      <c r="N12" s="456">
        <v>91399</v>
      </c>
      <c r="O12" s="493">
        <v>87002</v>
      </c>
      <c r="P12" s="449">
        <f t="shared" si="33"/>
        <v>194584</v>
      </c>
      <c r="Q12" s="450">
        <f t="shared" si="34"/>
        <v>6486.1333333333332</v>
      </c>
      <c r="R12" s="451">
        <f t="shared" si="35"/>
        <v>187565</v>
      </c>
      <c r="S12" s="452">
        <f t="shared" si="36"/>
        <v>6252.166666666667</v>
      </c>
      <c r="T12" s="456">
        <v>2485</v>
      </c>
      <c r="U12" s="493">
        <v>3573</v>
      </c>
      <c r="V12" s="449">
        <f t="shared" si="37"/>
        <v>194584</v>
      </c>
      <c r="W12" s="448">
        <f t="shared" si="38"/>
        <v>187565</v>
      </c>
      <c r="X12" s="456"/>
      <c r="Y12" s="493"/>
      <c r="Z12" s="456"/>
      <c r="AA12" s="493"/>
      <c r="AB12" s="456"/>
      <c r="AC12" s="493"/>
      <c r="AD12" s="456"/>
      <c r="AE12" s="493"/>
      <c r="AF12" s="449">
        <f t="shared" si="39"/>
        <v>0</v>
      </c>
      <c r="AG12" s="450">
        <f t="shared" si="40"/>
        <v>0</v>
      </c>
      <c r="AH12" s="451">
        <f t="shared" si="41"/>
        <v>0</v>
      </c>
      <c r="AI12" s="451">
        <f t="shared" si="42"/>
        <v>0</v>
      </c>
      <c r="AJ12" s="456"/>
      <c r="AK12" s="493"/>
      <c r="AL12" s="449">
        <f t="shared" si="43"/>
        <v>0</v>
      </c>
      <c r="AM12" s="452">
        <f t="shared" si="44"/>
        <v>0</v>
      </c>
      <c r="AN12" s="456"/>
      <c r="AO12" s="493"/>
      <c r="AP12" s="456">
        <v>5723</v>
      </c>
      <c r="AQ12" s="493">
        <v>5640</v>
      </c>
      <c r="AR12" s="456">
        <v>3956</v>
      </c>
      <c r="AS12" s="493">
        <v>3462</v>
      </c>
      <c r="AT12" s="456">
        <v>6198</v>
      </c>
      <c r="AU12" s="493">
        <v>5679</v>
      </c>
      <c r="AV12" s="449">
        <f t="shared" si="45"/>
        <v>15877</v>
      </c>
      <c r="AW12" s="453">
        <f t="shared" si="46"/>
        <v>661.54166666666663</v>
      </c>
      <c r="AX12" s="451">
        <f t="shared" si="47"/>
        <v>14781</v>
      </c>
      <c r="AY12" s="454">
        <f t="shared" si="48"/>
        <v>615.875</v>
      </c>
      <c r="AZ12" s="455">
        <f t="shared" si="49"/>
        <v>7147.6750000000002</v>
      </c>
      <c r="BA12" s="451">
        <f t="shared" si="50"/>
        <v>6868.041666666667</v>
      </c>
    </row>
    <row r="13" spans="1:53" s="527" customFormat="1">
      <c r="A13" s="632" t="s">
        <v>226</v>
      </c>
      <c r="B13" s="629" t="s">
        <v>482</v>
      </c>
      <c r="C13" s="622"/>
      <c r="D13" s="536">
        <v>102368</v>
      </c>
      <c r="E13" s="536">
        <v>3</v>
      </c>
      <c r="F13" s="491" t="s">
        <v>41</v>
      </c>
      <c r="G13" s="492"/>
      <c r="H13" s="456"/>
      <c r="I13" s="493"/>
      <c r="J13" s="456">
        <v>119213</v>
      </c>
      <c r="K13" s="493">
        <v>116695</v>
      </c>
      <c r="L13" s="456">
        <v>23071</v>
      </c>
      <c r="M13" s="493">
        <v>20021</v>
      </c>
      <c r="N13" s="456">
        <v>126675</v>
      </c>
      <c r="O13" s="493">
        <v>127244</v>
      </c>
      <c r="P13" s="449">
        <f t="shared" si="33"/>
        <v>268959</v>
      </c>
      <c r="Q13" s="450">
        <f t="shared" si="34"/>
        <v>8965.2999999999993</v>
      </c>
      <c r="R13" s="451">
        <f t="shared" si="35"/>
        <v>263960</v>
      </c>
      <c r="S13" s="452">
        <f t="shared" si="36"/>
        <v>8798.6666666666661</v>
      </c>
      <c r="T13" s="456">
        <v>1164</v>
      </c>
      <c r="U13" s="493">
        <v>1531</v>
      </c>
      <c r="V13" s="449">
        <f t="shared" si="37"/>
        <v>268959</v>
      </c>
      <c r="W13" s="448">
        <f t="shared" si="38"/>
        <v>263960</v>
      </c>
      <c r="X13" s="456"/>
      <c r="Y13" s="493"/>
      <c r="Z13" s="456"/>
      <c r="AA13" s="493"/>
      <c r="AB13" s="456"/>
      <c r="AC13" s="493"/>
      <c r="AD13" s="456"/>
      <c r="AE13" s="493"/>
      <c r="AF13" s="449">
        <f t="shared" si="39"/>
        <v>0</v>
      </c>
      <c r="AG13" s="450">
        <f t="shared" si="40"/>
        <v>0</v>
      </c>
      <c r="AH13" s="451">
        <f t="shared" si="41"/>
        <v>0</v>
      </c>
      <c r="AI13" s="451">
        <f t="shared" si="42"/>
        <v>0</v>
      </c>
      <c r="AJ13" s="456"/>
      <c r="AK13" s="493"/>
      <c r="AL13" s="449">
        <f t="shared" si="43"/>
        <v>0</v>
      </c>
      <c r="AM13" s="452">
        <f t="shared" si="44"/>
        <v>0</v>
      </c>
      <c r="AN13" s="456"/>
      <c r="AO13" s="493"/>
      <c r="AP13" s="456">
        <v>15159</v>
      </c>
      <c r="AQ13" s="493">
        <v>14671</v>
      </c>
      <c r="AR13" s="456">
        <v>6037</v>
      </c>
      <c r="AS13" s="493">
        <v>5405</v>
      </c>
      <c r="AT13" s="456">
        <v>15091</v>
      </c>
      <c r="AU13" s="493">
        <v>15119</v>
      </c>
      <c r="AV13" s="449">
        <f t="shared" si="45"/>
        <v>36287</v>
      </c>
      <c r="AW13" s="453">
        <f t="shared" si="46"/>
        <v>1511.9583333333333</v>
      </c>
      <c r="AX13" s="451">
        <f t="shared" si="47"/>
        <v>35195</v>
      </c>
      <c r="AY13" s="454">
        <f t="shared" si="48"/>
        <v>1466.4583333333333</v>
      </c>
      <c r="AZ13" s="455">
        <f t="shared" si="49"/>
        <v>10477.258333333333</v>
      </c>
      <c r="BA13" s="451">
        <f t="shared" si="50"/>
        <v>10265.125</v>
      </c>
    </row>
    <row r="14" spans="1:53" s="527" customFormat="1">
      <c r="A14" s="632" t="s">
        <v>226</v>
      </c>
      <c r="B14" s="629" t="s">
        <v>483</v>
      </c>
      <c r="C14" s="622"/>
      <c r="D14" s="536">
        <v>102094</v>
      </c>
      <c r="E14" s="536">
        <v>3</v>
      </c>
      <c r="F14" s="491" t="s">
        <v>41</v>
      </c>
      <c r="G14" s="492"/>
      <c r="H14" s="456"/>
      <c r="I14" s="493"/>
      <c r="J14" s="456">
        <v>116401</v>
      </c>
      <c r="K14" s="493">
        <v>121008</v>
      </c>
      <c r="L14" s="456">
        <v>22924</v>
      </c>
      <c r="M14" s="493">
        <v>23609</v>
      </c>
      <c r="N14" s="456">
        <v>132614</v>
      </c>
      <c r="O14" s="493">
        <v>137096</v>
      </c>
      <c r="P14" s="449">
        <f t="shared" si="33"/>
        <v>271939</v>
      </c>
      <c r="Q14" s="450">
        <f t="shared" si="34"/>
        <v>9064.6333333333332</v>
      </c>
      <c r="R14" s="451">
        <f t="shared" si="35"/>
        <v>281713</v>
      </c>
      <c r="S14" s="452">
        <f t="shared" si="36"/>
        <v>9390.4333333333325</v>
      </c>
      <c r="T14" s="456">
        <v>193</v>
      </c>
      <c r="U14" s="493">
        <v>712</v>
      </c>
      <c r="V14" s="449">
        <f t="shared" si="37"/>
        <v>271939</v>
      </c>
      <c r="W14" s="448">
        <f t="shared" si="38"/>
        <v>281713</v>
      </c>
      <c r="X14" s="456"/>
      <c r="Y14" s="493"/>
      <c r="Z14" s="456"/>
      <c r="AA14" s="493"/>
      <c r="AB14" s="456"/>
      <c r="AC14" s="493"/>
      <c r="AD14" s="456"/>
      <c r="AE14" s="493"/>
      <c r="AF14" s="449">
        <f t="shared" si="39"/>
        <v>0</v>
      </c>
      <c r="AG14" s="450">
        <f t="shared" si="40"/>
        <v>0</v>
      </c>
      <c r="AH14" s="451">
        <f t="shared" si="41"/>
        <v>0</v>
      </c>
      <c r="AI14" s="451">
        <f t="shared" si="42"/>
        <v>0</v>
      </c>
      <c r="AJ14" s="456"/>
      <c r="AK14" s="493"/>
      <c r="AL14" s="449">
        <f t="shared" si="43"/>
        <v>0</v>
      </c>
      <c r="AM14" s="452">
        <f t="shared" si="44"/>
        <v>0</v>
      </c>
      <c r="AN14" s="456"/>
      <c r="AO14" s="493"/>
      <c r="AP14" s="456">
        <v>6801</v>
      </c>
      <c r="AQ14" s="493">
        <v>7822</v>
      </c>
      <c r="AR14" s="456">
        <v>4285</v>
      </c>
      <c r="AS14" s="493">
        <v>5043</v>
      </c>
      <c r="AT14" s="456">
        <v>7744</v>
      </c>
      <c r="AU14" s="493">
        <v>8032</v>
      </c>
      <c r="AV14" s="449">
        <f t="shared" si="45"/>
        <v>18830</v>
      </c>
      <c r="AW14" s="453">
        <f t="shared" si="46"/>
        <v>784.58333333333337</v>
      </c>
      <c r="AX14" s="451">
        <f t="shared" si="47"/>
        <v>20897</v>
      </c>
      <c r="AY14" s="454">
        <f t="shared" si="48"/>
        <v>870.70833333333337</v>
      </c>
      <c r="AZ14" s="455">
        <f t="shared" si="49"/>
        <v>9849.2166666666672</v>
      </c>
      <c r="BA14" s="451">
        <f t="shared" si="50"/>
        <v>10261.141666666666</v>
      </c>
    </row>
    <row r="15" spans="1:53" s="527" customFormat="1">
      <c r="A15" s="632" t="s">
        <v>226</v>
      </c>
      <c r="B15" s="629" t="s">
        <v>484</v>
      </c>
      <c r="C15" s="623" t="s">
        <v>310</v>
      </c>
      <c r="D15" s="536">
        <v>100724</v>
      </c>
      <c r="E15" s="536">
        <v>4</v>
      </c>
      <c r="F15" s="491" t="s">
        <v>41</v>
      </c>
      <c r="G15" s="492"/>
      <c r="H15" s="456"/>
      <c r="I15" s="493"/>
      <c r="J15" s="456">
        <v>70728</v>
      </c>
      <c r="K15" s="493">
        <v>66828</v>
      </c>
      <c r="L15" s="456">
        <v>10234</v>
      </c>
      <c r="M15" s="493">
        <v>10100</v>
      </c>
      <c r="N15" s="456">
        <v>71143</v>
      </c>
      <c r="O15" s="493">
        <v>72910</v>
      </c>
      <c r="P15" s="449">
        <f t="shared" si="33"/>
        <v>152105</v>
      </c>
      <c r="Q15" s="450">
        <f t="shared" si="34"/>
        <v>5070.166666666667</v>
      </c>
      <c r="R15" s="451">
        <f t="shared" si="35"/>
        <v>149838</v>
      </c>
      <c r="S15" s="452">
        <f t="shared" si="36"/>
        <v>4994.6000000000004</v>
      </c>
      <c r="T15" s="456">
        <v>0</v>
      </c>
      <c r="U15" s="493">
        <v>120</v>
      </c>
      <c r="V15" s="449">
        <f t="shared" si="37"/>
        <v>152105</v>
      </c>
      <c r="W15" s="448">
        <f t="shared" si="38"/>
        <v>149838</v>
      </c>
      <c r="X15" s="456"/>
      <c r="Y15" s="493"/>
      <c r="Z15" s="456"/>
      <c r="AA15" s="493"/>
      <c r="AB15" s="456"/>
      <c r="AC15" s="493"/>
      <c r="AD15" s="456"/>
      <c r="AE15" s="493"/>
      <c r="AF15" s="449">
        <f t="shared" si="39"/>
        <v>0</v>
      </c>
      <c r="AG15" s="450">
        <f t="shared" si="40"/>
        <v>0</v>
      </c>
      <c r="AH15" s="451">
        <f t="shared" si="41"/>
        <v>0</v>
      </c>
      <c r="AI15" s="451">
        <f t="shared" si="42"/>
        <v>0</v>
      </c>
      <c r="AJ15" s="456"/>
      <c r="AK15" s="493"/>
      <c r="AL15" s="449">
        <f t="shared" si="43"/>
        <v>0</v>
      </c>
      <c r="AM15" s="452">
        <f t="shared" si="44"/>
        <v>0</v>
      </c>
      <c r="AN15" s="456"/>
      <c r="AO15" s="493"/>
      <c r="AP15" s="456">
        <v>6115</v>
      </c>
      <c r="AQ15" s="493">
        <v>6183</v>
      </c>
      <c r="AR15" s="456">
        <v>2731</v>
      </c>
      <c r="AS15" s="493">
        <v>2937</v>
      </c>
      <c r="AT15" s="456">
        <v>6392</v>
      </c>
      <c r="AU15" s="493">
        <v>5951</v>
      </c>
      <c r="AV15" s="449">
        <f t="shared" si="45"/>
        <v>15238</v>
      </c>
      <c r="AW15" s="453">
        <f t="shared" si="46"/>
        <v>634.91666666666663</v>
      </c>
      <c r="AX15" s="451">
        <f t="shared" si="47"/>
        <v>15071</v>
      </c>
      <c r="AY15" s="454">
        <f t="shared" si="48"/>
        <v>627.95833333333337</v>
      </c>
      <c r="AZ15" s="455">
        <f t="shared" si="49"/>
        <v>5705.0833333333339</v>
      </c>
      <c r="BA15" s="451">
        <f t="shared" si="50"/>
        <v>5622.5583333333334</v>
      </c>
    </row>
    <row r="16" spans="1:53" s="527" customFormat="1">
      <c r="A16" s="632" t="s">
        <v>226</v>
      </c>
      <c r="B16" s="629" t="s">
        <v>485</v>
      </c>
      <c r="C16" s="622"/>
      <c r="D16" s="536">
        <v>100830</v>
      </c>
      <c r="E16" s="536">
        <v>4</v>
      </c>
      <c r="F16" s="491" t="s">
        <v>41</v>
      </c>
      <c r="G16" s="492"/>
      <c r="H16" s="456"/>
      <c r="I16" s="493"/>
      <c r="J16" s="456">
        <v>45742</v>
      </c>
      <c r="K16" s="493">
        <v>45597</v>
      </c>
      <c r="L16" s="456">
        <v>11430</v>
      </c>
      <c r="M16" s="493">
        <v>10864</v>
      </c>
      <c r="N16" s="456">
        <v>51015</v>
      </c>
      <c r="O16" s="493">
        <v>50202</v>
      </c>
      <c r="P16" s="449">
        <f t="shared" si="33"/>
        <v>108187</v>
      </c>
      <c r="Q16" s="450">
        <f t="shared" si="34"/>
        <v>3606.2333333333331</v>
      </c>
      <c r="R16" s="451">
        <f t="shared" si="35"/>
        <v>106663</v>
      </c>
      <c r="S16" s="452">
        <f t="shared" si="36"/>
        <v>3555.4333333333334</v>
      </c>
      <c r="T16" s="456">
        <v>131</v>
      </c>
      <c r="U16" s="493">
        <v>108</v>
      </c>
      <c r="V16" s="449">
        <f t="shared" si="37"/>
        <v>108187</v>
      </c>
      <c r="W16" s="448">
        <f t="shared" si="38"/>
        <v>106663</v>
      </c>
      <c r="X16" s="456"/>
      <c r="Y16" s="493"/>
      <c r="Z16" s="456"/>
      <c r="AA16" s="493"/>
      <c r="AB16" s="456"/>
      <c r="AC16" s="493"/>
      <c r="AD16" s="456"/>
      <c r="AE16" s="493"/>
      <c r="AF16" s="449">
        <f t="shared" si="39"/>
        <v>0</v>
      </c>
      <c r="AG16" s="450">
        <f t="shared" si="40"/>
        <v>0</v>
      </c>
      <c r="AH16" s="451">
        <f t="shared" si="41"/>
        <v>0</v>
      </c>
      <c r="AI16" s="451">
        <f t="shared" si="42"/>
        <v>0</v>
      </c>
      <c r="AJ16" s="456"/>
      <c r="AK16" s="493"/>
      <c r="AL16" s="449">
        <f t="shared" si="43"/>
        <v>0</v>
      </c>
      <c r="AM16" s="452">
        <f t="shared" si="44"/>
        <v>0</v>
      </c>
      <c r="AN16" s="456"/>
      <c r="AO16" s="493"/>
      <c r="AP16" s="456">
        <v>4370</v>
      </c>
      <c r="AQ16" s="493">
        <v>4185</v>
      </c>
      <c r="AR16" s="456">
        <v>2078</v>
      </c>
      <c r="AS16" s="493">
        <v>2152</v>
      </c>
      <c r="AT16" s="456">
        <v>4644</v>
      </c>
      <c r="AU16" s="493">
        <v>4362</v>
      </c>
      <c r="AV16" s="449">
        <f t="shared" si="45"/>
        <v>11092</v>
      </c>
      <c r="AW16" s="453">
        <f t="shared" si="46"/>
        <v>462.16666666666669</v>
      </c>
      <c r="AX16" s="451">
        <f t="shared" si="47"/>
        <v>10699</v>
      </c>
      <c r="AY16" s="454">
        <f t="shared" si="48"/>
        <v>445.79166666666669</v>
      </c>
      <c r="AZ16" s="455">
        <f t="shared" si="49"/>
        <v>4068.3999999999996</v>
      </c>
      <c r="BA16" s="451">
        <f t="shared" si="50"/>
        <v>4001.2249999999999</v>
      </c>
    </row>
    <row r="17" spans="1:53" s="527" customFormat="1">
      <c r="A17" s="632" t="s">
        <v>226</v>
      </c>
      <c r="B17" s="629" t="s">
        <v>486</v>
      </c>
      <c r="C17" s="530" t="s">
        <v>518</v>
      </c>
      <c r="D17" s="536">
        <v>101879</v>
      </c>
      <c r="E17" s="536">
        <v>4</v>
      </c>
      <c r="F17" s="491" t="s">
        <v>41</v>
      </c>
      <c r="G17" s="492"/>
      <c r="H17" s="456"/>
      <c r="I17" s="493"/>
      <c r="J17" s="456">
        <v>67207</v>
      </c>
      <c r="K17" s="493">
        <v>65539</v>
      </c>
      <c r="L17" s="456">
        <v>11356</v>
      </c>
      <c r="M17" s="493">
        <v>11357</v>
      </c>
      <c r="N17" s="456">
        <v>71137</v>
      </c>
      <c r="O17" s="493">
        <v>74779</v>
      </c>
      <c r="P17" s="449">
        <f t="shared" si="33"/>
        <v>149700</v>
      </c>
      <c r="Q17" s="450">
        <f t="shared" si="34"/>
        <v>4990</v>
      </c>
      <c r="R17" s="451">
        <f t="shared" si="35"/>
        <v>151675</v>
      </c>
      <c r="S17" s="452">
        <f t="shared" si="36"/>
        <v>5055.833333333333</v>
      </c>
      <c r="T17" s="456">
        <v>2048</v>
      </c>
      <c r="U17" s="493">
        <v>1905</v>
      </c>
      <c r="V17" s="449">
        <f t="shared" si="37"/>
        <v>149700</v>
      </c>
      <c r="W17" s="448">
        <f t="shared" si="38"/>
        <v>151675</v>
      </c>
      <c r="X17" s="456"/>
      <c r="Y17" s="493"/>
      <c r="Z17" s="456"/>
      <c r="AA17" s="493"/>
      <c r="AB17" s="456"/>
      <c r="AC17" s="493"/>
      <c r="AD17" s="456"/>
      <c r="AE17" s="493"/>
      <c r="AF17" s="449">
        <f t="shared" si="39"/>
        <v>0</v>
      </c>
      <c r="AG17" s="450">
        <f t="shared" si="40"/>
        <v>0</v>
      </c>
      <c r="AH17" s="451">
        <f t="shared" si="41"/>
        <v>0</v>
      </c>
      <c r="AI17" s="451">
        <f t="shared" si="42"/>
        <v>0</v>
      </c>
      <c r="AJ17" s="456"/>
      <c r="AK17" s="493"/>
      <c r="AL17" s="449">
        <f t="shared" si="43"/>
        <v>0</v>
      </c>
      <c r="AM17" s="452">
        <f t="shared" si="44"/>
        <v>0</v>
      </c>
      <c r="AN17" s="456"/>
      <c r="AO17" s="493"/>
      <c r="AP17" s="456">
        <v>5078</v>
      </c>
      <c r="AQ17" s="493">
        <v>5192</v>
      </c>
      <c r="AR17" s="456">
        <v>2572</v>
      </c>
      <c r="AS17" s="493">
        <v>3143</v>
      </c>
      <c r="AT17" s="456">
        <v>5371</v>
      </c>
      <c r="AU17" s="493">
        <v>5760</v>
      </c>
      <c r="AV17" s="449">
        <f t="shared" si="45"/>
        <v>13021</v>
      </c>
      <c r="AW17" s="453">
        <f t="shared" si="46"/>
        <v>542.54166666666663</v>
      </c>
      <c r="AX17" s="451">
        <f t="shared" si="47"/>
        <v>14095</v>
      </c>
      <c r="AY17" s="454">
        <f t="shared" si="48"/>
        <v>587.29166666666663</v>
      </c>
      <c r="AZ17" s="455">
        <f t="shared" si="49"/>
        <v>5532.541666666667</v>
      </c>
      <c r="BA17" s="451">
        <f t="shared" si="50"/>
        <v>5643.125</v>
      </c>
    </row>
    <row r="18" spans="1:53" s="527" customFormat="1">
      <c r="A18" s="632" t="s">
        <v>226</v>
      </c>
      <c r="B18" s="629" t="s">
        <v>487</v>
      </c>
      <c r="C18" s="622"/>
      <c r="D18" s="536">
        <v>101709</v>
      </c>
      <c r="E18" s="536">
        <v>5</v>
      </c>
      <c r="F18" s="491" t="s">
        <v>41</v>
      </c>
      <c r="G18" s="492"/>
      <c r="H18" s="456"/>
      <c r="I18" s="493"/>
      <c r="J18" s="456">
        <v>32709</v>
      </c>
      <c r="K18" s="493">
        <v>32692</v>
      </c>
      <c r="L18" s="456">
        <v>5307</v>
      </c>
      <c r="M18" s="493">
        <v>3960</v>
      </c>
      <c r="N18" s="456">
        <v>36096</v>
      </c>
      <c r="O18" s="493">
        <v>34467</v>
      </c>
      <c r="P18" s="449">
        <f t="shared" si="33"/>
        <v>74112</v>
      </c>
      <c r="Q18" s="450">
        <f t="shared" si="34"/>
        <v>2470.4</v>
      </c>
      <c r="R18" s="451">
        <f t="shared" si="35"/>
        <v>71119</v>
      </c>
      <c r="S18" s="452">
        <f t="shared" si="36"/>
        <v>2370.6333333333332</v>
      </c>
      <c r="T18" s="456">
        <v>91</v>
      </c>
      <c r="U18" s="493">
        <v>79</v>
      </c>
      <c r="V18" s="449">
        <f t="shared" si="37"/>
        <v>74112</v>
      </c>
      <c r="W18" s="448">
        <f t="shared" si="38"/>
        <v>71119</v>
      </c>
      <c r="X18" s="456"/>
      <c r="Y18" s="493"/>
      <c r="Z18" s="456"/>
      <c r="AA18" s="493"/>
      <c r="AB18" s="456"/>
      <c r="AC18" s="493"/>
      <c r="AD18" s="456"/>
      <c r="AE18" s="493"/>
      <c r="AF18" s="449">
        <f t="shared" si="39"/>
        <v>0</v>
      </c>
      <c r="AG18" s="450">
        <f t="shared" si="40"/>
        <v>0</v>
      </c>
      <c r="AH18" s="451">
        <f t="shared" si="41"/>
        <v>0</v>
      </c>
      <c r="AI18" s="451">
        <f t="shared" si="42"/>
        <v>0</v>
      </c>
      <c r="AJ18" s="456"/>
      <c r="AK18" s="493"/>
      <c r="AL18" s="449">
        <f t="shared" si="43"/>
        <v>0</v>
      </c>
      <c r="AM18" s="452">
        <f t="shared" si="44"/>
        <v>0</v>
      </c>
      <c r="AN18" s="456"/>
      <c r="AO18" s="493"/>
      <c r="AP18" s="456">
        <v>2825</v>
      </c>
      <c r="AQ18" s="493">
        <v>3015</v>
      </c>
      <c r="AR18" s="456">
        <v>1839</v>
      </c>
      <c r="AS18" s="493">
        <v>2003</v>
      </c>
      <c r="AT18" s="456">
        <v>2895</v>
      </c>
      <c r="AU18" s="493">
        <v>3451</v>
      </c>
      <c r="AV18" s="449">
        <f t="shared" si="45"/>
        <v>7559</v>
      </c>
      <c r="AW18" s="453">
        <f t="shared" si="46"/>
        <v>314.95833333333331</v>
      </c>
      <c r="AX18" s="451">
        <f t="shared" si="47"/>
        <v>8469</v>
      </c>
      <c r="AY18" s="454">
        <f t="shared" si="48"/>
        <v>352.875</v>
      </c>
      <c r="AZ18" s="455">
        <f t="shared" si="49"/>
        <v>2785.3583333333336</v>
      </c>
      <c r="BA18" s="451">
        <f t="shared" si="50"/>
        <v>2723.5083333333332</v>
      </c>
    </row>
    <row r="19" spans="1:53" s="527" customFormat="1">
      <c r="A19" s="632" t="s">
        <v>226</v>
      </c>
      <c r="B19" s="629" t="s">
        <v>488</v>
      </c>
      <c r="C19" s="622"/>
      <c r="D19" s="536">
        <v>101587</v>
      </c>
      <c r="E19" s="536">
        <v>5</v>
      </c>
      <c r="F19" s="491" t="s">
        <v>41</v>
      </c>
      <c r="G19" s="492"/>
      <c r="H19" s="456"/>
      <c r="I19" s="493"/>
      <c r="J19" s="456">
        <v>23105</v>
      </c>
      <c r="K19" s="493">
        <v>23194</v>
      </c>
      <c r="L19" s="456">
        <v>3224</v>
      </c>
      <c r="M19" s="493">
        <v>3417</v>
      </c>
      <c r="N19" s="456">
        <v>25446</v>
      </c>
      <c r="O19" s="493">
        <v>26347</v>
      </c>
      <c r="P19" s="449">
        <f t="shared" si="33"/>
        <v>51775</v>
      </c>
      <c r="Q19" s="450">
        <f t="shared" si="34"/>
        <v>1725.8333333333333</v>
      </c>
      <c r="R19" s="451">
        <f t="shared" si="35"/>
        <v>52958</v>
      </c>
      <c r="S19" s="452">
        <f t="shared" si="36"/>
        <v>1765.2666666666667</v>
      </c>
      <c r="T19" s="456">
        <v>677</v>
      </c>
      <c r="U19" s="493">
        <v>538</v>
      </c>
      <c r="V19" s="449">
        <f t="shared" si="37"/>
        <v>51775</v>
      </c>
      <c r="W19" s="448">
        <f t="shared" si="38"/>
        <v>52958</v>
      </c>
      <c r="X19" s="456"/>
      <c r="Y19" s="493"/>
      <c r="Z19" s="456"/>
      <c r="AA19" s="493"/>
      <c r="AB19" s="456"/>
      <c r="AC19" s="493"/>
      <c r="AD19" s="456"/>
      <c r="AE19" s="493"/>
      <c r="AF19" s="449">
        <f t="shared" si="39"/>
        <v>0</v>
      </c>
      <c r="AG19" s="450">
        <f t="shared" si="40"/>
        <v>0</v>
      </c>
      <c r="AH19" s="451">
        <f t="shared" si="41"/>
        <v>0</v>
      </c>
      <c r="AI19" s="451">
        <f t="shared" si="42"/>
        <v>0</v>
      </c>
      <c r="AJ19" s="456"/>
      <c r="AK19" s="493"/>
      <c r="AL19" s="449">
        <f t="shared" si="43"/>
        <v>0</v>
      </c>
      <c r="AM19" s="452">
        <f t="shared" si="44"/>
        <v>0</v>
      </c>
      <c r="AN19" s="456"/>
      <c r="AO19" s="493"/>
      <c r="AP19" s="456">
        <v>13280</v>
      </c>
      <c r="AQ19" s="493">
        <v>12677</v>
      </c>
      <c r="AR19" s="456">
        <v>6832</v>
      </c>
      <c r="AS19" s="493">
        <v>7202</v>
      </c>
      <c r="AT19" s="456">
        <v>12115</v>
      </c>
      <c r="AU19" s="493">
        <v>12664</v>
      </c>
      <c r="AV19" s="449">
        <f t="shared" si="45"/>
        <v>32227</v>
      </c>
      <c r="AW19" s="453">
        <f t="shared" si="46"/>
        <v>1342.7916666666667</v>
      </c>
      <c r="AX19" s="451">
        <f t="shared" si="47"/>
        <v>32543</v>
      </c>
      <c r="AY19" s="454">
        <f t="shared" si="48"/>
        <v>1355.9583333333333</v>
      </c>
      <c r="AZ19" s="455">
        <f t="shared" si="49"/>
        <v>3068.625</v>
      </c>
      <c r="BA19" s="451">
        <f t="shared" si="50"/>
        <v>3121.2249999999999</v>
      </c>
    </row>
    <row r="20" spans="1:53" s="527" customFormat="1">
      <c r="A20" s="632" t="s">
        <v>226</v>
      </c>
      <c r="B20" s="635" t="s">
        <v>489</v>
      </c>
      <c r="C20" s="625"/>
      <c r="D20" s="626">
        <v>100812</v>
      </c>
      <c r="E20" s="536">
        <v>6</v>
      </c>
      <c r="F20" s="491" t="s">
        <v>41</v>
      </c>
      <c r="G20" s="492"/>
      <c r="H20" s="456"/>
      <c r="I20" s="493"/>
      <c r="J20" s="456">
        <v>28323</v>
      </c>
      <c r="K20" s="493">
        <v>27909</v>
      </c>
      <c r="L20" s="456">
        <v>15291</v>
      </c>
      <c r="M20" s="493">
        <v>13925</v>
      </c>
      <c r="N20" s="456">
        <v>29757</v>
      </c>
      <c r="O20" s="493">
        <v>28582</v>
      </c>
      <c r="P20" s="449">
        <f t="shared" si="33"/>
        <v>73371</v>
      </c>
      <c r="Q20" s="450">
        <f t="shared" si="34"/>
        <v>2445.6999999999998</v>
      </c>
      <c r="R20" s="451">
        <f t="shared" si="35"/>
        <v>70416</v>
      </c>
      <c r="S20" s="452">
        <f t="shared" si="36"/>
        <v>2347.1999999999998</v>
      </c>
      <c r="T20" s="456">
        <v>0</v>
      </c>
      <c r="U20" s="493">
        <v>0</v>
      </c>
      <c r="V20" s="449">
        <f t="shared" si="37"/>
        <v>73371</v>
      </c>
      <c r="W20" s="448">
        <f t="shared" si="38"/>
        <v>70416</v>
      </c>
      <c r="X20" s="456"/>
      <c r="Y20" s="493"/>
      <c r="Z20" s="456"/>
      <c r="AA20" s="493"/>
      <c r="AB20" s="456"/>
      <c r="AC20" s="493"/>
      <c r="AD20" s="456"/>
      <c r="AE20" s="493"/>
      <c r="AF20" s="449">
        <f t="shared" si="39"/>
        <v>0</v>
      </c>
      <c r="AG20" s="450">
        <f t="shared" si="40"/>
        <v>0</v>
      </c>
      <c r="AH20" s="451">
        <f t="shared" si="41"/>
        <v>0</v>
      </c>
      <c r="AI20" s="451">
        <f t="shared" si="42"/>
        <v>0</v>
      </c>
      <c r="AJ20" s="456"/>
      <c r="AK20" s="493"/>
      <c r="AL20" s="449">
        <f t="shared" si="43"/>
        <v>0</v>
      </c>
      <c r="AM20" s="452">
        <f t="shared" si="44"/>
        <v>0</v>
      </c>
      <c r="AN20" s="456"/>
      <c r="AO20" s="493"/>
      <c r="AP20" s="456"/>
      <c r="AQ20" s="493"/>
      <c r="AR20" s="456"/>
      <c r="AS20" s="493"/>
      <c r="AT20" s="456"/>
      <c r="AU20" s="493"/>
      <c r="AV20" s="449">
        <f t="shared" si="45"/>
        <v>0</v>
      </c>
      <c r="AW20" s="453">
        <f t="shared" si="46"/>
        <v>0</v>
      </c>
      <c r="AX20" s="451">
        <f t="shared" si="47"/>
        <v>0</v>
      </c>
      <c r="AY20" s="454">
        <f t="shared" si="48"/>
        <v>0</v>
      </c>
      <c r="AZ20" s="455">
        <f t="shared" si="49"/>
        <v>2445.6999999999998</v>
      </c>
      <c r="BA20" s="451">
        <f t="shared" si="50"/>
        <v>2347.1999999999998</v>
      </c>
    </row>
    <row r="21" spans="1:53" s="527" customFormat="1">
      <c r="A21" s="632" t="s">
        <v>226</v>
      </c>
      <c r="B21" s="629" t="s">
        <v>490</v>
      </c>
      <c r="C21" s="538" t="s">
        <v>514</v>
      </c>
      <c r="D21" s="532">
        <v>101240</v>
      </c>
      <c r="E21" s="631">
        <v>9</v>
      </c>
      <c r="F21" s="491" t="s">
        <v>41</v>
      </c>
      <c r="G21" s="492"/>
      <c r="H21" s="456"/>
      <c r="I21" s="493"/>
      <c r="J21" s="456">
        <v>54827</v>
      </c>
      <c r="K21" s="493">
        <v>48967</v>
      </c>
      <c r="L21" s="456">
        <v>21213</v>
      </c>
      <c r="M21" s="493">
        <v>19473</v>
      </c>
      <c r="N21" s="456">
        <v>53904</v>
      </c>
      <c r="O21" s="493">
        <v>50607</v>
      </c>
      <c r="P21" s="449">
        <f t="shared" si="33"/>
        <v>129944</v>
      </c>
      <c r="Q21" s="450">
        <f t="shared" si="34"/>
        <v>4331.4666666666662</v>
      </c>
      <c r="R21" s="451">
        <f t="shared" si="35"/>
        <v>119047</v>
      </c>
      <c r="S21" s="452">
        <f t="shared" si="36"/>
        <v>3968.2333333333331</v>
      </c>
      <c r="T21" s="456">
        <v>3006</v>
      </c>
      <c r="U21" s="493">
        <v>3356</v>
      </c>
      <c r="V21" s="449">
        <f t="shared" si="37"/>
        <v>129944</v>
      </c>
      <c r="W21" s="448">
        <f t="shared" si="38"/>
        <v>119047</v>
      </c>
      <c r="X21" s="456"/>
      <c r="Y21" s="493"/>
      <c r="Z21" s="456"/>
      <c r="AA21" s="493"/>
      <c r="AB21" s="456"/>
      <c r="AC21" s="493"/>
      <c r="AD21" s="456"/>
      <c r="AE21" s="493"/>
      <c r="AF21" s="449">
        <f t="shared" si="39"/>
        <v>0</v>
      </c>
      <c r="AG21" s="450">
        <f t="shared" si="40"/>
        <v>0</v>
      </c>
      <c r="AH21" s="451">
        <f t="shared" si="41"/>
        <v>0</v>
      </c>
      <c r="AI21" s="451">
        <f t="shared" si="42"/>
        <v>0</v>
      </c>
      <c r="AJ21" s="456"/>
      <c r="AK21" s="493"/>
      <c r="AL21" s="449">
        <f t="shared" si="43"/>
        <v>0</v>
      </c>
      <c r="AM21" s="452">
        <f t="shared" si="44"/>
        <v>0</v>
      </c>
      <c r="AN21" s="456"/>
      <c r="AO21" s="493"/>
      <c r="AP21" s="456"/>
      <c r="AQ21" s="493"/>
      <c r="AR21" s="456"/>
      <c r="AS21" s="493"/>
      <c r="AT21" s="456"/>
      <c r="AU21" s="493"/>
      <c r="AV21" s="449">
        <f t="shared" si="45"/>
        <v>0</v>
      </c>
      <c r="AW21" s="453">
        <f t="shared" si="46"/>
        <v>0</v>
      </c>
      <c r="AX21" s="451">
        <f t="shared" si="47"/>
        <v>0</v>
      </c>
      <c r="AY21" s="454">
        <f t="shared" si="48"/>
        <v>0</v>
      </c>
      <c r="AZ21" s="455">
        <f t="shared" si="49"/>
        <v>4331.4666666666662</v>
      </c>
      <c r="BA21" s="451">
        <f t="shared" si="50"/>
        <v>3968.2333333333331</v>
      </c>
    </row>
    <row r="22" spans="1:53" s="527" customFormat="1">
      <c r="A22" s="632" t="s">
        <v>226</v>
      </c>
      <c r="B22" s="633" t="s">
        <v>491</v>
      </c>
      <c r="C22" s="627"/>
      <c r="D22" s="532">
        <v>101505</v>
      </c>
      <c r="E22" s="532">
        <v>8</v>
      </c>
      <c r="F22" s="491" t="s">
        <v>41</v>
      </c>
      <c r="G22" s="492"/>
      <c r="H22" s="456"/>
      <c r="I22" s="493"/>
      <c r="J22" s="456">
        <v>66537</v>
      </c>
      <c r="K22" s="493">
        <v>63475</v>
      </c>
      <c r="L22" s="456">
        <v>34490</v>
      </c>
      <c r="M22" s="493">
        <v>34347</v>
      </c>
      <c r="N22" s="456">
        <v>72450</v>
      </c>
      <c r="O22" s="493">
        <v>72520</v>
      </c>
      <c r="P22" s="449">
        <f t="shared" si="33"/>
        <v>173477</v>
      </c>
      <c r="Q22" s="450">
        <f t="shared" si="34"/>
        <v>5782.5666666666666</v>
      </c>
      <c r="R22" s="451">
        <f t="shared" si="35"/>
        <v>170342</v>
      </c>
      <c r="S22" s="452">
        <f t="shared" si="36"/>
        <v>5678.0666666666666</v>
      </c>
      <c r="T22" s="456">
        <v>5360</v>
      </c>
      <c r="U22" s="493">
        <v>8099</v>
      </c>
      <c r="V22" s="449">
        <f t="shared" si="37"/>
        <v>173477</v>
      </c>
      <c r="W22" s="448">
        <f t="shared" si="38"/>
        <v>170342</v>
      </c>
      <c r="X22" s="456"/>
      <c r="Y22" s="493"/>
      <c r="Z22" s="456"/>
      <c r="AA22" s="493"/>
      <c r="AB22" s="456"/>
      <c r="AC22" s="493"/>
      <c r="AD22" s="456"/>
      <c r="AE22" s="493"/>
      <c r="AF22" s="449">
        <f t="shared" si="39"/>
        <v>0</v>
      </c>
      <c r="AG22" s="450">
        <f t="shared" si="40"/>
        <v>0</v>
      </c>
      <c r="AH22" s="451">
        <f t="shared" si="41"/>
        <v>0</v>
      </c>
      <c r="AI22" s="451">
        <f t="shared" si="42"/>
        <v>0</v>
      </c>
      <c r="AJ22" s="456"/>
      <c r="AK22" s="493"/>
      <c r="AL22" s="449">
        <f t="shared" si="43"/>
        <v>0</v>
      </c>
      <c r="AM22" s="452">
        <f t="shared" si="44"/>
        <v>0</v>
      </c>
      <c r="AN22" s="456"/>
      <c r="AO22" s="493"/>
      <c r="AP22" s="456"/>
      <c r="AQ22" s="493"/>
      <c r="AR22" s="456"/>
      <c r="AS22" s="493"/>
      <c r="AT22" s="456"/>
      <c r="AU22" s="493"/>
      <c r="AV22" s="449">
        <f t="shared" si="45"/>
        <v>0</v>
      </c>
      <c r="AW22" s="453">
        <f t="shared" si="46"/>
        <v>0</v>
      </c>
      <c r="AX22" s="451">
        <f t="shared" si="47"/>
        <v>0</v>
      </c>
      <c r="AY22" s="454">
        <f t="shared" si="48"/>
        <v>0</v>
      </c>
      <c r="AZ22" s="455">
        <f t="shared" si="49"/>
        <v>5782.5666666666666</v>
      </c>
      <c r="BA22" s="451">
        <f t="shared" si="50"/>
        <v>5678.0666666666666</v>
      </c>
    </row>
    <row r="23" spans="1:53" s="527" customFormat="1">
      <c r="A23" s="632" t="s">
        <v>226</v>
      </c>
      <c r="B23" s="633" t="s">
        <v>492</v>
      </c>
      <c r="C23" s="627"/>
      <c r="D23" s="532">
        <v>101514</v>
      </c>
      <c r="E23" s="532">
        <v>8</v>
      </c>
      <c r="F23" s="491" t="s">
        <v>41</v>
      </c>
      <c r="G23" s="492"/>
      <c r="H23" s="456"/>
      <c r="I23" s="493"/>
      <c r="J23" s="456">
        <v>94699</v>
      </c>
      <c r="K23" s="493">
        <v>88381</v>
      </c>
      <c r="L23" s="456">
        <v>38971</v>
      </c>
      <c r="M23" s="493">
        <v>39190</v>
      </c>
      <c r="N23" s="456">
        <v>97594</v>
      </c>
      <c r="O23" s="493">
        <v>89515</v>
      </c>
      <c r="P23" s="449">
        <f t="shared" si="33"/>
        <v>231264</v>
      </c>
      <c r="Q23" s="450">
        <f t="shared" si="34"/>
        <v>7708.8</v>
      </c>
      <c r="R23" s="451">
        <f t="shared" si="35"/>
        <v>217086</v>
      </c>
      <c r="S23" s="452">
        <f t="shared" si="36"/>
        <v>7236.2</v>
      </c>
      <c r="T23" s="456">
        <v>8536</v>
      </c>
      <c r="U23" s="493">
        <v>8700</v>
      </c>
      <c r="V23" s="449">
        <f t="shared" si="37"/>
        <v>231264</v>
      </c>
      <c r="W23" s="448">
        <f t="shared" si="38"/>
        <v>217086</v>
      </c>
      <c r="X23" s="456"/>
      <c r="Y23" s="493"/>
      <c r="Z23" s="456"/>
      <c r="AA23" s="493"/>
      <c r="AB23" s="456"/>
      <c r="AC23" s="493"/>
      <c r="AD23" s="456"/>
      <c r="AE23" s="493"/>
      <c r="AF23" s="449">
        <f t="shared" si="39"/>
        <v>0</v>
      </c>
      <c r="AG23" s="450">
        <f t="shared" si="40"/>
        <v>0</v>
      </c>
      <c r="AH23" s="451">
        <f t="shared" si="41"/>
        <v>0</v>
      </c>
      <c r="AI23" s="451">
        <f t="shared" si="42"/>
        <v>0</v>
      </c>
      <c r="AJ23" s="456"/>
      <c r="AK23" s="493"/>
      <c r="AL23" s="449">
        <f t="shared" si="43"/>
        <v>0</v>
      </c>
      <c r="AM23" s="452">
        <f t="shared" si="44"/>
        <v>0</v>
      </c>
      <c r="AN23" s="456"/>
      <c r="AO23" s="493"/>
      <c r="AP23" s="456"/>
      <c r="AQ23" s="493"/>
      <c r="AR23" s="456"/>
      <c r="AS23" s="493"/>
      <c r="AT23" s="456"/>
      <c r="AU23" s="493"/>
      <c r="AV23" s="449">
        <f t="shared" si="45"/>
        <v>0</v>
      </c>
      <c r="AW23" s="453">
        <f t="shared" si="46"/>
        <v>0</v>
      </c>
      <c r="AX23" s="451">
        <f t="shared" si="47"/>
        <v>0</v>
      </c>
      <c r="AY23" s="454">
        <f t="shared" si="48"/>
        <v>0</v>
      </c>
      <c r="AZ23" s="455">
        <f t="shared" si="49"/>
        <v>7708.8</v>
      </c>
      <c r="BA23" s="451">
        <f t="shared" si="50"/>
        <v>7236.2</v>
      </c>
    </row>
    <row r="24" spans="1:53">
      <c r="A24" s="632" t="s">
        <v>226</v>
      </c>
      <c r="B24" s="633" t="s">
        <v>493</v>
      </c>
      <c r="C24" s="627"/>
      <c r="D24" s="532">
        <v>102429</v>
      </c>
      <c r="E24" s="532">
        <v>9</v>
      </c>
      <c r="F24" s="491" t="s">
        <v>41</v>
      </c>
      <c r="G24" s="492"/>
      <c r="H24" s="456"/>
      <c r="I24" s="493"/>
      <c r="J24" s="456">
        <v>33058</v>
      </c>
      <c r="K24" s="493">
        <v>33070</v>
      </c>
      <c r="L24" s="456">
        <v>14164</v>
      </c>
      <c r="M24" s="493">
        <v>15523</v>
      </c>
      <c r="N24" s="456">
        <v>36646</v>
      </c>
      <c r="O24" s="493">
        <v>35895</v>
      </c>
      <c r="P24" s="449">
        <f t="shared" si="33"/>
        <v>83868</v>
      </c>
      <c r="Q24" s="450">
        <f t="shared" si="34"/>
        <v>2795.6</v>
      </c>
      <c r="R24" s="451">
        <f t="shared" si="35"/>
        <v>84488</v>
      </c>
      <c r="S24" s="452">
        <f t="shared" si="36"/>
        <v>2816.2666666666669</v>
      </c>
      <c r="T24" s="456">
        <v>2942</v>
      </c>
      <c r="U24" s="493">
        <v>4969</v>
      </c>
      <c r="V24" s="449">
        <f t="shared" si="37"/>
        <v>83868</v>
      </c>
      <c r="W24" s="448">
        <f t="shared" si="38"/>
        <v>84488</v>
      </c>
      <c r="X24" s="456"/>
      <c r="Y24" s="493"/>
      <c r="Z24" s="456"/>
      <c r="AA24" s="493"/>
      <c r="AB24" s="456"/>
      <c r="AC24" s="493"/>
      <c r="AD24" s="456"/>
      <c r="AE24" s="493"/>
      <c r="AF24" s="449">
        <f t="shared" si="39"/>
        <v>0</v>
      </c>
      <c r="AG24" s="450">
        <f t="shared" si="40"/>
        <v>0</v>
      </c>
      <c r="AH24" s="451">
        <f t="shared" si="41"/>
        <v>0</v>
      </c>
      <c r="AI24" s="451">
        <f t="shared" si="42"/>
        <v>0</v>
      </c>
      <c r="AJ24" s="456"/>
      <c r="AK24" s="493"/>
      <c r="AL24" s="449">
        <f t="shared" si="43"/>
        <v>0</v>
      </c>
      <c r="AM24" s="452">
        <f t="shared" si="44"/>
        <v>0</v>
      </c>
      <c r="AN24" s="456"/>
      <c r="AO24" s="493"/>
      <c r="AP24" s="456"/>
      <c r="AQ24" s="493"/>
      <c r="AR24" s="456"/>
      <c r="AS24" s="493"/>
      <c r="AT24" s="456"/>
      <c r="AU24" s="493"/>
      <c r="AV24" s="449">
        <f t="shared" si="45"/>
        <v>0</v>
      </c>
      <c r="AW24" s="453">
        <f t="shared" si="46"/>
        <v>0</v>
      </c>
      <c r="AX24" s="451">
        <f t="shared" si="47"/>
        <v>0</v>
      </c>
      <c r="AY24" s="454">
        <f t="shared" si="48"/>
        <v>0</v>
      </c>
      <c r="AZ24" s="455">
        <f t="shared" si="49"/>
        <v>2795.6</v>
      </c>
      <c r="BA24" s="451">
        <f t="shared" si="50"/>
        <v>2816.2666666666669</v>
      </c>
    </row>
    <row r="25" spans="1:53">
      <c r="A25" s="632" t="s">
        <v>226</v>
      </c>
      <c r="B25" s="630" t="s">
        <v>494</v>
      </c>
      <c r="C25" s="628"/>
      <c r="D25" s="532">
        <v>102030</v>
      </c>
      <c r="E25" s="532">
        <v>9</v>
      </c>
      <c r="F25" s="491" t="s">
        <v>41</v>
      </c>
      <c r="G25" s="492"/>
      <c r="H25" s="456"/>
      <c r="I25" s="493"/>
      <c r="J25" s="456">
        <v>34307</v>
      </c>
      <c r="K25" s="493">
        <v>30950</v>
      </c>
      <c r="L25" s="456">
        <v>12046</v>
      </c>
      <c r="M25" s="493">
        <v>10858</v>
      </c>
      <c r="N25" s="456">
        <v>33382</v>
      </c>
      <c r="O25" s="493">
        <v>30316</v>
      </c>
      <c r="P25" s="449">
        <f t="shared" si="33"/>
        <v>79735</v>
      </c>
      <c r="Q25" s="450">
        <f t="shared" si="34"/>
        <v>2657.8333333333335</v>
      </c>
      <c r="R25" s="451">
        <f t="shared" si="35"/>
        <v>72124</v>
      </c>
      <c r="S25" s="452">
        <f t="shared" si="36"/>
        <v>2404.1333333333332</v>
      </c>
      <c r="T25" s="456">
        <v>2696</v>
      </c>
      <c r="U25" s="493">
        <v>3022</v>
      </c>
      <c r="V25" s="449">
        <f t="shared" si="37"/>
        <v>79735</v>
      </c>
      <c r="W25" s="448">
        <f t="shared" si="38"/>
        <v>72124</v>
      </c>
      <c r="X25" s="456"/>
      <c r="Y25" s="493"/>
      <c r="Z25" s="456"/>
      <c r="AA25" s="493"/>
      <c r="AB25" s="456"/>
      <c r="AC25" s="493"/>
      <c r="AD25" s="456"/>
      <c r="AE25" s="493"/>
      <c r="AF25" s="449">
        <f t="shared" si="39"/>
        <v>0</v>
      </c>
      <c r="AG25" s="450">
        <f t="shared" si="40"/>
        <v>0</v>
      </c>
      <c r="AH25" s="451">
        <f t="shared" si="41"/>
        <v>0</v>
      </c>
      <c r="AI25" s="451">
        <f t="shared" si="42"/>
        <v>0</v>
      </c>
      <c r="AJ25" s="456"/>
      <c r="AK25" s="493"/>
      <c r="AL25" s="449">
        <f t="shared" si="43"/>
        <v>0</v>
      </c>
      <c r="AM25" s="452">
        <f t="shared" si="44"/>
        <v>0</v>
      </c>
      <c r="AN25" s="456"/>
      <c r="AO25" s="493"/>
      <c r="AP25" s="456"/>
      <c r="AQ25" s="493"/>
      <c r="AR25" s="456"/>
      <c r="AS25" s="493"/>
      <c r="AT25" s="456"/>
      <c r="AU25" s="493"/>
      <c r="AV25" s="449">
        <f t="shared" si="45"/>
        <v>0</v>
      </c>
      <c r="AW25" s="453">
        <f t="shared" si="46"/>
        <v>0</v>
      </c>
      <c r="AX25" s="451">
        <f t="shared" si="47"/>
        <v>0</v>
      </c>
      <c r="AY25" s="454">
        <f t="shared" si="48"/>
        <v>0</v>
      </c>
      <c r="AZ25" s="455">
        <f t="shared" si="49"/>
        <v>2657.8333333333335</v>
      </c>
      <c r="BA25" s="451">
        <f t="shared" si="50"/>
        <v>2404.1333333333332</v>
      </c>
    </row>
    <row r="26" spans="1:53">
      <c r="A26" s="632" t="s">
        <v>226</v>
      </c>
      <c r="B26" s="629" t="s">
        <v>515</v>
      </c>
      <c r="C26" s="530" t="s">
        <v>316</v>
      </c>
      <c r="D26" s="532">
        <v>101143</v>
      </c>
      <c r="E26" s="536">
        <v>9</v>
      </c>
      <c r="F26" s="491" t="s">
        <v>41</v>
      </c>
      <c r="G26" s="492"/>
      <c r="H26" s="456"/>
      <c r="I26" s="493"/>
      <c r="J26" s="456">
        <v>23096</v>
      </c>
      <c r="K26" s="493">
        <v>18637</v>
      </c>
      <c r="L26" s="456">
        <v>8376</v>
      </c>
      <c r="M26" s="493">
        <v>6708</v>
      </c>
      <c r="N26" s="456">
        <v>21177</v>
      </c>
      <c r="O26" s="493">
        <v>19300</v>
      </c>
      <c r="P26" s="449">
        <f t="shared" si="33"/>
        <v>52649</v>
      </c>
      <c r="Q26" s="450">
        <f t="shared" si="34"/>
        <v>1754.9666666666667</v>
      </c>
      <c r="R26" s="451">
        <f t="shared" si="35"/>
        <v>44645</v>
      </c>
      <c r="S26" s="452">
        <f t="shared" si="36"/>
        <v>1488.1666666666667</v>
      </c>
      <c r="T26" s="456">
        <v>3513</v>
      </c>
      <c r="U26" s="493">
        <v>3899</v>
      </c>
      <c r="V26" s="449">
        <f t="shared" si="37"/>
        <v>52649</v>
      </c>
      <c r="W26" s="448">
        <f t="shared" si="38"/>
        <v>44645</v>
      </c>
      <c r="X26" s="456"/>
      <c r="Y26" s="493"/>
      <c r="Z26" s="456"/>
      <c r="AA26" s="493"/>
      <c r="AB26" s="456"/>
      <c r="AC26" s="493"/>
      <c r="AD26" s="456"/>
      <c r="AE26" s="493"/>
      <c r="AF26" s="449">
        <f t="shared" si="39"/>
        <v>0</v>
      </c>
      <c r="AG26" s="450">
        <f t="shared" si="40"/>
        <v>0</v>
      </c>
      <c r="AH26" s="451">
        <f t="shared" si="41"/>
        <v>0</v>
      </c>
      <c r="AI26" s="451">
        <f t="shared" si="42"/>
        <v>0</v>
      </c>
      <c r="AJ26" s="456"/>
      <c r="AK26" s="493"/>
      <c r="AL26" s="449">
        <f t="shared" si="43"/>
        <v>0</v>
      </c>
      <c r="AM26" s="452">
        <f t="shared" si="44"/>
        <v>0</v>
      </c>
      <c r="AN26" s="456"/>
      <c r="AO26" s="493"/>
      <c r="AP26" s="456"/>
      <c r="AQ26" s="493"/>
      <c r="AR26" s="456"/>
      <c r="AS26" s="493"/>
      <c r="AT26" s="456"/>
      <c r="AU26" s="493"/>
      <c r="AV26" s="449">
        <f t="shared" si="45"/>
        <v>0</v>
      </c>
      <c r="AW26" s="453">
        <f t="shared" si="46"/>
        <v>0</v>
      </c>
      <c r="AX26" s="451">
        <f t="shared" si="47"/>
        <v>0</v>
      </c>
      <c r="AY26" s="454">
        <f t="shared" si="48"/>
        <v>0</v>
      </c>
      <c r="AZ26" s="455">
        <f t="shared" si="49"/>
        <v>1754.9666666666667</v>
      </c>
      <c r="BA26" s="451">
        <f t="shared" si="50"/>
        <v>1488.1666666666667</v>
      </c>
    </row>
    <row r="27" spans="1:53">
      <c r="A27" s="632" t="s">
        <v>226</v>
      </c>
      <c r="B27" s="633" t="s">
        <v>495</v>
      </c>
      <c r="C27" s="627"/>
      <c r="D27" s="532">
        <v>101286</v>
      </c>
      <c r="E27" s="532">
        <v>9</v>
      </c>
      <c r="F27" s="491" t="s">
        <v>41</v>
      </c>
      <c r="G27" s="492"/>
      <c r="H27" s="456"/>
      <c r="I27" s="493"/>
      <c r="J27" s="456">
        <v>42652</v>
      </c>
      <c r="K27" s="493">
        <v>43238</v>
      </c>
      <c r="L27" s="456">
        <v>20145</v>
      </c>
      <c r="M27" s="493">
        <v>19161</v>
      </c>
      <c r="N27" s="456">
        <v>46731</v>
      </c>
      <c r="O27" s="493">
        <v>45555</v>
      </c>
      <c r="P27" s="449">
        <f t="shared" si="33"/>
        <v>109528</v>
      </c>
      <c r="Q27" s="450">
        <f t="shared" si="34"/>
        <v>3650.9333333333334</v>
      </c>
      <c r="R27" s="451">
        <f t="shared" si="35"/>
        <v>107954</v>
      </c>
      <c r="S27" s="452">
        <f t="shared" si="36"/>
        <v>3598.4666666666667</v>
      </c>
      <c r="T27" s="456">
        <v>4182</v>
      </c>
      <c r="U27" s="493">
        <v>5240</v>
      </c>
      <c r="V27" s="449">
        <f t="shared" si="37"/>
        <v>109528</v>
      </c>
      <c r="W27" s="448">
        <f t="shared" si="38"/>
        <v>107954</v>
      </c>
      <c r="X27" s="456"/>
      <c r="Y27" s="493"/>
      <c r="Z27" s="456"/>
      <c r="AA27" s="493"/>
      <c r="AB27" s="456"/>
      <c r="AC27" s="493"/>
      <c r="AD27" s="456"/>
      <c r="AE27" s="493"/>
      <c r="AF27" s="449">
        <f t="shared" si="39"/>
        <v>0</v>
      </c>
      <c r="AG27" s="450">
        <f t="shared" si="40"/>
        <v>0</v>
      </c>
      <c r="AH27" s="451">
        <f t="shared" si="41"/>
        <v>0</v>
      </c>
      <c r="AI27" s="451">
        <f t="shared" si="42"/>
        <v>0</v>
      </c>
      <c r="AJ27" s="456"/>
      <c r="AK27" s="493"/>
      <c r="AL27" s="449">
        <f t="shared" si="43"/>
        <v>0</v>
      </c>
      <c r="AM27" s="452">
        <f t="shared" si="44"/>
        <v>0</v>
      </c>
      <c r="AN27" s="456"/>
      <c r="AO27" s="493"/>
      <c r="AP27" s="456"/>
      <c r="AQ27" s="493"/>
      <c r="AR27" s="456"/>
      <c r="AS27" s="493"/>
      <c r="AT27" s="456"/>
      <c r="AU27" s="493"/>
      <c r="AV27" s="449">
        <f t="shared" si="45"/>
        <v>0</v>
      </c>
      <c r="AW27" s="453">
        <f t="shared" si="46"/>
        <v>0</v>
      </c>
      <c r="AX27" s="451">
        <f t="shared" si="47"/>
        <v>0</v>
      </c>
      <c r="AY27" s="454">
        <f t="shared" si="48"/>
        <v>0</v>
      </c>
      <c r="AZ27" s="455">
        <f t="shared" si="49"/>
        <v>3650.9333333333334</v>
      </c>
      <c r="BA27" s="451">
        <f t="shared" si="50"/>
        <v>3598.4666666666667</v>
      </c>
    </row>
    <row r="28" spans="1:53">
      <c r="A28" s="632" t="s">
        <v>226</v>
      </c>
      <c r="B28" s="633" t="s">
        <v>496</v>
      </c>
      <c r="C28" s="627"/>
      <c r="D28" s="532">
        <v>101161</v>
      </c>
      <c r="E28" s="532">
        <v>9</v>
      </c>
      <c r="F28" s="491" t="s">
        <v>41</v>
      </c>
      <c r="G28" s="492"/>
      <c r="H28" s="456"/>
      <c r="I28" s="493"/>
      <c r="J28" s="456">
        <v>45068</v>
      </c>
      <c r="K28" s="493">
        <v>45677</v>
      </c>
      <c r="L28" s="456">
        <v>18604</v>
      </c>
      <c r="M28" s="493">
        <v>19322</v>
      </c>
      <c r="N28" s="456">
        <v>48558</v>
      </c>
      <c r="O28" s="493">
        <v>49973</v>
      </c>
      <c r="P28" s="449">
        <f t="shared" si="33"/>
        <v>112230</v>
      </c>
      <c r="Q28" s="450">
        <f t="shared" si="34"/>
        <v>3741</v>
      </c>
      <c r="R28" s="451">
        <f t="shared" si="35"/>
        <v>114972</v>
      </c>
      <c r="S28" s="452">
        <f t="shared" si="36"/>
        <v>3832.4</v>
      </c>
      <c r="T28" s="456">
        <v>2628</v>
      </c>
      <c r="U28" s="493">
        <v>3028</v>
      </c>
      <c r="V28" s="449">
        <f t="shared" si="37"/>
        <v>112230</v>
      </c>
      <c r="W28" s="448">
        <f t="shared" si="38"/>
        <v>114972</v>
      </c>
      <c r="X28" s="456"/>
      <c r="Y28" s="493"/>
      <c r="Z28" s="456"/>
      <c r="AA28" s="493"/>
      <c r="AB28" s="456"/>
      <c r="AC28" s="493"/>
      <c r="AD28" s="456"/>
      <c r="AE28" s="493"/>
      <c r="AF28" s="449">
        <f t="shared" si="39"/>
        <v>0</v>
      </c>
      <c r="AG28" s="450">
        <f t="shared" si="40"/>
        <v>0</v>
      </c>
      <c r="AH28" s="451">
        <f t="shared" si="41"/>
        <v>0</v>
      </c>
      <c r="AI28" s="451">
        <f t="shared" si="42"/>
        <v>0</v>
      </c>
      <c r="AJ28" s="456"/>
      <c r="AK28" s="493"/>
      <c r="AL28" s="449">
        <f t="shared" si="43"/>
        <v>0</v>
      </c>
      <c r="AM28" s="452">
        <f t="shared" si="44"/>
        <v>0</v>
      </c>
      <c r="AN28" s="456"/>
      <c r="AO28" s="493"/>
      <c r="AP28" s="456"/>
      <c r="AQ28" s="493"/>
      <c r="AR28" s="456"/>
      <c r="AS28" s="493"/>
      <c r="AT28" s="456"/>
      <c r="AU28" s="493"/>
      <c r="AV28" s="449">
        <f t="shared" si="45"/>
        <v>0</v>
      </c>
      <c r="AW28" s="453">
        <f t="shared" si="46"/>
        <v>0</v>
      </c>
      <c r="AX28" s="451">
        <f t="shared" si="47"/>
        <v>0</v>
      </c>
      <c r="AY28" s="454">
        <f t="shared" si="48"/>
        <v>0</v>
      </c>
      <c r="AZ28" s="455">
        <f t="shared" si="49"/>
        <v>3741</v>
      </c>
      <c r="BA28" s="451">
        <f t="shared" si="50"/>
        <v>3832.4</v>
      </c>
    </row>
    <row r="29" spans="1:53">
      <c r="A29" s="632" t="s">
        <v>226</v>
      </c>
      <c r="B29" s="633" t="s">
        <v>497</v>
      </c>
      <c r="C29" s="627"/>
      <c r="D29" s="532">
        <v>101569</v>
      </c>
      <c r="E29" s="532">
        <v>9</v>
      </c>
      <c r="F29" s="491" t="s">
        <v>41</v>
      </c>
      <c r="G29" s="492"/>
      <c r="H29" s="456"/>
      <c r="I29" s="493"/>
      <c r="J29" s="456">
        <v>29443</v>
      </c>
      <c r="K29" s="493">
        <v>29363</v>
      </c>
      <c r="L29" s="456">
        <v>11734</v>
      </c>
      <c r="M29" s="493">
        <v>11150</v>
      </c>
      <c r="N29" s="456">
        <v>32569</v>
      </c>
      <c r="O29" s="493">
        <v>33450</v>
      </c>
      <c r="P29" s="449">
        <f t="shared" si="33"/>
        <v>73746</v>
      </c>
      <c r="Q29" s="450">
        <f t="shared" si="34"/>
        <v>2458.1999999999998</v>
      </c>
      <c r="R29" s="451">
        <f t="shared" si="35"/>
        <v>73963</v>
      </c>
      <c r="S29" s="452">
        <f t="shared" si="36"/>
        <v>2465.4333333333334</v>
      </c>
      <c r="T29" s="456">
        <v>1347</v>
      </c>
      <c r="U29" s="493">
        <v>1283</v>
      </c>
      <c r="V29" s="449">
        <f t="shared" si="37"/>
        <v>73746</v>
      </c>
      <c r="W29" s="448">
        <f t="shared" si="38"/>
        <v>73963</v>
      </c>
      <c r="X29" s="456"/>
      <c r="Y29" s="493"/>
      <c r="Z29" s="456"/>
      <c r="AA29" s="493"/>
      <c r="AB29" s="456"/>
      <c r="AC29" s="493"/>
      <c r="AD29" s="456"/>
      <c r="AE29" s="493"/>
      <c r="AF29" s="449">
        <f t="shared" si="39"/>
        <v>0</v>
      </c>
      <c r="AG29" s="450">
        <f t="shared" si="40"/>
        <v>0</v>
      </c>
      <c r="AH29" s="451">
        <f t="shared" si="41"/>
        <v>0</v>
      </c>
      <c r="AI29" s="451">
        <f t="shared" si="42"/>
        <v>0</v>
      </c>
      <c r="AJ29" s="456"/>
      <c r="AK29" s="493"/>
      <c r="AL29" s="449">
        <f t="shared" si="43"/>
        <v>0</v>
      </c>
      <c r="AM29" s="452">
        <f t="shared" si="44"/>
        <v>0</v>
      </c>
      <c r="AN29" s="456"/>
      <c r="AO29" s="493"/>
      <c r="AP29" s="456"/>
      <c r="AQ29" s="493"/>
      <c r="AR29" s="456"/>
      <c r="AS29" s="493"/>
      <c r="AT29" s="456"/>
      <c r="AU29" s="493"/>
      <c r="AV29" s="449">
        <f t="shared" si="45"/>
        <v>0</v>
      </c>
      <c r="AW29" s="453">
        <f t="shared" si="46"/>
        <v>0</v>
      </c>
      <c r="AX29" s="451">
        <f t="shared" si="47"/>
        <v>0</v>
      </c>
      <c r="AY29" s="454">
        <f t="shared" si="48"/>
        <v>0</v>
      </c>
      <c r="AZ29" s="455">
        <f t="shared" si="49"/>
        <v>2458.1999999999998</v>
      </c>
      <c r="BA29" s="451">
        <f t="shared" si="50"/>
        <v>2465.4333333333334</v>
      </c>
    </row>
    <row r="30" spans="1:53">
      <c r="A30" s="632" t="s">
        <v>226</v>
      </c>
      <c r="B30" s="630" t="s">
        <v>498</v>
      </c>
      <c r="C30" s="628" t="s">
        <v>516</v>
      </c>
      <c r="D30" s="536">
        <v>101897</v>
      </c>
      <c r="E30" s="536">
        <v>9</v>
      </c>
      <c r="F30" s="491" t="s">
        <v>41</v>
      </c>
      <c r="G30" s="492"/>
      <c r="H30" s="456"/>
      <c r="I30" s="493"/>
      <c r="J30" s="456">
        <v>24805</v>
      </c>
      <c r="K30" s="493">
        <v>22853</v>
      </c>
      <c r="L30" s="456">
        <v>10426</v>
      </c>
      <c r="M30" s="493">
        <v>9114</v>
      </c>
      <c r="N30" s="456">
        <v>26093</v>
      </c>
      <c r="O30" s="493">
        <v>25274</v>
      </c>
      <c r="P30" s="449">
        <f t="shared" si="33"/>
        <v>61324</v>
      </c>
      <c r="Q30" s="450">
        <f t="shared" si="34"/>
        <v>2044.1333333333334</v>
      </c>
      <c r="R30" s="451">
        <f t="shared" si="35"/>
        <v>57241</v>
      </c>
      <c r="S30" s="452">
        <f t="shared" si="36"/>
        <v>1908.0333333333333</v>
      </c>
      <c r="T30" s="456">
        <v>4312</v>
      </c>
      <c r="U30" s="493">
        <v>5915</v>
      </c>
      <c r="V30" s="449">
        <f t="shared" si="37"/>
        <v>61324</v>
      </c>
      <c r="W30" s="448">
        <f t="shared" si="38"/>
        <v>57241</v>
      </c>
      <c r="X30" s="456"/>
      <c r="Y30" s="493"/>
      <c r="Z30" s="456"/>
      <c r="AA30" s="493"/>
      <c r="AB30" s="456"/>
      <c r="AC30" s="493"/>
      <c r="AD30" s="456"/>
      <c r="AE30" s="493"/>
      <c r="AF30" s="449">
        <f t="shared" si="39"/>
        <v>0</v>
      </c>
      <c r="AG30" s="450">
        <f t="shared" si="40"/>
        <v>0</v>
      </c>
      <c r="AH30" s="451">
        <f t="shared" si="41"/>
        <v>0</v>
      </c>
      <c r="AI30" s="451">
        <f t="shared" si="42"/>
        <v>0</v>
      </c>
      <c r="AJ30" s="456"/>
      <c r="AK30" s="493"/>
      <c r="AL30" s="449">
        <f t="shared" si="43"/>
        <v>0</v>
      </c>
      <c r="AM30" s="452">
        <f t="shared" si="44"/>
        <v>0</v>
      </c>
      <c r="AN30" s="456"/>
      <c r="AO30" s="493"/>
      <c r="AP30" s="456"/>
      <c r="AQ30" s="493"/>
      <c r="AR30" s="456"/>
      <c r="AS30" s="493"/>
      <c r="AT30" s="456"/>
      <c r="AU30" s="493"/>
      <c r="AV30" s="449">
        <f t="shared" si="45"/>
        <v>0</v>
      </c>
      <c r="AW30" s="453">
        <f t="shared" si="46"/>
        <v>0</v>
      </c>
      <c r="AX30" s="451">
        <f t="shared" si="47"/>
        <v>0</v>
      </c>
      <c r="AY30" s="454">
        <f t="shared" si="48"/>
        <v>0</v>
      </c>
      <c r="AZ30" s="455">
        <f t="shared" si="49"/>
        <v>2044.1333333333334</v>
      </c>
      <c r="BA30" s="451">
        <f t="shared" si="50"/>
        <v>1908.0333333333333</v>
      </c>
    </row>
    <row r="31" spans="1:53">
      <c r="A31" s="632" t="s">
        <v>226</v>
      </c>
      <c r="B31" s="633" t="s">
        <v>499</v>
      </c>
      <c r="C31" s="627"/>
      <c r="D31" s="532">
        <v>101736</v>
      </c>
      <c r="E31" s="532">
        <v>9</v>
      </c>
      <c r="F31" s="491" t="s">
        <v>41</v>
      </c>
      <c r="G31" s="492"/>
      <c r="H31" s="456"/>
      <c r="I31" s="493"/>
      <c r="J31" s="456">
        <v>32954</v>
      </c>
      <c r="K31" s="493">
        <v>32099</v>
      </c>
      <c r="L31" s="456">
        <v>13250</v>
      </c>
      <c r="M31" s="493">
        <v>12217</v>
      </c>
      <c r="N31" s="456">
        <v>36788</v>
      </c>
      <c r="O31" s="493">
        <v>33729</v>
      </c>
      <c r="P31" s="449">
        <f t="shared" si="33"/>
        <v>82992</v>
      </c>
      <c r="Q31" s="450">
        <f t="shared" si="34"/>
        <v>2766.4</v>
      </c>
      <c r="R31" s="451">
        <f t="shared" si="35"/>
        <v>78045</v>
      </c>
      <c r="S31" s="452">
        <f t="shared" si="36"/>
        <v>2601.5</v>
      </c>
      <c r="T31" s="456">
        <v>4479</v>
      </c>
      <c r="U31" s="493">
        <v>5282</v>
      </c>
      <c r="V31" s="449">
        <f t="shared" si="37"/>
        <v>82992</v>
      </c>
      <c r="W31" s="448">
        <f t="shared" si="38"/>
        <v>78045</v>
      </c>
      <c r="X31" s="456"/>
      <c r="Y31" s="493"/>
      <c r="Z31" s="456"/>
      <c r="AA31" s="493"/>
      <c r="AB31" s="456"/>
      <c r="AC31" s="493"/>
      <c r="AD31" s="456"/>
      <c r="AE31" s="493"/>
      <c r="AF31" s="449">
        <f t="shared" si="39"/>
        <v>0</v>
      </c>
      <c r="AG31" s="450">
        <f t="shared" si="40"/>
        <v>0</v>
      </c>
      <c r="AH31" s="451">
        <f t="shared" si="41"/>
        <v>0</v>
      </c>
      <c r="AI31" s="451">
        <f t="shared" si="42"/>
        <v>0</v>
      </c>
      <c r="AJ31" s="456"/>
      <c r="AK31" s="493"/>
      <c r="AL31" s="449">
        <f t="shared" si="43"/>
        <v>0</v>
      </c>
      <c r="AM31" s="452">
        <f t="shared" si="44"/>
        <v>0</v>
      </c>
      <c r="AN31" s="456"/>
      <c r="AO31" s="493"/>
      <c r="AP31" s="456"/>
      <c r="AQ31" s="493"/>
      <c r="AR31" s="456"/>
      <c r="AS31" s="493"/>
      <c r="AT31" s="456"/>
      <c r="AU31" s="493"/>
      <c r="AV31" s="449">
        <f t="shared" si="45"/>
        <v>0</v>
      </c>
      <c r="AW31" s="453">
        <f t="shared" si="46"/>
        <v>0</v>
      </c>
      <c r="AX31" s="451">
        <f t="shared" si="47"/>
        <v>0</v>
      </c>
      <c r="AY31" s="454">
        <f t="shared" si="48"/>
        <v>0</v>
      </c>
      <c r="AZ31" s="455">
        <f t="shared" si="49"/>
        <v>2766.4</v>
      </c>
      <c r="BA31" s="451">
        <f t="shared" si="50"/>
        <v>2601.5</v>
      </c>
    </row>
    <row r="32" spans="1:53">
      <c r="A32" s="632" t="s">
        <v>226</v>
      </c>
      <c r="B32" s="629" t="s">
        <v>500</v>
      </c>
      <c r="C32" s="623"/>
      <c r="D32" s="532">
        <v>102067</v>
      </c>
      <c r="E32" s="532">
        <v>9</v>
      </c>
      <c r="F32" s="491" t="s">
        <v>41</v>
      </c>
      <c r="G32" s="492"/>
      <c r="H32" s="456"/>
      <c r="I32" s="493"/>
      <c r="J32" s="456">
        <v>46609</v>
      </c>
      <c r="K32" s="493">
        <v>43730</v>
      </c>
      <c r="L32" s="456">
        <v>21771</v>
      </c>
      <c r="M32" s="493">
        <v>20194</v>
      </c>
      <c r="N32" s="456">
        <v>49557</v>
      </c>
      <c r="O32" s="493">
        <v>47297</v>
      </c>
      <c r="P32" s="449">
        <f t="shared" si="33"/>
        <v>117937</v>
      </c>
      <c r="Q32" s="450">
        <f t="shared" si="34"/>
        <v>3931.2333333333331</v>
      </c>
      <c r="R32" s="451">
        <f t="shared" si="35"/>
        <v>111221</v>
      </c>
      <c r="S32" s="452">
        <f t="shared" si="36"/>
        <v>3707.3666666666668</v>
      </c>
      <c r="T32" s="456">
        <v>640</v>
      </c>
      <c r="U32" s="493">
        <v>1713</v>
      </c>
      <c r="V32" s="449">
        <f t="shared" si="37"/>
        <v>117937</v>
      </c>
      <c r="W32" s="448">
        <f t="shared" si="38"/>
        <v>111221</v>
      </c>
      <c r="X32" s="456"/>
      <c r="Y32" s="493"/>
      <c r="Z32" s="456"/>
      <c r="AA32" s="493"/>
      <c r="AB32" s="456"/>
      <c r="AC32" s="493"/>
      <c r="AD32" s="456"/>
      <c r="AE32" s="493"/>
      <c r="AF32" s="449">
        <f t="shared" si="39"/>
        <v>0</v>
      </c>
      <c r="AG32" s="450">
        <f t="shared" si="40"/>
        <v>0</v>
      </c>
      <c r="AH32" s="451">
        <f t="shared" si="41"/>
        <v>0</v>
      </c>
      <c r="AI32" s="451">
        <f t="shared" si="42"/>
        <v>0</v>
      </c>
      <c r="AJ32" s="456"/>
      <c r="AK32" s="493"/>
      <c r="AL32" s="449">
        <f t="shared" si="43"/>
        <v>0</v>
      </c>
      <c r="AM32" s="452">
        <f t="shared" si="44"/>
        <v>0</v>
      </c>
      <c r="AN32" s="456"/>
      <c r="AO32" s="493"/>
      <c r="AP32" s="456"/>
      <c r="AQ32" s="493"/>
      <c r="AR32" s="456"/>
      <c r="AS32" s="493"/>
      <c r="AT32" s="456"/>
      <c r="AU32" s="493"/>
      <c r="AV32" s="449">
        <f t="shared" si="45"/>
        <v>0</v>
      </c>
      <c r="AW32" s="453">
        <f t="shared" si="46"/>
        <v>0</v>
      </c>
      <c r="AX32" s="451">
        <f t="shared" si="47"/>
        <v>0</v>
      </c>
      <c r="AY32" s="454">
        <f t="shared" si="48"/>
        <v>0</v>
      </c>
      <c r="AZ32" s="455">
        <f t="shared" si="49"/>
        <v>3931.2333333333331</v>
      </c>
      <c r="BA32" s="451">
        <f t="shared" si="50"/>
        <v>3707.3666666666668</v>
      </c>
    </row>
    <row r="33" spans="1:53">
      <c r="A33" s="632" t="s">
        <v>226</v>
      </c>
      <c r="B33" s="633" t="s">
        <v>501</v>
      </c>
      <c r="C33" s="627"/>
      <c r="D33" s="532">
        <v>251260</v>
      </c>
      <c r="E33" s="532">
        <v>9</v>
      </c>
      <c r="F33" s="491" t="s">
        <v>41</v>
      </c>
      <c r="G33" s="492"/>
      <c r="H33" s="456"/>
      <c r="I33" s="493"/>
      <c r="J33" s="456">
        <v>46656</v>
      </c>
      <c r="K33" s="493">
        <v>47479</v>
      </c>
      <c r="L33" s="456">
        <v>20181</v>
      </c>
      <c r="M33" s="493">
        <v>20187</v>
      </c>
      <c r="N33" s="456">
        <v>50994</v>
      </c>
      <c r="O33" s="493">
        <v>50250</v>
      </c>
      <c r="P33" s="449">
        <f t="shared" si="33"/>
        <v>117831</v>
      </c>
      <c r="Q33" s="450">
        <f t="shared" si="34"/>
        <v>3927.7</v>
      </c>
      <c r="R33" s="451">
        <f t="shared" si="35"/>
        <v>117916</v>
      </c>
      <c r="S33" s="452">
        <f t="shared" si="36"/>
        <v>3930.5333333333333</v>
      </c>
      <c r="T33" s="456">
        <v>990</v>
      </c>
      <c r="U33" s="493">
        <v>1443</v>
      </c>
      <c r="V33" s="449">
        <f t="shared" si="37"/>
        <v>117831</v>
      </c>
      <c r="W33" s="448">
        <f t="shared" si="38"/>
        <v>117916</v>
      </c>
      <c r="X33" s="456"/>
      <c r="Y33" s="493"/>
      <c r="Z33" s="456"/>
      <c r="AA33" s="493"/>
      <c r="AB33" s="456"/>
      <c r="AC33" s="493"/>
      <c r="AD33" s="456"/>
      <c r="AE33" s="493"/>
      <c r="AF33" s="449">
        <f t="shared" si="39"/>
        <v>0</v>
      </c>
      <c r="AG33" s="450">
        <f t="shared" si="40"/>
        <v>0</v>
      </c>
      <c r="AH33" s="451">
        <f t="shared" si="41"/>
        <v>0</v>
      </c>
      <c r="AI33" s="451">
        <f t="shared" si="42"/>
        <v>0</v>
      </c>
      <c r="AJ33" s="456"/>
      <c r="AK33" s="493"/>
      <c r="AL33" s="449">
        <f t="shared" si="43"/>
        <v>0</v>
      </c>
      <c r="AM33" s="452">
        <f t="shared" si="44"/>
        <v>0</v>
      </c>
      <c r="AN33" s="456"/>
      <c r="AO33" s="493"/>
      <c r="AP33" s="456"/>
      <c r="AQ33" s="493"/>
      <c r="AR33" s="456"/>
      <c r="AS33" s="493"/>
      <c r="AT33" s="456"/>
      <c r="AU33" s="493"/>
      <c r="AV33" s="449">
        <f t="shared" si="45"/>
        <v>0</v>
      </c>
      <c r="AW33" s="453">
        <f t="shared" si="46"/>
        <v>0</v>
      </c>
      <c r="AX33" s="451">
        <f t="shared" si="47"/>
        <v>0</v>
      </c>
      <c r="AY33" s="454">
        <f t="shared" si="48"/>
        <v>0</v>
      </c>
      <c r="AZ33" s="455">
        <f t="shared" si="49"/>
        <v>3927.7</v>
      </c>
      <c r="BA33" s="451">
        <f t="shared" si="50"/>
        <v>3930.5333333333333</v>
      </c>
    </row>
    <row r="34" spans="1:53">
      <c r="A34" s="632" t="s">
        <v>226</v>
      </c>
      <c r="B34" s="629" t="s">
        <v>502</v>
      </c>
      <c r="C34" s="538"/>
      <c r="D34" s="532">
        <v>101295</v>
      </c>
      <c r="E34" s="634">
        <v>9</v>
      </c>
      <c r="F34" s="491" t="s">
        <v>41</v>
      </c>
      <c r="G34" s="492"/>
      <c r="H34" s="456"/>
      <c r="I34" s="493"/>
      <c r="J34" s="456">
        <v>52648</v>
      </c>
      <c r="K34" s="493">
        <v>51463</v>
      </c>
      <c r="L34" s="456">
        <v>22292</v>
      </c>
      <c r="M34" s="493">
        <v>21595</v>
      </c>
      <c r="N34" s="456">
        <v>57482</v>
      </c>
      <c r="O34" s="493">
        <v>56467</v>
      </c>
      <c r="P34" s="449">
        <f t="shared" si="33"/>
        <v>132422</v>
      </c>
      <c r="Q34" s="450">
        <f t="shared" si="34"/>
        <v>4414.0666666666666</v>
      </c>
      <c r="R34" s="451">
        <f t="shared" si="35"/>
        <v>129525</v>
      </c>
      <c r="S34" s="452">
        <f t="shared" si="36"/>
        <v>4317.5</v>
      </c>
      <c r="T34" s="456">
        <v>5332</v>
      </c>
      <c r="U34" s="493">
        <v>7022</v>
      </c>
      <c r="V34" s="449">
        <f t="shared" si="37"/>
        <v>132422</v>
      </c>
      <c r="W34" s="448">
        <f t="shared" si="38"/>
        <v>129525</v>
      </c>
      <c r="X34" s="456"/>
      <c r="Y34" s="493"/>
      <c r="Z34" s="456"/>
      <c r="AA34" s="493"/>
      <c r="AB34" s="456"/>
      <c r="AC34" s="493"/>
      <c r="AD34" s="456"/>
      <c r="AE34" s="493"/>
      <c r="AF34" s="449">
        <f t="shared" si="39"/>
        <v>0</v>
      </c>
      <c r="AG34" s="450">
        <f t="shared" si="40"/>
        <v>0</v>
      </c>
      <c r="AH34" s="451">
        <f t="shared" si="41"/>
        <v>0</v>
      </c>
      <c r="AI34" s="451">
        <f t="shared" si="42"/>
        <v>0</v>
      </c>
      <c r="AJ34" s="456"/>
      <c r="AK34" s="493"/>
      <c r="AL34" s="449">
        <f t="shared" si="43"/>
        <v>0</v>
      </c>
      <c r="AM34" s="452">
        <f t="shared" si="44"/>
        <v>0</v>
      </c>
      <c r="AN34" s="456"/>
      <c r="AO34" s="493"/>
      <c r="AP34" s="456"/>
      <c r="AQ34" s="493"/>
      <c r="AR34" s="456"/>
      <c r="AS34" s="493"/>
      <c r="AT34" s="456"/>
      <c r="AU34" s="493"/>
      <c r="AV34" s="449">
        <f t="shared" si="45"/>
        <v>0</v>
      </c>
      <c r="AW34" s="453">
        <f t="shared" si="46"/>
        <v>0</v>
      </c>
      <c r="AX34" s="451">
        <f t="shared" si="47"/>
        <v>0</v>
      </c>
      <c r="AY34" s="454">
        <f t="shared" si="48"/>
        <v>0</v>
      </c>
      <c r="AZ34" s="455">
        <f t="shared" si="49"/>
        <v>4414.0666666666666</v>
      </c>
      <c r="BA34" s="451">
        <f t="shared" si="50"/>
        <v>4317.5</v>
      </c>
    </row>
    <row r="35" spans="1:53">
      <c r="A35" s="632" t="s">
        <v>226</v>
      </c>
      <c r="B35" s="629" t="s">
        <v>503</v>
      </c>
      <c r="C35" s="623"/>
      <c r="D35" s="532">
        <v>101949</v>
      </c>
      <c r="E35" s="532">
        <v>10</v>
      </c>
      <c r="F35" s="491" t="s">
        <v>41</v>
      </c>
      <c r="G35" s="492"/>
      <c r="H35" s="456"/>
      <c r="I35" s="493"/>
      <c r="J35" s="456">
        <v>14297</v>
      </c>
      <c r="K35" s="493">
        <v>14544</v>
      </c>
      <c r="L35" s="456">
        <v>4768</v>
      </c>
      <c r="M35" s="493">
        <v>4295</v>
      </c>
      <c r="N35" s="456">
        <v>15473</v>
      </c>
      <c r="O35" s="493">
        <v>14742</v>
      </c>
      <c r="P35" s="449">
        <f t="shared" si="33"/>
        <v>34538</v>
      </c>
      <c r="Q35" s="450">
        <f t="shared" si="34"/>
        <v>1151.2666666666667</v>
      </c>
      <c r="R35" s="451">
        <f t="shared" si="35"/>
        <v>33581</v>
      </c>
      <c r="S35" s="452">
        <f t="shared" si="36"/>
        <v>1119.3666666666666</v>
      </c>
      <c r="T35" s="456">
        <v>1811</v>
      </c>
      <c r="U35" s="493">
        <v>2127</v>
      </c>
      <c r="V35" s="449">
        <f t="shared" si="37"/>
        <v>34538</v>
      </c>
      <c r="W35" s="448">
        <f t="shared" si="38"/>
        <v>33581</v>
      </c>
      <c r="X35" s="456"/>
      <c r="Y35" s="493"/>
      <c r="Z35" s="456"/>
      <c r="AA35" s="493"/>
      <c r="AB35" s="456"/>
      <c r="AC35" s="493"/>
      <c r="AD35" s="456"/>
      <c r="AE35" s="493"/>
      <c r="AF35" s="449">
        <f t="shared" si="39"/>
        <v>0</v>
      </c>
      <c r="AG35" s="450">
        <f t="shared" si="40"/>
        <v>0</v>
      </c>
      <c r="AH35" s="451">
        <f t="shared" si="41"/>
        <v>0</v>
      </c>
      <c r="AI35" s="451">
        <f t="shared" si="42"/>
        <v>0</v>
      </c>
      <c r="AJ35" s="456"/>
      <c r="AK35" s="493"/>
      <c r="AL35" s="449">
        <f t="shared" si="43"/>
        <v>0</v>
      </c>
      <c r="AM35" s="452">
        <f t="shared" si="44"/>
        <v>0</v>
      </c>
      <c r="AN35" s="456"/>
      <c r="AO35" s="493"/>
      <c r="AP35" s="456"/>
      <c r="AQ35" s="493"/>
      <c r="AR35" s="456"/>
      <c r="AS35" s="493"/>
      <c r="AT35" s="456"/>
      <c r="AU35" s="493"/>
      <c r="AV35" s="449">
        <f t="shared" si="45"/>
        <v>0</v>
      </c>
      <c r="AW35" s="453">
        <f t="shared" si="46"/>
        <v>0</v>
      </c>
      <c r="AX35" s="451">
        <f t="shared" si="47"/>
        <v>0</v>
      </c>
      <c r="AY35" s="454">
        <f t="shared" si="48"/>
        <v>0</v>
      </c>
      <c r="AZ35" s="455">
        <f t="shared" si="49"/>
        <v>1151.2666666666667</v>
      </c>
      <c r="BA35" s="451">
        <f t="shared" si="50"/>
        <v>1119.3666666666666</v>
      </c>
    </row>
    <row r="36" spans="1:53">
      <c r="A36" s="632" t="s">
        <v>226</v>
      </c>
      <c r="B36" s="629" t="s">
        <v>504</v>
      </c>
      <c r="C36" s="538"/>
      <c r="D36" s="532">
        <v>100760</v>
      </c>
      <c r="E36" s="634">
        <v>10</v>
      </c>
      <c r="F36" s="491" t="s">
        <v>41</v>
      </c>
      <c r="G36" s="492"/>
      <c r="H36" s="456"/>
      <c r="I36" s="493"/>
      <c r="J36" s="456">
        <v>16746</v>
      </c>
      <c r="K36" s="493">
        <v>17716</v>
      </c>
      <c r="L36" s="456">
        <v>6955</v>
      </c>
      <c r="M36" s="493">
        <v>6577</v>
      </c>
      <c r="N36" s="456">
        <v>17198</v>
      </c>
      <c r="O36" s="493">
        <v>18575</v>
      </c>
      <c r="P36" s="449">
        <f t="shared" si="33"/>
        <v>40899</v>
      </c>
      <c r="Q36" s="450">
        <f t="shared" si="34"/>
        <v>1363.3</v>
      </c>
      <c r="R36" s="451">
        <f t="shared" si="35"/>
        <v>42868</v>
      </c>
      <c r="S36" s="452">
        <f t="shared" si="36"/>
        <v>1428.9333333333334</v>
      </c>
      <c r="T36" s="456">
        <v>1207</v>
      </c>
      <c r="U36" s="493">
        <v>1489</v>
      </c>
      <c r="V36" s="449">
        <f t="shared" si="37"/>
        <v>40899</v>
      </c>
      <c r="W36" s="448">
        <f t="shared" si="38"/>
        <v>42868</v>
      </c>
      <c r="X36" s="456"/>
      <c r="Y36" s="493"/>
      <c r="Z36" s="456"/>
      <c r="AA36" s="493"/>
      <c r="AB36" s="456"/>
      <c r="AC36" s="493"/>
      <c r="AD36" s="456"/>
      <c r="AE36" s="493"/>
      <c r="AF36" s="449">
        <f t="shared" si="39"/>
        <v>0</v>
      </c>
      <c r="AG36" s="450">
        <f t="shared" si="40"/>
        <v>0</v>
      </c>
      <c r="AH36" s="451">
        <f t="shared" si="41"/>
        <v>0</v>
      </c>
      <c r="AI36" s="451">
        <f t="shared" si="42"/>
        <v>0</v>
      </c>
      <c r="AJ36" s="456"/>
      <c r="AK36" s="493"/>
      <c r="AL36" s="449">
        <f t="shared" si="43"/>
        <v>0</v>
      </c>
      <c r="AM36" s="452">
        <f t="shared" si="44"/>
        <v>0</v>
      </c>
      <c r="AN36" s="456"/>
      <c r="AO36" s="493"/>
      <c r="AP36" s="456"/>
      <c r="AQ36" s="493"/>
      <c r="AR36" s="456"/>
      <c r="AS36" s="493"/>
      <c r="AT36" s="456"/>
      <c r="AU36" s="493"/>
      <c r="AV36" s="449">
        <f t="shared" si="45"/>
        <v>0</v>
      </c>
      <c r="AW36" s="453">
        <f t="shared" si="46"/>
        <v>0</v>
      </c>
      <c r="AX36" s="451">
        <f t="shared" si="47"/>
        <v>0</v>
      </c>
      <c r="AY36" s="454">
        <f t="shared" si="48"/>
        <v>0</v>
      </c>
      <c r="AZ36" s="455">
        <f t="shared" si="49"/>
        <v>1363.3</v>
      </c>
      <c r="BA36" s="451">
        <f t="shared" si="50"/>
        <v>1428.9333333333334</v>
      </c>
    </row>
    <row r="37" spans="1:53">
      <c r="A37" s="632" t="s">
        <v>226</v>
      </c>
      <c r="B37" s="629" t="s">
        <v>505</v>
      </c>
      <c r="C37" s="623"/>
      <c r="D37" s="532">
        <v>101028</v>
      </c>
      <c r="E37" s="532">
        <v>10</v>
      </c>
      <c r="F37" s="491" t="s">
        <v>41</v>
      </c>
      <c r="G37" s="492"/>
      <c r="H37" s="456"/>
      <c r="I37" s="493"/>
      <c r="J37" s="456">
        <v>18905</v>
      </c>
      <c r="K37" s="493">
        <v>17771</v>
      </c>
      <c r="L37" s="456">
        <v>7101</v>
      </c>
      <c r="M37" s="493">
        <v>6812</v>
      </c>
      <c r="N37" s="456">
        <v>18704</v>
      </c>
      <c r="O37" s="493">
        <v>17259</v>
      </c>
      <c r="P37" s="449">
        <f t="shared" si="33"/>
        <v>44710</v>
      </c>
      <c r="Q37" s="450">
        <f t="shared" si="34"/>
        <v>1490.3333333333333</v>
      </c>
      <c r="R37" s="451">
        <f t="shared" si="35"/>
        <v>41842</v>
      </c>
      <c r="S37" s="452">
        <f t="shared" si="36"/>
        <v>1394.7333333333333</v>
      </c>
      <c r="T37" s="456">
        <v>654</v>
      </c>
      <c r="U37" s="493">
        <v>748</v>
      </c>
      <c r="V37" s="449">
        <f t="shared" si="37"/>
        <v>44710</v>
      </c>
      <c r="W37" s="448">
        <f t="shared" si="38"/>
        <v>41842</v>
      </c>
      <c r="X37" s="456"/>
      <c r="Y37" s="493"/>
      <c r="Z37" s="456"/>
      <c r="AA37" s="493"/>
      <c r="AB37" s="456"/>
      <c r="AC37" s="493"/>
      <c r="AD37" s="456"/>
      <c r="AE37" s="493"/>
      <c r="AF37" s="449">
        <f t="shared" si="39"/>
        <v>0</v>
      </c>
      <c r="AG37" s="450">
        <f t="shared" si="40"/>
        <v>0</v>
      </c>
      <c r="AH37" s="451">
        <f t="shared" si="41"/>
        <v>0</v>
      </c>
      <c r="AI37" s="451">
        <f t="shared" si="42"/>
        <v>0</v>
      </c>
      <c r="AJ37" s="456"/>
      <c r="AK37" s="493"/>
      <c r="AL37" s="449">
        <f t="shared" si="43"/>
        <v>0</v>
      </c>
      <c r="AM37" s="452">
        <f t="shared" si="44"/>
        <v>0</v>
      </c>
      <c r="AN37" s="456"/>
      <c r="AO37" s="493"/>
      <c r="AP37" s="456"/>
      <c r="AQ37" s="493"/>
      <c r="AR37" s="456"/>
      <c r="AS37" s="493"/>
      <c r="AT37" s="456"/>
      <c r="AU37" s="493"/>
      <c r="AV37" s="449">
        <f t="shared" si="45"/>
        <v>0</v>
      </c>
      <c r="AW37" s="453">
        <f t="shared" si="46"/>
        <v>0</v>
      </c>
      <c r="AX37" s="451">
        <f t="shared" si="47"/>
        <v>0</v>
      </c>
      <c r="AY37" s="454">
        <f t="shared" si="48"/>
        <v>0</v>
      </c>
      <c r="AZ37" s="455">
        <f t="shared" si="49"/>
        <v>1490.3333333333333</v>
      </c>
      <c r="BA37" s="451">
        <f t="shared" si="50"/>
        <v>1394.7333333333333</v>
      </c>
    </row>
    <row r="38" spans="1:53">
      <c r="A38" s="632" t="s">
        <v>226</v>
      </c>
      <c r="B38" s="629" t="s">
        <v>506</v>
      </c>
      <c r="C38" s="623"/>
      <c r="D38" s="532">
        <v>101301</v>
      </c>
      <c r="E38" s="532">
        <v>10</v>
      </c>
      <c r="F38" s="491" t="s">
        <v>41</v>
      </c>
      <c r="G38" s="492"/>
      <c r="H38" s="456"/>
      <c r="I38" s="493"/>
      <c r="J38" s="456">
        <v>16109</v>
      </c>
      <c r="K38" s="493">
        <v>17041</v>
      </c>
      <c r="L38" s="456">
        <v>9316</v>
      </c>
      <c r="M38" s="493">
        <v>9634</v>
      </c>
      <c r="N38" s="456">
        <v>17250</v>
      </c>
      <c r="O38" s="493">
        <v>16887</v>
      </c>
      <c r="P38" s="449">
        <f t="shared" si="33"/>
        <v>42675</v>
      </c>
      <c r="Q38" s="450">
        <f t="shared" si="34"/>
        <v>1422.5</v>
      </c>
      <c r="R38" s="451">
        <f t="shared" si="35"/>
        <v>43562</v>
      </c>
      <c r="S38" s="452">
        <f t="shared" si="36"/>
        <v>1452.0666666666666</v>
      </c>
      <c r="T38" s="456">
        <v>1608</v>
      </c>
      <c r="U38" s="493">
        <v>2893</v>
      </c>
      <c r="V38" s="449">
        <f t="shared" si="37"/>
        <v>42675</v>
      </c>
      <c r="W38" s="448">
        <f t="shared" si="38"/>
        <v>43562</v>
      </c>
      <c r="X38" s="456"/>
      <c r="Y38" s="493"/>
      <c r="Z38" s="456"/>
      <c r="AA38" s="493"/>
      <c r="AB38" s="456"/>
      <c r="AC38" s="493"/>
      <c r="AD38" s="456"/>
      <c r="AE38" s="493"/>
      <c r="AF38" s="449">
        <f t="shared" si="39"/>
        <v>0</v>
      </c>
      <c r="AG38" s="450">
        <f t="shared" si="40"/>
        <v>0</v>
      </c>
      <c r="AH38" s="451">
        <f t="shared" si="41"/>
        <v>0</v>
      </c>
      <c r="AI38" s="451">
        <f t="shared" si="42"/>
        <v>0</v>
      </c>
      <c r="AJ38" s="456"/>
      <c r="AK38" s="493"/>
      <c r="AL38" s="449">
        <f t="shared" si="43"/>
        <v>0</v>
      </c>
      <c r="AM38" s="452">
        <f t="shared" si="44"/>
        <v>0</v>
      </c>
      <c r="AN38" s="456"/>
      <c r="AO38" s="493"/>
      <c r="AP38" s="456"/>
      <c r="AQ38" s="493"/>
      <c r="AR38" s="456"/>
      <c r="AS38" s="493"/>
      <c r="AT38" s="456"/>
      <c r="AU38" s="493"/>
      <c r="AV38" s="449">
        <f t="shared" si="45"/>
        <v>0</v>
      </c>
      <c r="AW38" s="453">
        <f t="shared" si="46"/>
        <v>0</v>
      </c>
      <c r="AX38" s="451">
        <f t="shared" si="47"/>
        <v>0</v>
      </c>
      <c r="AY38" s="454">
        <f t="shared" si="48"/>
        <v>0</v>
      </c>
      <c r="AZ38" s="455">
        <f t="shared" si="49"/>
        <v>1422.5</v>
      </c>
      <c r="BA38" s="451">
        <f t="shared" si="50"/>
        <v>1452.0666666666666</v>
      </c>
    </row>
    <row r="39" spans="1:53">
      <c r="A39" s="632" t="s">
        <v>226</v>
      </c>
      <c r="B39" s="629" t="s">
        <v>507</v>
      </c>
      <c r="C39" s="623"/>
      <c r="D39" s="532">
        <v>101499</v>
      </c>
      <c r="E39" s="532">
        <v>10</v>
      </c>
      <c r="F39" s="491" t="s">
        <v>41</v>
      </c>
      <c r="G39" s="492"/>
      <c r="H39" s="456"/>
      <c r="I39" s="493"/>
      <c r="J39" s="456">
        <v>11916</v>
      </c>
      <c r="K39" s="493">
        <v>11210</v>
      </c>
      <c r="L39" s="456">
        <v>4574</v>
      </c>
      <c r="M39" s="493">
        <v>4765</v>
      </c>
      <c r="N39" s="456">
        <v>11556</v>
      </c>
      <c r="O39" s="493">
        <v>12093</v>
      </c>
      <c r="P39" s="449">
        <f t="shared" si="33"/>
        <v>28046</v>
      </c>
      <c r="Q39" s="450">
        <f t="shared" si="34"/>
        <v>934.86666666666667</v>
      </c>
      <c r="R39" s="451">
        <f t="shared" si="35"/>
        <v>28068</v>
      </c>
      <c r="S39" s="452">
        <f t="shared" si="36"/>
        <v>935.6</v>
      </c>
      <c r="T39" s="456">
        <v>362</v>
      </c>
      <c r="U39" s="493">
        <v>376</v>
      </c>
      <c r="V39" s="449">
        <f t="shared" si="37"/>
        <v>28046</v>
      </c>
      <c r="W39" s="448">
        <f t="shared" si="38"/>
        <v>28068</v>
      </c>
      <c r="X39" s="456"/>
      <c r="Y39" s="493"/>
      <c r="Z39" s="456"/>
      <c r="AA39" s="493"/>
      <c r="AB39" s="456"/>
      <c r="AC39" s="493"/>
      <c r="AD39" s="456"/>
      <c r="AE39" s="493"/>
      <c r="AF39" s="449">
        <f t="shared" si="39"/>
        <v>0</v>
      </c>
      <c r="AG39" s="450">
        <f t="shared" si="40"/>
        <v>0</v>
      </c>
      <c r="AH39" s="451">
        <f t="shared" si="41"/>
        <v>0</v>
      </c>
      <c r="AI39" s="451">
        <f t="shared" si="42"/>
        <v>0</v>
      </c>
      <c r="AJ39" s="456"/>
      <c r="AK39" s="493"/>
      <c r="AL39" s="449">
        <f t="shared" si="43"/>
        <v>0</v>
      </c>
      <c r="AM39" s="452">
        <f t="shared" si="44"/>
        <v>0</v>
      </c>
      <c r="AN39" s="456"/>
      <c r="AO39" s="493"/>
      <c r="AP39" s="456"/>
      <c r="AQ39" s="493"/>
      <c r="AR39" s="456"/>
      <c r="AS39" s="493"/>
      <c r="AT39" s="456"/>
      <c r="AU39" s="493"/>
      <c r="AV39" s="449">
        <f t="shared" si="45"/>
        <v>0</v>
      </c>
      <c r="AW39" s="453">
        <f t="shared" si="46"/>
        <v>0</v>
      </c>
      <c r="AX39" s="451">
        <f t="shared" si="47"/>
        <v>0</v>
      </c>
      <c r="AY39" s="454">
        <f t="shared" si="48"/>
        <v>0</v>
      </c>
      <c r="AZ39" s="455">
        <f t="shared" si="49"/>
        <v>934.86666666666667</v>
      </c>
      <c r="BA39" s="451">
        <f t="shared" si="50"/>
        <v>935.6</v>
      </c>
    </row>
    <row r="40" spans="1:53">
      <c r="A40" s="632" t="s">
        <v>226</v>
      </c>
      <c r="B40" s="629" t="s">
        <v>508</v>
      </c>
      <c r="C40" s="623"/>
      <c r="D40" s="532">
        <v>101602</v>
      </c>
      <c r="E40" s="532">
        <v>10</v>
      </c>
      <c r="F40" s="491" t="s">
        <v>41</v>
      </c>
      <c r="G40" s="492"/>
      <c r="H40" s="456"/>
      <c r="I40" s="493"/>
      <c r="J40" s="456">
        <v>15359</v>
      </c>
      <c r="K40" s="493">
        <v>14667</v>
      </c>
      <c r="L40" s="456">
        <v>6927</v>
      </c>
      <c r="M40" s="493">
        <v>7250</v>
      </c>
      <c r="N40" s="456">
        <v>17384</v>
      </c>
      <c r="O40" s="493">
        <v>17982</v>
      </c>
      <c r="P40" s="449">
        <f t="shared" si="33"/>
        <v>39670</v>
      </c>
      <c r="Q40" s="450">
        <f t="shared" si="34"/>
        <v>1322.3333333333333</v>
      </c>
      <c r="R40" s="451">
        <f t="shared" si="35"/>
        <v>39899</v>
      </c>
      <c r="S40" s="452">
        <f t="shared" si="36"/>
        <v>1329.9666666666667</v>
      </c>
      <c r="T40" s="456">
        <v>1809</v>
      </c>
      <c r="U40" s="493">
        <v>2537</v>
      </c>
      <c r="V40" s="449">
        <f t="shared" si="37"/>
        <v>39670</v>
      </c>
      <c r="W40" s="448">
        <f t="shared" si="38"/>
        <v>39899</v>
      </c>
      <c r="X40" s="456"/>
      <c r="Y40" s="493"/>
      <c r="Z40" s="456"/>
      <c r="AA40" s="493"/>
      <c r="AB40" s="456"/>
      <c r="AC40" s="493"/>
      <c r="AD40" s="456"/>
      <c r="AE40" s="493"/>
      <c r="AF40" s="449">
        <f t="shared" si="39"/>
        <v>0</v>
      </c>
      <c r="AG40" s="450">
        <f t="shared" si="40"/>
        <v>0</v>
      </c>
      <c r="AH40" s="451">
        <f t="shared" si="41"/>
        <v>0</v>
      </c>
      <c r="AI40" s="451">
        <f t="shared" si="42"/>
        <v>0</v>
      </c>
      <c r="AJ40" s="456"/>
      <c r="AK40" s="493"/>
      <c r="AL40" s="449">
        <f t="shared" si="43"/>
        <v>0</v>
      </c>
      <c r="AM40" s="452">
        <f t="shared" si="44"/>
        <v>0</v>
      </c>
      <c r="AN40" s="456"/>
      <c r="AO40" s="493"/>
      <c r="AP40" s="456"/>
      <c r="AQ40" s="493"/>
      <c r="AR40" s="456"/>
      <c r="AS40" s="493"/>
      <c r="AT40" s="456"/>
      <c r="AU40" s="493"/>
      <c r="AV40" s="449">
        <f t="shared" si="45"/>
        <v>0</v>
      </c>
      <c r="AW40" s="453">
        <f t="shared" si="46"/>
        <v>0</v>
      </c>
      <c r="AX40" s="451">
        <f t="shared" si="47"/>
        <v>0</v>
      </c>
      <c r="AY40" s="454">
        <f t="shared" si="48"/>
        <v>0</v>
      </c>
      <c r="AZ40" s="455">
        <f t="shared" si="49"/>
        <v>1322.3333333333333</v>
      </c>
      <c r="BA40" s="451">
        <f t="shared" si="50"/>
        <v>1329.9666666666667</v>
      </c>
    </row>
    <row r="41" spans="1:53">
      <c r="A41" s="632" t="s">
        <v>226</v>
      </c>
      <c r="B41" s="629" t="s">
        <v>509</v>
      </c>
      <c r="C41" s="623" t="s">
        <v>517</v>
      </c>
      <c r="D41" s="532">
        <v>102076</v>
      </c>
      <c r="E41" s="532">
        <v>10</v>
      </c>
      <c r="F41" s="491" t="s">
        <v>41</v>
      </c>
      <c r="G41" s="492"/>
      <c r="H41" s="456"/>
      <c r="I41" s="493"/>
      <c r="J41" s="456">
        <v>25070</v>
      </c>
      <c r="K41" s="493">
        <v>25199</v>
      </c>
      <c r="L41" s="456">
        <v>7635</v>
      </c>
      <c r="M41" s="493">
        <v>8981</v>
      </c>
      <c r="N41" s="456">
        <v>27127</v>
      </c>
      <c r="O41" s="493">
        <v>28862</v>
      </c>
      <c r="P41" s="449">
        <f t="shared" si="33"/>
        <v>59832</v>
      </c>
      <c r="Q41" s="450">
        <f t="shared" si="34"/>
        <v>1994.4</v>
      </c>
      <c r="R41" s="451">
        <f t="shared" si="35"/>
        <v>63042</v>
      </c>
      <c r="S41" s="452">
        <f t="shared" si="36"/>
        <v>2101.4</v>
      </c>
      <c r="T41" s="456">
        <v>1424</v>
      </c>
      <c r="U41" s="493">
        <v>2241</v>
      </c>
      <c r="V41" s="449">
        <f t="shared" si="37"/>
        <v>59832</v>
      </c>
      <c r="W41" s="448">
        <f t="shared" si="38"/>
        <v>63042</v>
      </c>
      <c r="X41" s="456"/>
      <c r="Y41" s="493"/>
      <c r="Z41" s="456"/>
      <c r="AA41" s="493"/>
      <c r="AB41" s="456"/>
      <c r="AC41" s="493"/>
      <c r="AD41" s="456"/>
      <c r="AE41" s="493"/>
      <c r="AF41" s="449">
        <f t="shared" si="39"/>
        <v>0</v>
      </c>
      <c r="AG41" s="450">
        <f t="shared" si="40"/>
        <v>0</v>
      </c>
      <c r="AH41" s="451">
        <f t="shared" si="41"/>
        <v>0</v>
      </c>
      <c r="AI41" s="451">
        <f t="shared" si="42"/>
        <v>0</v>
      </c>
      <c r="AJ41" s="456"/>
      <c r="AK41" s="493"/>
      <c r="AL41" s="449">
        <f t="shared" si="43"/>
        <v>0</v>
      </c>
      <c r="AM41" s="452">
        <f t="shared" si="44"/>
        <v>0</v>
      </c>
      <c r="AN41" s="456"/>
      <c r="AO41" s="493"/>
      <c r="AP41" s="456"/>
      <c r="AQ41" s="493"/>
      <c r="AR41" s="456"/>
      <c r="AS41" s="493"/>
      <c r="AT41" s="456"/>
      <c r="AU41" s="493"/>
      <c r="AV41" s="449">
        <f t="shared" si="45"/>
        <v>0</v>
      </c>
      <c r="AW41" s="453">
        <f t="shared" si="46"/>
        <v>0</v>
      </c>
      <c r="AX41" s="451">
        <f t="shared" si="47"/>
        <v>0</v>
      </c>
      <c r="AY41" s="454">
        <f t="shared" si="48"/>
        <v>0</v>
      </c>
      <c r="AZ41" s="455">
        <f t="shared" si="49"/>
        <v>1994.4</v>
      </c>
      <c r="BA41" s="451">
        <f t="shared" si="50"/>
        <v>2101.4</v>
      </c>
    </row>
    <row r="42" spans="1:53">
      <c r="A42" s="632" t="s">
        <v>226</v>
      </c>
      <c r="B42" s="633" t="s">
        <v>510</v>
      </c>
      <c r="C42" s="627"/>
      <c r="D42" s="532">
        <v>102313</v>
      </c>
      <c r="E42" s="532">
        <v>12</v>
      </c>
      <c r="F42" s="491" t="s">
        <v>41</v>
      </c>
      <c r="G42" s="492"/>
      <c r="H42" s="456"/>
      <c r="I42" s="493"/>
      <c r="J42" s="456">
        <v>13295</v>
      </c>
      <c r="K42" s="493">
        <v>13213</v>
      </c>
      <c r="L42" s="456">
        <v>8035</v>
      </c>
      <c r="M42" s="493">
        <v>8511</v>
      </c>
      <c r="N42" s="456">
        <v>13464</v>
      </c>
      <c r="O42" s="493">
        <v>14363</v>
      </c>
      <c r="P42" s="449">
        <f t="shared" si="33"/>
        <v>34794</v>
      </c>
      <c r="Q42" s="450">
        <f t="shared" si="34"/>
        <v>1159.8</v>
      </c>
      <c r="R42" s="451">
        <f t="shared" si="35"/>
        <v>36087</v>
      </c>
      <c r="S42" s="452">
        <f t="shared" si="36"/>
        <v>1202.9000000000001</v>
      </c>
      <c r="T42" s="456">
        <v>671</v>
      </c>
      <c r="U42" s="493">
        <v>1100</v>
      </c>
      <c r="V42" s="449">
        <f t="shared" si="37"/>
        <v>34794</v>
      </c>
      <c r="W42" s="448">
        <f t="shared" si="38"/>
        <v>36087</v>
      </c>
      <c r="X42" s="456"/>
      <c r="Y42" s="493"/>
      <c r="Z42" s="456"/>
      <c r="AA42" s="493"/>
      <c r="AB42" s="456"/>
      <c r="AC42" s="493"/>
      <c r="AD42" s="456"/>
      <c r="AE42" s="493"/>
      <c r="AF42" s="449">
        <f t="shared" si="39"/>
        <v>0</v>
      </c>
      <c r="AG42" s="450">
        <f t="shared" si="40"/>
        <v>0</v>
      </c>
      <c r="AH42" s="451">
        <f t="shared" si="41"/>
        <v>0</v>
      </c>
      <c r="AI42" s="451">
        <f t="shared" si="42"/>
        <v>0</v>
      </c>
      <c r="AJ42" s="456"/>
      <c r="AK42" s="493"/>
      <c r="AL42" s="449">
        <f t="shared" si="43"/>
        <v>0</v>
      </c>
      <c r="AM42" s="452">
        <f t="shared" si="44"/>
        <v>0</v>
      </c>
      <c r="AN42" s="456"/>
      <c r="AO42" s="493"/>
      <c r="AP42" s="456"/>
      <c r="AQ42" s="493"/>
      <c r="AR42" s="456"/>
      <c r="AS42" s="493"/>
      <c r="AT42" s="456"/>
      <c r="AU42" s="493"/>
      <c r="AV42" s="449">
        <f t="shared" si="45"/>
        <v>0</v>
      </c>
      <c r="AW42" s="453">
        <f t="shared" si="46"/>
        <v>0</v>
      </c>
      <c r="AX42" s="451">
        <f t="shared" si="47"/>
        <v>0</v>
      </c>
      <c r="AY42" s="454">
        <f t="shared" si="48"/>
        <v>0</v>
      </c>
      <c r="AZ42" s="455">
        <f t="shared" si="49"/>
        <v>1159.8</v>
      </c>
      <c r="BA42" s="451">
        <f t="shared" si="50"/>
        <v>1202.9000000000001</v>
      </c>
    </row>
    <row r="43" spans="1:53">
      <c r="A43" s="632" t="s">
        <v>226</v>
      </c>
      <c r="B43" s="629" t="s">
        <v>511</v>
      </c>
      <c r="C43" s="623"/>
      <c r="D43" s="532">
        <v>101462</v>
      </c>
      <c r="E43" s="532">
        <v>13</v>
      </c>
      <c r="F43" s="491" t="s">
        <v>41</v>
      </c>
      <c r="G43" s="492"/>
      <c r="H43" s="456"/>
      <c r="I43" s="493"/>
      <c r="J43" s="456">
        <v>10855</v>
      </c>
      <c r="K43" s="493">
        <v>9324</v>
      </c>
      <c r="L43" s="456">
        <v>5338</v>
      </c>
      <c r="M43" s="493">
        <v>4358</v>
      </c>
      <c r="N43" s="456">
        <v>10415</v>
      </c>
      <c r="O43" s="493">
        <v>9187</v>
      </c>
      <c r="P43" s="449">
        <f t="shared" si="33"/>
        <v>26608</v>
      </c>
      <c r="Q43" s="450">
        <f t="shared" si="34"/>
        <v>886.93333333333328</v>
      </c>
      <c r="R43" s="451">
        <f t="shared" si="35"/>
        <v>22869</v>
      </c>
      <c r="S43" s="452">
        <f t="shared" si="36"/>
        <v>762.3</v>
      </c>
      <c r="T43" s="456">
        <v>945</v>
      </c>
      <c r="U43" s="493">
        <v>974</v>
      </c>
      <c r="V43" s="449">
        <f t="shared" si="37"/>
        <v>26608</v>
      </c>
      <c r="W43" s="448">
        <f t="shared" si="38"/>
        <v>22869</v>
      </c>
      <c r="X43" s="456"/>
      <c r="Y43" s="493"/>
      <c r="Z43" s="456"/>
      <c r="AA43" s="493"/>
      <c r="AB43" s="456"/>
      <c r="AC43" s="493"/>
      <c r="AD43" s="456"/>
      <c r="AE43" s="493"/>
      <c r="AF43" s="449">
        <f t="shared" si="39"/>
        <v>0</v>
      </c>
      <c r="AG43" s="450">
        <f t="shared" si="40"/>
        <v>0</v>
      </c>
      <c r="AH43" s="451">
        <f t="shared" si="41"/>
        <v>0</v>
      </c>
      <c r="AI43" s="451">
        <f t="shared" si="42"/>
        <v>0</v>
      </c>
      <c r="AJ43" s="456"/>
      <c r="AK43" s="493"/>
      <c r="AL43" s="449">
        <f t="shared" si="43"/>
        <v>0</v>
      </c>
      <c r="AM43" s="452">
        <f t="shared" si="44"/>
        <v>0</v>
      </c>
      <c r="AN43" s="456"/>
      <c r="AO43" s="493"/>
      <c r="AP43" s="456"/>
      <c r="AQ43" s="493"/>
      <c r="AR43" s="456"/>
      <c r="AS43" s="493"/>
      <c r="AT43" s="456"/>
      <c r="AU43" s="493"/>
      <c r="AV43" s="449">
        <f t="shared" si="45"/>
        <v>0</v>
      </c>
      <c r="AW43" s="453">
        <f t="shared" si="46"/>
        <v>0</v>
      </c>
      <c r="AX43" s="451">
        <f t="shared" si="47"/>
        <v>0</v>
      </c>
      <c r="AY43" s="454">
        <f t="shared" si="48"/>
        <v>0</v>
      </c>
      <c r="AZ43" s="455">
        <f t="shared" si="49"/>
        <v>886.93333333333328</v>
      </c>
      <c r="BA43" s="451">
        <f t="shared" si="50"/>
        <v>762.3</v>
      </c>
    </row>
    <row r="44" spans="1:53">
      <c r="A44" s="632" t="s">
        <v>226</v>
      </c>
      <c r="B44" s="633" t="s">
        <v>512</v>
      </c>
      <c r="C44" s="627"/>
      <c r="D44" s="532">
        <v>101471</v>
      </c>
      <c r="E44" s="532">
        <v>13</v>
      </c>
      <c r="F44" s="491" t="s">
        <v>41</v>
      </c>
      <c r="G44" s="492"/>
      <c r="H44" s="456"/>
      <c r="I44" s="493"/>
      <c r="J44" s="456">
        <v>6279</v>
      </c>
      <c r="K44" s="493">
        <v>6408</v>
      </c>
      <c r="L44" s="456">
        <v>5059</v>
      </c>
      <c r="M44" s="493">
        <v>5621</v>
      </c>
      <c r="N44" s="456">
        <v>6300</v>
      </c>
      <c r="O44" s="493">
        <v>5555</v>
      </c>
      <c r="P44" s="449">
        <f t="shared" si="33"/>
        <v>17638</v>
      </c>
      <c r="Q44" s="450">
        <f t="shared" si="34"/>
        <v>587.93333333333328</v>
      </c>
      <c r="R44" s="451">
        <f t="shared" si="35"/>
        <v>17584</v>
      </c>
      <c r="S44" s="452">
        <f t="shared" si="36"/>
        <v>586.13333333333333</v>
      </c>
      <c r="T44" s="456">
        <v>0</v>
      </c>
      <c r="U44" s="493">
        <v>0</v>
      </c>
      <c r="V44" s="449">
        <f t="shared" si="37"/>
        <v>17638</v>
      </c>
      <c r="W44" s="448">
        <f t="shared" si="38"/>
        <v>17584</v>
      </c>
      <c r="X44" s="456"/>
      <c r="Y44" s="493"/>
      <c r="Z44" s="456"/>
      <c r="AA44" s="493"/>
      <c r="AB44" s="456"/>
      <c r="AC44" s="493"/>
      <c r="AD44" s="456"/>
      <c r="AE44" s="493"/>
      <c r="AF44" s="449">
        <f t="shared" si="39"/>
        <v>0</v>
      </c>
      <c r="AG44" s="450">
        <f t="shared" si="40"/>
        <v>0</v>
      </c>
      <c r="AH44" s="451">
        <f t="shared" si="41"/>
        <v>0</v>
      </c>
      <c r="AI44" s="451">
        <f t="shared" si="42"/>
        <v>0</v>
      </c>
      <c r="AJ44" s="456"/>
      <c r="AK44" s="493"/>
      <c r="AL44" s="449">
        <f t="shared" si="43"/>
        <v>0</v>
      </c>
      <c r="AM44" s="452">
        <f t="shared" si="44"/>
        <v>0</v>
      </c>
      <c r="AN44" s="456"/>
      <c r="AO44" s="493"/>
      <c r="AP44" s="456"/>
      <c r="AQ44" s="493"/>
      <c r="AR44" s="456"/>
      <c r="AS44" s="493"/>
      <c r="AT44" s="456"/>
      <c r="AU44" s="493"/>
      <c r="AV44" s="449">
        <f t="shared" si="45"/>
        <v>0</v>
      </c>
      <c r="AW44" s="453">
        <f t="shared" si="46"/>
        <v>0</v>
      </c>
      <c r="AX44" s="451">
        <f t="shared" si="47"/>
        <v>0</v>
      </c>
      <c r="AY44" s="454">
        <f t="shared" si="48"/>
        <v>0</v>
      </c>
      <c r="AZ44" s="455">
        <f t="shared" si="49"/>
        <v>587.93333333333328</v>
      </c>
      <c r="BA44" s="451">
        <f t="shared" si="50"/>
        <v>586.13333333333333</v>
      </c>
    </row>
    <row r="45" spans="1:53">
      <c r="A45" s="632" t="s">
        <v>226</v>
      </c>
      <c r="B45" s="633" t="s">
        <v>513</v>
      </c>
      <c r="C45" s="627"/>
      <c r="D45" s="532">
        <v>101994</v>
      </c>
      <c r="E45" s="532">
        <v>13</v>
      </c>
      <c r="F45" s="491" t="s">
        <v>41</v>
      </c>
      <c r="G45" s="492"/>
      <c r="H45" s="456"/>
      <c r="I45" s="493"/>
      <c r="J45" s="456">
        <v>4779</v>
      </c>
      <c r="K45" s="493">
        <v>4265</v>
      </c>
      <c r="L45" s="456">
        <v>2665</v>
      </c>
      <c r="M45" s="493">
        <v>3166</v>
      </c>
      <c r="N45" s="456">
        <v>5556</v>
      </c>
      <c r="O45" s="493">
        <v>5351</v>
      </c>
      <c r="P45" s="449">
        <f t="shared" si="33"/>
        <v>13000</v>
      </c>
      <c r="Q45" s="450">
        <f t="shared" si="34"/>
        <v>433.33333333333331</v>
      </c>
      <c r="R45" s="451">
        <f t="shared" si="35"/>
        <v>12782</v>
      </c>
      <c r="S45" s="452">
        <f t="shared" si="36"/>
        <v>426.06666666666666</v>
      </c>
      <c r="T45" s="456">
        <v>1532</v>
      </c>
      <c r="U45" s="493">
        <v>1466</v>
      </c>
      <c r="V45" s="449">
        <f t="shared" si="37"/>
        <v>13000</v>
      </c>
      <c r="W45" s="448">
        <f t="shared" si="38"/>
        <v>12782</v>
      </c>
      <c r="X45" s="456"/>
      <c r="Y45" s="493"/>
      <c r="Z45" s="456"/>
      <c r="AA45" s="493"/>
      <c r="AB45" s="456"/>
      <c r="AC45" s="493"/>
      <c r="AD45" s="456"/>
      <c r="AE45" s="493"/>
      <c r="AF45" s="449">
        <f t="shared" si="39"/>
        <v>0</v>
      </c>
      <c r="AG45" s="450">
        <f t="shared" si="40"/>
        <v>0</v>
      </c>
      <c r="AH45" s="451">
        <f t="shared" si="41"/>
        <v>0</v>
      </c>
      <c r="AI45" s="451">
        <f t="shared" si="42"/>
        <v>0</v>
      </c>
      <c r="AJ45" s="456"/>
      <c r="AK45" s="493"/>
      <c r="AL45" s="449">
        <f t="shared" si="43"/>
        <v>0</v>
      </c>
      <c r="AM45" s="452">
        <f t="shared" si="44"/>
        <v>0</v>
      </c>
      <c r="AN45" s="456"/>
      <c r="AO45" s="493"/>
      <c r="AP45" s="456"/>
      <c r="AQ45" s="493"/>
      <c r="AR45" s="456"/>
      <c r="AS45" s="493"/>
      <c r="AT45" s="456"/>
      <c r="AU45" s="493"/>
      <c r="AV45" s="449">
        <f t="shared" si="45"/>
        <v>0</v>
      </c>
      <c r="AW45" s="453">
        <f t="shared" si="46"/>
        <v>0</v>
      </c>
      <c r="AX45" s="451">
        <f t="shared" si="47"/>
        <v>0</v>
      </c>
      <c r="AY45" s="454">
        <f t="shared" si="48"/>
        <v>0</v>
      </c>
      <c r="AZ45" s="455">
        <f t="shared" si="49"/>
        <v>433.33333333333331</v>
      </c>
      <c r="BA45" s="451">
        <f t="shared" si="50"/>
        <v>426.06666666666666</v>
      </c>
    </row>
    <row r="46" spans="1:53">
      <c r="A46" s="768" t="s">
        <v>238</v>
      </c>
      <c r="B46" s="769" t="s">
        <v>854</v>
      </c>
      <c r="C46" s="770"/>
      <c r="D46" s="586">
        <v>106397</v>
      </c>
      <c r="E46" s="586">
        <v>1</v>
      </c>
      <c r="F46" s="491" t="s">
        <v>41</v>
      </c>
      <c r="G46" s="160" t="s">
        <v>41</v>
      </c>
      <c r="H46" s="456"/>
      <c r="I46" s="493"/>
      <c r="J46" s="456">
        <v>271117</v>
      </c>
      <c r="K46" s="493">
        <v>278945</v>
      </c>
      <c r="L46" s="456">
        <v>43884</v>
      </c>
      <c r="M46" s="493">
        <v>42509</v>
      </c>
      <c r="N46" s="456">
        <v>306376</v>
      </c>
      <c r="O46" s="493">
        <v>307647</v>
      </c>
      <c r="P46" s="449">
        <f t="shared" si="33"/>
        <v>621377</v>
      </c>
      <c r="Q46" s="450">
        <f t="shared" si="34"/>
        <v>20712.566666666666</v>
      </c>
      <c r="R46" s="451">
        <f t="shared" si="35"/>
        <v>629101</v>
      </c>
      <c r="S46" s="452">
        <f t="shared" si="36"/>
        <v>20970.033333333333</v>
      </c>
      <c r="T46" s="456">
        <v>4407</v>
      </c>
      <c r="U46" s="493">
        <v>4956</v>
      </c>
      <c r="V46" s="449">
        <f t="shared" si="37"/>
        <v>621377</v>
      </c>
      <c r="W46" s="448">
        <f t="shared" si="38"/>
        <v>629101</v>
      </c>
      <c r="X46" s="456"/>
      <c r="Y46" s="493"/>
      <c r="Z46" s="456"/>
      <c r="AA46" s="493"/>
      <c r="AB46" s="456"/>
      <c r="AC46" s="493"/>
      <c r="AD46" s="456"/>
      <c r="AE46" s="493"/>
      <c r="AF46" s="449">
        <f t="shared" si="39"/>
        <v>0</v>
      </c>
      <c r="AG46" s="450">
        <f t="shared" si="40"/>
        <v>0</v>
      </c>
      <c r="AH46" s="451">
        <f t="shared" si="41"/>
        <v>0</v>
      </c>
      <c r="AI46" s="451">
        <f t="shared" si="42"/>
        <v>0</v>
      </c>
      <c r="AJ46" s="456"/>
      <c r="AK46" s="493"/>
      <c r="AL46" s="449">
        <f t="shared" si="43"/>
        <v>0</v>
      </c>
      <c r="AM46" s="452">
        <f t="shared" si="44"/>
        <v>0</v>
      </c>
      <c r="AN46" s="456"/>
      <c r="AO46" s="493"/>
      <c r="AP46" s="456">
        <v>33181</v>
      </c>
      <c r="AQ46" s="493">
        <v>33245</v>
      </c>
      <c r="AR46" s="456">
        <v>11487</v>
      </c>
      <c r="AS46" s="493">
        <v>11879</v>
      </c>
      <c r="AT46" s="456">
        <v>34866</v>
      </c>
      <c r="AU46" s="493">
        <v>35111</v>
      </c>
      <c r="AV46" s="449">
        <f t="shared" si="45"/>
        <v>79534</v>
      </c>
      <c r="AW46" s="453">
        <f t="shared" si="46"/>
        <v>3313.9166666666665</v>
      </c>
      <c r="AX46" s="451">
        <f t="shared" si="47"/>
        <v>80235</v>
      </c>
      <c r="AY46" s="454">
        <f t="shared" si="48"/>
        <v>3343.125</v>
      </c>
      <c r="AZ46" s="455">
        <f t="shared" si="49"/>
        <v>24026.483333333334</v>
      </c>
      <c r="BA46" s="451">
        <f t="shared" si="50"/>
        <v>24313.158333333333</v>
      </c>
    </row>
    <row r="47" spans="1:53">
      <c r="A47" s="768" t="s">
        <v>238</v>
      </c>
      <c r="B47" s="769" t="s">
        <v>855</v>
      </c>
      <c r="C47" s="771"/>
      <c r="D47" s="586">
        <v>106245</v>
      </c>
      <c r="E47" s="641">
        <v>2</v>
      </c>
      <c r="F47" s="491" t="s">
        <v>41</v>
      </c>
      <c r="G47" s="160" t="s">
        <v>41</v>
      </c>
      <c r="H47" s="456"/>
      <c r="I47" s="493"/>
      <c r="J47" s="456">
        <v>94880</v>
      </c>
      <c r="K47" s="493">
        <v>91192</v>
      </c>
      <c r="L47" s="456">
        <v>20938</v>
      </c>
      <c r="M47" s="493">
        <v>20591</v>
      </c>
      <c r="N47" s="456">
        <v>100097</v>
      </c>
      <c r="O47" s="493">
        <v>100883</v>
      </c>
      <c r="P47" s="449">
        <f t="shared" si="33"/>
        <v>215915</v>
      </c>
      <c r="Q47" s="450">
        <f t="shared" si="34"/>
        <v>7197.166666666667</v>
      </c>
      <c r="R47" s="451">
        <f t="shared" si="35"/>
        <v>212666</v>
      </c>
      <c r="S47" s="452">
        <f t="shared" si="36"/>
        <v>7088.8666666666668</v>
      </c>
      <c r="T47" s="456">
        <v>16521</v>
      </c>
      <c r="U47" s="493">
        <v>18674</v>
      </c>
      <c r="V47" s="449">
        <f t="shared" si="37"/>
        <v>215915</v>
      </c>
      <c r="W47" s="448">
        <f t="shared" si="38"/>
        <v>212666</v>
      </c>
      <c r="X47" s="456"/>
      <c r="Y47" s="493"/>
      <c r="Z47" s="456"/>
      <c r="AA47" s="493"/>
      <c r="AB47" s="456"/>
      <c r="AC47" s="493"/>
      <c r="AD47" s="456"/>
      <c r="AE47" s="493"/>
      <c r="AF47" s="449">
        <f t="shared" si="39"/>
        <v>0</v>
      </c>
      <c r="AG47" s="450">
        <f t="shared" si="40"/>
        <v>0</v>
      </c>
      <c r="AH47" s="451">
        <f t="shared" si="41"/>
        <v>0</v>
      </c>
      <c r="AI47" s="451">
        <f t="shared" si="42"/>
        <v>0</v>
      </c>
      <c r="AJ47" s="456"/>
      <c r="AK47" s="493"/>
      <c r="AL47" s="449">
        <f t="shared" si="43"/>
        <v>0</v>
      </c>
      <c r="AM47" s="452">
        <f t="shared" si="44"/>
        <v>0</v>
      </c>
      <c r="AN47" s="456"/>
      <c r="AO47" s="493"/>
      <c r="AP47" s="456">
        <v>18502</v>
      </c>
      <c r="AQ47" s="493">
        <v>18619</v>
      </c>
      <c r="AR47" s="456">
        <v>5225</v>
      </c>
      <c r="AS47" s="493">
        <v>5192</v>
      </c>
      <c r="AT47" s="456">
        <v>19010</v>
      </c>
      <c r="AU47" s="493">
        <v>19379</v>
      </c>
      <c r="AV47" s="449">
        <f t="shared" si="45"/>
        <v>42737</v>
      </c>
      <c r="AW47" s="453">
        <f t="shared" si="46"/>
        <v>1780.7083333333333</v>
      </c>
      <c r="AX47" s="451">
        <f t="shared" si="47"/>
        <v>43190</v>
      </c>
      <c r="AY47" s="454">
        <f t="shared" si="48"/>
        <v>1799.5833333333333</v>
      </c>
      <c r="AZ47" s="455">
        <f t="shared" si="49"/>
        <v>8977.875</v>
      </c>
      <c r="BA47" s="451">
        <f t="shared" si="50"/>
        <v>8888.4500000000007</v>
      </c>
    </row>
    <row r="48" spans="1:53">
      <c r="A48" s="768" t="s">
        <v>238</v>
      </c>
      <c r="B48" s="769" t="s">
        <v>856</v>
      </c>
      <c r="C48" s="770"/>
      <c r="D48" s="586">
        <v>106458</v>
      </c>
      <c r="E48" s="586">
        <v>3</v>
      </c>
      <c r="F48" s="491" t="s">
        <v>41</v>
      </c>
      <c r="G48" s="160" t="s">
        <v>41</v>
      </c>
      <c r="H48" s="456"/>
      <c r="I48" s="493"/>
      <c r="J48" s="456">
        <v>120797</v>
      </c>
      <c r="K48" s="493">
        <v>118647</v>
      </c>
      <c r="L48" s="456">
        <v>22462</v>
      </c>
      <c r="M48" s="493">
        <v>20368</v>
      </c>
      <c r="N48" s="456">
        <v>128496</v>
      </c>
      <c r="O48" s="493">
        <v>126257</v>
      </c>
      <c r="P48" s="449">
        <f t="shared" si="33"/>
        <v>271755</v>
      </c>
      <c r="Q48" s="450">
        <f t="shared" si="34"/>
        <v>9058.5</v>
      </c>
      <c r="R48" s="451">
        <f t="shared" si="35"/>
        <v>265272</v>
      </c>
      <c r="S48" s="452">
        <f t="shared" si="36"/>
        <v>8842.4</v>
      </c>
      <c r="T48" s="456">
        <v>4174</v>
      </c>
      <c r="U48" s="493">
        <v>3769</v>
      </c>
      <c r="V48" s="449">
        <f t="shared" si="37"/>
        <v>271755</v>
      </c>
      <c r="W48" s="448">
        <f t="shared" si="38"/>
        <v>265272</v>
      </c>
      <c r="X48" s="456"/>
      <c r="Y48" s="493"/>
      <c r="Z48" s="456"/>
      <c r="AA48" s="493"/>
      <c r="AB48" s="456"/>
      <c r="AC48" s="493"/>
      <c r="AD48" s="456"/>
      <c r="AE48" s="493"/>
      <c r="AF48" s="449">
        <f t="shared" si="39"/>
        <v>0</v>
      </c>
      <c r="AG48" s="450">
        <f t="shared" si="40"/>
        <v>0</v>
      </c>
      <c r="AH48" s="451">
        <f t="shared" si="41"/>
        <v>0</v>
      </c>
      <c r="AI48" s="451">
        <f t="shared" si="42"/>
        <v>0</v>
      </c>
      <c r="AJ48" s="456"/>
      <c r="AK48" s="493"/>
      <c r="AL48" s="449">
        <f t="shared" si="43"/>
        <v>0</v>
      </c>
      <c r="AM48" s="452">
        <f t="shared" si="44"/>
        <v>0</v>
      </c>
      <c r="AN48" s="456"/>
      <c r="AO48" s="493"/>
      <c r="AP48" s="456">
        <v>26572</v>
      </c>
      <c r="AQ48" s="493">
        <v>26764</v>
      </c>
      <c r="AR48" s="456">
        <v>20318</v>
      </c>
      <c r="AS48" s="493">
        <v>23767</v>
      </c>
      <c r="AT48" s="456">
        <v>25567</v>
      </c>
      <c r="AU48" s="493">
        <v>29652</v>
      </c>
      <c r="AV48" s="449">
        <f t="shared" si="45"/>
        <v>72457</v>
      </c>
      <c r="AW48" s="453">
        <f t="shared" si="46"/>
        <v>3019.0416666666665</v>
      </c>
      <c r="AX48" s="451">
        <f t="shared" si="47"/>
        <v>80183</v>
      </c>
      <c r="AY48" s="454">
        <f t="shared" si="48"/>
        <v>3340.9583333333335</v>
      </c>
      <c r="AZ48" s="455">
        <f t="shared" si="49"/>
        <v>12077.541666666666</v>
      </c>
      <c r="BA48" s="451">
        <f t="shared" si="50"/>
        <v>12183.358333333334</v>
      </c>
    </row>
    <row r="49" spans="1:53">
      <c r="A49" s="768" t="s">
        <v>238</v>
      </c>
      <c r="B49" s="769" t="s">
        <v>857</v>
      </c>
      <c r="C49" s="771"/>
      <c r="D49" s="586">
        <v>106467</v>
      </c>
      <c r="E49" s="586">
        <v>3</v>
      </c>
      <c r="F49" s="491" t="s">
        <v>41</v>
      </c>
      <c r="G49" s="160" t="s">
        <v>41</v>
      </c>
      <c r="H49" s="456"/>
      <c r="I49" s="493"/>
      <c r="J49" s="456">
        <v>99842</v>
      </c>
      <c r="K49" s="493">
        <v>103407</v>
      </c>
      <c r="L49" s="456">
        <v>14549</v>
      </c>
      <c r="M49" s="493">
        <v>12561</v>
      </c>
      <c r="N49" s="456">
        <v>115219</v>
      </c>
      <c r="O49" s="493">
        <v>114789</v>
      </c>
      <c r="P49" s="449">
        <f t="shared" si="33"/>
        <v>229610</v>
      </c>
      <c r="Q49" s="450">
        <f t="shared" si="34"/>
        <v>7653.666666666667</v>
      </c>
      <c r="R49" s="451">
        <f t="shared" si="35"/>
        <v>230757</v>
      </c>
      <c r="S49" s="452">
        <f t="shared" si="36"/>
        <v>7691.9</v>
      </c>
      <c r="T49" s="456">
        <v>9933</v>
      </c>
      <c r="U49" s="493">
        <v>11586</v>
      </c>
      <c r="V49" s="449">
        <f t="shared" si="37"/>
        <v>229610</v>
      </c>
      <c r="W49" s="448">
        <f t="shared" si="38"/>
        <v>230757</v>
      </c>
      <c r="X49" s="456"/>
      <c r="Y49" s="493"/>
      <c r="Z49" s="456"/>
      <c r="AA49" s="493"/>
      <c r="AB49" s="456"/>
      <c r="AC49" s="493"/>
      <c r="AD49" s="456"/>
      <c r="AE49" s="493"/>
      <c r="AF49" s="449">
        <f t="shared" si="39"/>
        <v>0</v>
      </c>
      <c r="AG49" s="450">
        <f t="shared" si="40"/>
        <v>0</v>
      </c>
      <c r="AH49" s="451">
        <f t="shared" si="41"/>
        <v>0</v>
      </c>
      <c r="AI49" s="451">
        <f t="shared" si="42"/>
        <v>0</v>
      </c>
      <c r="AJ49" s="456"/>
      <c r="AK49" s="493"/>
      <c r="AL49" s="449">
        <f t="shared" si="43"/>
        <v>0</v>
      </c>
      <c r="AM49" s="452">
        <f t="shared" si="44"/>
        <v>0</v>
      </c>
      <c r="AN49" s="456"/>
      <c r="AO49" s="493"/>
      <c r="AP49" s="456">
        <v>5120</v>
      </c>
      <c r="AQ49" s="493">
        <v>5162</v>
      </c>
      <c r="AR49" s="456">
        <v>4719</v>
      </c>
      <c r="AS49" s="493">
        <v>5718</v>
      </c>
      <c r="AT49" s="456">
        <v>5483</v>
      </c>
      <c r="AU49" s="493">
        <v>5193</v>
      </c>
      <c r="AV49" s="449">
        <f t="shared" si="45"/>
        <v>15322</v>
      </c>
      <c r="AW49" s="453">
        <f t="shared" si="46"/>
        <v>638.41666666666663</v>
      </c>
      <c r="AX49" s="451">
        <f t="shared" si="47"/>
        <v>16073</v>
      </c>
      <c r="AY49" s="454">
        <f t="shared" si="48"/>
        <v>669.70833333333337</v>
      </c>
      <c r="AZ49" s="455">
        <f t="shared" si="49"/>
        <v>8292.0833333333339</v>
      </c>
      <c r="BA49" s="451">
        <f t="shared" si="50"/>
        <v>8361.6083333333336</v>
      </c>
    </row>
    <row r="50" spans="1:53">
      <c r="A50" s="768" t="s">
        <v>238</v>
      </c>
      <c r="B50" s="769" t="s">
        <v>858</v>
      </c>
      <c r="C50" s="770"/>
      <c r="D50" s="586">
        <v>106704</v>
      </c>
      <c r="E50" s="586">
        <v>3</v>
      </c>
      <c r="F50" s="491" t="s">
        <v>41</v>
      </c>
      <c r="G50" s="160" t="s">
        <v>41</v>
      </c>
      <c r="H50" s="456"/>
      <c r="I50" s="493"/>
      <c r="J50" s="456">
        <v>118621</v>
      </c>
      <c r="K50" s="493">
        <v>120885</v>
      </c>
      <c r="L50" s="456">
        <v>17043</v>
      </c>
      <c r="M50" s="493">
        <v>17934</v>
      </c>
      <c r="N50" s="456">
        <v>132406</v>
      </c>
      <c r="O50" s="493">
        <v>134060</v>
      </c>
      <c r="P50" s="449">
        <f t="shared" si="33"/>
        <v>268070</v>
      </c>
      <c r="Q50" s="450">
        <f t="shared" si="34"/>
        <v>8935.6666666666661</v>
      </c>
      <c r="R50" s="451">
        <f t="shared" si="35"/>
        <v>272879</v>
      </c>
      <c r="S50" s="452">
        <f t="shared" si="36"/>
        <v>9095.9666666666672</v>
      </c>
      <c r="T50" s="456">
        <v>2339</v>
      </c>
      <c r="U50" s="493">
        <v>2592</v>
      </c>
      <c r="V50" s="449">
        <f t="shared" si="37"/>
        <v>268070</v>
      </c>
      <c r="W50" s="448">
        <f t="shared" si="38"/>
        <v>272879</v>
      </c>
      <c r="X50" s="456"/>
      <c r="Y50" s="493"/>
      <c r="Z50" s="456"/>
      <c r="AA50" s="493"/>
      <c r="AB50" s="456"/>
      <c r="AC50" s="493"/>
      <c r="AD50" s="456"/>
      <c r="AE50" s="493"/>
      <c r="AF50" s="449">
        <f t="shared" si="39"/>
        <v>0</v>
      </c>
      <c r="AG50" s="450">
        <f t="shared" si="40"/>
        <v>0</v>
      </c>
      <c r="AH50" s="451">
        <f t="shared" si="41"/>
        <v>0</v>
      </c>
      <c r="AI50" s="451">
        <f t="shared" si="42"/>
        <v>0</v>
      </c>
      <c r="AJ50" s="456"/>
      <c r="AK50" s="493"/>
      <c r="AL50" s="449">
        <f t="shared" si="43"/>
        <v>0</v>
      </c>
      <c r="AM50" s="452">
        <f t="shared" si="44"/>
        <v>0</v>
      </c>
      <c r="AN50" s="456"/>
      <c r="AO50" s="493"/>
      <c r="AP50" s="456">
        <v>13909</v>
      </c>
      <c r="AQ50" s="493">
        <v>13680</v>
      </c>
      <c r="AR50" s="456">
        <v>9386</v>
      </c>
      <c r="AS50" s="493">
        <v>9572</v>
      </c>
      <c r="AT50" s="456">
        <v>14329</v>
      </c>
      <c r="AU50" s="493">
        <v>14366</v>
      </c>
      <c r="AV50" s="449">
        <f t="shared" si="45"/>
        <v>37624</v>
      </c>
      <c r="AW50" s="453">
        <f t="shared" si="46"/>
        <v>1567.6666666666667</v>
      </c>
      <c r="AX50" s="451">
        <f t="shared" si="47"/>
        <v>37618</v>
      </c>
      <c r="AY50" s="454">
        <f t="shared" si="48"/>
        <v>1567.4166666666667</v>
      </c>
      <c r="AZ50" s="455">
        <f t="shared" si="49"/>
        <v>10503.333333333332</v>
      </c>
      <c r="BA50" s="451">
        <f t="shared" si="50"/>
        <v>10663.383333333333</v>
      </c>
    </row>
    <row r="51" spans="1:53">
      <c r="A51" s="768" t="s">
        <v>238</v>
      </c>
      <c r="B51" s="769" t="s">
        <v>859</v>
      </c>
      <c r="C51" s="770"/>
      <c r="D51" s="586">
        <v>107071</v>
      </c>
      <c r="E51" s="586">
        <v>4</v>
      </c>
      <c r="F51" s="491" t="s">
        <v>41</v>
      </c>
      <c r="G51" s="160" t="s">
        <v>41</v>
      </c>
      <c r="H51" s="456"/>
      <c r="I51" s="493"/>
      <c r="J51" s="456">
        <v>41227</v>
      </c>
      <c r="K51" s="493">
        <v>40270</v>
      </c>
      <c r="L51" s="456">
        <v>5354</v>
      </c>
      <c r="M51" s="493">
        <v>5167</v>
      </c>
      <c r="N51" s="456">
        <v>45570</v>
      </c>
      <c r="O51" s="493">
        <v>43649</v>
      </c>
      <c r="P51" s="449">
        <f t="shared" si="33"/>
        <v>92151</v>
      </c>
      <c r="Q51" s="450">
        <f t="shared" si="34"/>
        <v>3071.7</v>
      </c>
      <c r="R51" s="451">
        <f t="shared" si="35"/>
        <v>89086</v>
      </c>
      <c r="S51" s="452">
        <f t="shared" si="36"/>
        <v>2969.5333333333333</v>
      </c>
      <c r="T51" s="456">
        <v>86</v>
      </c>
      <c r="U51" s="493">
        <v>40</v>
      </c>
      <c r="V51" s="449">
        <f t="shared" si="37"/>
        <v>92151</v>
      </c>
      <c r="W51" s="448">
        <f t="shared" si="38"/>
        <v>89086</v>
      </c>
      <c r="X51" s="456"/>
      <c r="Y51" s="493"/>
      <c r="Z51" s="456"/>
      <c r="AA51" s="493"/>
      <c r="AB51" s="456"/>
      <c r="AC51" s="493"/>
      <c r="AD51" s="456"/>
      <c r="AE51" s="493"/>
      <c r="AF51" s="449">
        <f t="shared" si="39"/>
        <v>0</v>
      </c>
      <c r="AG51" s="450">
        <f t="shared" si="40"/>
        <v>0</v>
      </c>
      <c r="AH51" s="451">
        <f t="shared" si="41"/>
        <v>0</v>
      </c>
      <c r="AI51" s="451">
        <f t="shared" si="42"/>
        <v>0</v>
      </c>
      <c r="AJ51" s="456"/>
      <c r="AK51" s="493"/>
      <c r="AL51" s="449">
        <f t="shared" si="43"/>
        <v>0</v>
      </c>
      <c r="AM51" s="452">
        <f t="shared" si="44"/>
        <v>0</v>
      </c>
      <c r="AN51" s="456"/>
      <c r="AO51" s="493"/>
      <c r="AP51" s="456">
        <v>2328</v>
      </c>
      <c r="AQ51" s="493">
        <v>2290</v>
      </c>
      <c r="AR51" s="456">
        <v>3549</v>
      </c>
      <c r="AS51" s="493">
        <v>1563</v>
      </c>
      <c r="AT51" s="456">
        <v>2311</v>
      </c>
      <c r="AU51" s="493">
        <v>2460</v>
      </c>
      <c r="AV51" s="449">
        <f t="shared" si="45"/>
        <v>8188</v>
      </c>
      <c r="AW51" s="453">
        <f t="shared" si="46"/>
        <v>341.16666666666669</v>
      </c>
      <c r="AX51" s="451">
        <f t="shared" si="47"/>
        <v>6313</v>
      </c>
      <c r="AY51" s="454">
        <f t="shared" si="48"/>
        <v>263.04166666666669</v>
      </c>
      <c r="AZ51" s="455">
        <f t="shared" si="49"/>
        <v>3412.8666666666663</v>
      </c>
      <c r="BA51" s="451">
        <f t="shared" si="50"/>
        <v>3232.5749999999998</v>
      </c>
    </row>
    <row r="52" spans="1:53">
      <c r="A52" s="768" t="s">
        <v>238</v>
      </c>
      <c r="B52" s="769" t="s">
        <v>860</v>
      </c>
      <c r="C52" s="771"/>
      <c r="D52" s="586">
        <v>107983</v>
      </c>
      <c r="E52" s="586">
        <v>4</v>
      </c>
      <c r="F52" s="491" t="s">
        <v>41</v>
      </c>
      <c r="G52" s="160" t="s">
        <v>41</v>
      </c>
      <c r="H52" s="456"/>
      <c r="I52" s="493"/>
      <c r="J52" s="456">
        <v>36768</v>
      </c>
      <c r="K52" s="493">
        <v>37408</v>
      </c>
      <c r="L52" s="456">
        <v>4933</v>
      </c>
      <c r="M52" s="493">
        <v>4817</v>
      </c>
      <c r="N52" s="456">
        <v>42631</v>
      </c>
      <c r="O52" s="493">
        <v>44073</v>
      </c>
      <c r="P52" s="449">
        <f t="shared" si="33"/>
        <v>84332</v>
      </c>
      <c r="Q52" s="450">
        <f t="shared" si="34"/>
        <v>2811.0666666666666</v>
      </c>
      <c r="R52" s="451">
        <f t="shared" si="35"/>
        <v>86298</v>
      </c>
      <c r="S52" s="452">
        <f t="shared" si="36"/>
        <v>2876.6</v>
      </c>
      <c r="T52" s="456">
        <v>1787</v>
      </c>
      <c r="U52" s="493">
        <v>1276</v>
      </c>
      <c r="V52" s="449">
        <f t="shared" si="37"/>
        <v>84332</v>
      </c>
      <c r="W52" s="448">
        <f t="shared" si="38"/>
        <v>86298</v>
      </c>
      <c r="X52" s="456"/>
      <c r="Y52" s="493"/>
      <c r="Z52" s="456"/>
      <c r="AA52" s="493"/>
      <c r="AB52" s="456"/>
      <c r="AC52" s="493"/>
      <c r="AD52" s="456"/>
      <c r="AE52" s="493"/>
      <c r="AF52" s="449">
        <f t="shared" si="39"/>
        <v>0</v>
      </c>
      <c r="AG52" s="450">
        <f t="shared" si="40"/>
        <v>0</v>
      </c>
      <c r="AH52" s="451">
        <f t="shared" si="41"/>
        <v>0</v>
      </c>
      <c r="AI52" s="451">
        <f t="shared" si="42"/>
        <v>0</v>
      </c>
      <c r="AJ52" s="456"/>
      <c r="AK52" s="493"/>
      <c r="AL52" s="449">
        <f t="shared" si="43"/>
        <v>0</v>
      </c>
      <c r="AM52" s="452">
        <f t="shared" si="44"/>
        <v>0</v>
      </c>
      <c r="AN52" s="456"/>
      <c r="AO52" s="493"/>
      <c r="AP52" s="456">
        <v>2610</v>
      </c>
      <c r="AQ52" s="493">
        <v>3831</v>
      </c>
      <c r="AR52" s="456">
        <v>2216</v>
      </c>
      <c r="AS52" s="493">
        <v>3639</v>
      </c>
      <c r="AT52" s="456">
        <v>2967</v>
      </c>
      <c r="AU52" s="493">
        <v>6519</v>
      </c>
      <c r="AV52" s="449">
        <f t="shared" si="45"/>
        <v>7793</v>
      </c>
      <c r="AW52" s="453">
        <f t="shared" si="46"/>
        <v>324.70833333333331</v>
      </c>
      <c r="AX52" s="451">
        <f t="shared" si="47"/>
        <v>13989</v>
      </c>
      <c r="AY52" s="454">
        <f t="shared" si="48"/>
        <v>582.875</v>
      </c>
      <c r="AZ52" s="455">
        <f t="shared" si="49"/>
        <v>3135.7750000000001</v>
      </c>
      <c r="BA52" s="451">
        <f t="shared" si="50"/>
        <v>3459.4749999999999</v>
      </c>
    </row>
    <row r="53" spans="1:53">
      <c r="A53" s="768" t="s">
        <v>238</v>
      </c>
      <c r="B53" s="769" t="s">
        <v>861</v>
      </c>
      <c r="C53" s="770"/>
      <c r="D53" s="586">
        <v>106485</v>
      </c>
      <c r="E53" s="586">
        <v>5</v>
      </c>
      <c r="F53" s="491" t="s">
        <v>41</v>
      </c>
      <c r="G53" s="160" t="s">
        <v>41</v>
      </c>
      <c r="H53" s="456"/>
      <c r="I53" s="493"/>
      <c r="J53" s="456">
        <v>29880</v>
      </c>
      <c r="K53" s="493">
        <v>31377</v>
      </c>
      <c r="L53" s="456">
        <v>3850</v>
      </c>
      <c r="M53" s="493">
        <v>3838</v>
      </c>
      <c r="N53" s="456">
        <v>35726</v>
      </c>
      <c r="O53" s="493">
        <v>32940</v>
      </c>
      <c r="P53" s="449">
        <f t="shared" si="33"/>
        <v>69456</v>
      </c>
      <c r="Q53" s="450">
        <f t="shared" si="34"/>
        <v>2315.1999999999998</v>
      </c>
      <c r="R53" s="451">
        <f t="shared" si="35"/>
        <v>68155</v>
      </c>
      <c r="S53" s="452">
        <f t="shared" si="36"/>
        <v>2271.8333333333335</v>
      </c>
      <c r="T53" s="456">
        <v>5592</v>
      </c>
      <c r="U53" s="493">
        <v>6126</v>
      </c>
      <c r="V53" s="449">
        <f t="shared" si="37"/>
        <v>69456</v>
      </c>
      <c r="W53" s="448">
        <f t="shared" si="38"/>
        <v>68155</v>
      </c>
      <c r="X53" s="456"/>
      <c r="Y53" s="493"/>
      <c r="Z53" s="456"/>
      <c r="AA53" s="493"/>
      <c r="AB53" s="456"/>
      <c r="AC53" s="493"/>
      <c r="AD53" s="456"/>
      <c r="AE53" s="493"/>
      <c r="AF53" s="449">
        <f t="shared" si="39"/>
        <v>0</v>
      </c>
      <c r="AG53" s="450">
        <f t="shared" si="40"/>
        <v>0</v>
      </c>
      <c r="AH53" s="451">
        <f t="shared" si="41"/>
        <v>0</v>
      </c>
      <c r="AI53" s="451">
        <f t="shared" si="42"/>
        <v>0</v>
      </c>
      <c r="AJ53" s="456"/>
      <c r="AK53" s="493"/>
      <c r="AL53" s="449">
        <f t="shared" si="43"/>
        <v>0</v>
      </c>
      <c r="AM53" s="452">
        <f t="shared" si="44"/>
        <v>0</v>
      </c>
      <c r="AN53" s="456"/>
      <c r="AO53" s="493"/>
      <c r="AP53" s="456">
        <v>1044</v>
      </c>
      <c r="AQ53" s="493">
        <v>1076</v>
      </c>
      <c r="AR53" s="456">
        <v>1201</v>
      </c>
      <c r="AS53" s="493">
        <v>1276</v>
      </c>
      <c r="AT53" s="456">
        <v>1162</v>
      </c>
      <c r="AU53" s="493">
        <v>1158</v>
      </c>
      <c r="AV53" s="449">
        <f t="shared" si="45"/>
        <v>3407</v>
      </c>
      <c r="AW53" s="453">
        <f t="shared" si="46"/>
        <v>141.95833333333334</v>
      </c>
      <c r="AX53" s="451">
        <f t="shared" si="47"/>
        <v>3510</v>
      </c>
      <c r="AY53" s="454">
        <f t="shared" si="48"/>
        <v>146.25</v>
      </c>
      <c r="AZ53" s="455">
        <f t="shared" si="49"/>
        <v>2457.1583333333333</v>
      </c>
      <c r="BA53" s="451">
        <f t="shared" si="50"/>
        <v>2418.0833333333335</v>
      </c>
    </row>
    <row r="54" spans="1:53">
      <c r="A54" s="768" t="s">
        <v>238</v>
      </c>
      <c r="B54" s="769" t="s">
        <v>862</v>
      </c>
      <c r="C54" s="770"/>
      <c r="D54" s="586">
        <v>108092</v>
      </c>
      <c r="E54" s="586">
        <v>6</v>
      </c>
      <c r="F54" s="491" t="s">
        <v>41</v>
      </c>
      <c r="G54" s="160" t="s">
        <v>41</v>
      </c>
      <c r="H54" s="456"/>
      <c r="I54" s="493"/>
      <c r="J54" s="456">
        <v>78074</v>
      </c>
      <c r="K54" s="493">
        <v>76417</v>
      </c>
      <c r="L54" s="456">
        <v>10205</v>
      </c>
      <c r="M54" s="493">
        <v>8422</v>
      </c>
      <c r="N54" s="456">
        <v>83236</v>
      </c>
      <c r="O54" s="493">
        <v>81335</v>
      </c>
      <c r="P54" s="449">
        <f t="shared" si="33"/>
        <v>171515</v>
      </c>
      <c r="Q54" s="450">
        <f t="shared" si="34"/>
        <v>5717.166666666667</v>
      </c>
      <c r="R54" s="451">
        <f t="shared" si="35"/>
        <v>166174</v>
      </c>
      <c r="S54" s="452">
        <f t="shared" si="36"/>
        <v>5539.1333333333332</v>
      </c>
      <c r="T54" s="456">
        <v>9851</v>
      </c>
      <c r="U54" s="493">
        <v>11956</v>
      </c>
      <c r="V54" s="449">
        <f t="shared" si="37"/>
        <v>171515</v>
      </c>
      <c r="W54" s="448">
        <f t="shared" si="38"/>
        <v>166174</v>
      </c>
      <c r="X54" s="456"/>
      <c r="Y54" s="493"/>
      <c r="Z54" s="456"/>
      <c r="AA54" s="493"/>
      <c r="AB54" s="456"/>
      <c r="AC54" s="493"/>
      <c r="AD54" s="456"/>
      <c r="AE54" s="493"/>
      <c r="AF54" s="449">
        <f t="shared" si="39"/>
        <v>0</v>
      </c>
      <c r="AG54" s="450">
        <f t="shared" si="40"/>
        <v>0</v>
      </c>
      <c r="AH54" s="451">
        <f t="shared" si="41"/>
        <v>0</v>
      </c>
      <c r="AI54" s="451">
        <f t="shared" si="42"/>
        <v>0</v>
      </c>
      <c r="AJ54" s="456"/>
      <c r="AK54" s="493"/>
      <c r="AL54" s="449">
        <f t="shared" si="43"/>
        <v>0</v>
      </c>
      <c r="AM54" s="452">
        <f t="shared" si="44"/>
        <v>0</v>
      </c>
      <c r="AN54" s="456"/>
      <c r="AO54" s="493"/>
      <c r="AP54" s="456">
        <v>0</v>
      </c>
      <c r="AQ54" s="493">
        <v>0</v>
      </c>
      <c r="AR54" s="456">
        <v>0</v>
      </c>
      <c r="AS54" s="493">
        <v>0</v>
      </c>
      <c r="AT54" s="456">
        <v>0</v>
      </c>
      <c r="AU54" s="493">
        <v>36</v>
      </c>
      <c r="AV54" s="449">
        <f t="shared" si="45"/>
        <v>0</v>
      </c>
      <c r="AW54" s="453">
        <f t="shared" si="46"/>
        <v>0</v>
      </c>
      <c r="AX54" s="451">
        <f t="shared" si="47"/>
        <v>36</v>
      </c>
      <c r="AY54" s="454">
        <f t="shared" si="48"/>
        <v>1.5</v>
      </c>
      <c r="AZ54" s="455">
        <f t="shared" si="49"/>
        <v>5717.166666666667</v>
      </c>
      <c r="BA54" s="451">
        <f t="shared" si="50"/>
        <v>5540.6333333333332</v>
      </c>
    </row>
    <row r="55" spans="1:53">
      <c r="A55" s="768" t="s">
        <v>238</v>
      </c>
      <c r="B55" s="769" t="s">
        <v>863</v>
      </c>
      <c r="C55" s="770"/>
      <c r="D55" s="586">
        <v>106412</v>
      </c>
      <c r="E55" s="586">
        <v>6</v>
      </c>
      <c r="F55" s="491" t="s">
        <v>41</v>
      </c>
      <c r="G55" s="160" t="s">
        <v>41</v>
      </c>
      <c r="H55" s="456"/>
      <c r="I55" s="493"/>
      <c r="J55" s="456">
        <v>30951</v>
      </c>
      <c r="K55" s="493">
        <v>29717</v>
      </c>
      <c r="L55" s="456">
        <v>4637</v>
      </c>
      <c r="M55" s="493">
        <v>5052</v>
      </c>
      <c r="N55" s="456">
        <v>33607</v>
      </c>
      <c r="O55" s="493">
        <v>36067</v>
      </c>
      <c r="P55" s="449">
        <f t="shared" si="33"/>
        <v>69195</v>
      </c>
      <c r="Q55" s="450">
        <f t="shared" si="34"/>
        <v>2306.5</v>
      </c>
      <c r="R55" s="451">
        <f t="shared" si="35"/>
        <v>70836</v>
      </c>
      <c r="S55" s="452">
        <f t="shared" si="36"/>
        <v>2361.1999999999998</v>
      </c>
      <c r="T55" s="456">
        <v>0</v>
      </c>
      <c r="U55" s="493">
        <v>3</v>
      </c>
      <c r="V55" s="449">
        <f t="shared" si="37"/>
        <v>69195</v>
      </c>
      <c r="W55" s="448">
        <f t="shared" si="38"/>
        <v>70836</v>
      </c>
      <c r="X55" s="456"/>
      <c r="Y55" s="493"/>
      <c r="Z55" s="456"/>
      <c r="AA55" s="493"/>
      <c r="AB55" s="456"/>
      <c r="AC55" s="493"/>
      <c r="AD55" s="456"/>
      <c r="AE55" s="493"/>
      <c r="AF55" s="449">
        <f t="shared" si="39"/>
        <v>0</v>
      </c>
      <c r="AG55" s="450">
        <f t="shared" si="40"/>
        <v>0</v>
      </c>
      <c r="AH55" s="451">
        <f t="shared" si="41"/>
        <v>0</v>
      </c>
      <c r="AI55" s="451">
        <f t="shared" si="42"/>
        <v>0</v>
      </c>
      <c r="AJ55" s="456"/>
      <c r="AK55" s="493"/>
      <c r="AL55" s="449">
        <f t="shared" si="43"/>
        <v>0</v>
      </c>
      <c r="AM55" s="452">
        <f t="shared" si="44"/>
        <v>0</v>
      </c>
      <c r="AN55" s="456"/>
      <c r="AO55" s="493"/>
      <c r="AP55" s="456">
        <v>560</v>
      </c>
      <c r="AQ55" s="493">
        <v>775</v>
      </c>
      <c r="AR55" s="456">
        <v>215</v>
      </c>
      <c r="AS55" s="493">
        <v>383</v>
      </c>
      <c r="AT55" s="456">
        <v>729</v>
      </c>
      <c r="AU55" s="493">
        <v>732</v>
      </c>
      <c r="AV55" s="449">
        <f t="shared" si="45"/>
        <v>1504</v>
      </c>
      <c r="AW55" s="453">
        <f t="shared" si="46"/>
        <v>62.666666666666664</v>
      </c>
      <c r="AX55" s="451">
        <f t="shared" si="47"/>
        <v>1890</v>
      </c>
      <c r="AY55" s="454">
        <f t="shared" si="48"/>
        <v>78.75</v>
      </c>
      <c r="AZ55" s="455">
        <f t="shared" si="49"/>
        <v>2369.1666666666665</v>
      </c>
      <c r="BA55" s="451">
        <f t="shared" si="50"/>
        <v>2439.9499999999998</v>
      </c>
    </row>
    <row r="56" spans="1:53">
      <c r="A56" s="772" t="s">
        <v>238</v>
      </c>
      <c r="B56" s="769" t="s">
        <v>864</v>
      </c>
      <c r="C56" s="770" t="s">
        <v>928</v>
      </c>
      <c r="D56" s="582">
        <v>367459</v>
      </c>
      <c r="E56" s="586">
        <v>8</v>
      </c>
      <c r="F56" s="491" t="s">
        <v>41</v>
      </c>
      <c r="G56" s="160" t="s">
        <v>41</v>
      </c>
      <c r="H56" s="456"/>
      <c r="I56" s="493"/>
      <c r="J56" s="456">
        <v>68788</v>
      </c>
      <c r="K56" s="493">
        <v>65320</v>
      </c>
      <c r="L56" s="456">
        <v>14868</v>
      </c>
      <c r="M56" s="493">
        <v>14583</v>
      </c>
      <c r="N56" s="456">
        <v>73750</v>
      </c>
      <c r="O56" s="493">
        <v>69268</v>
      </c>
      <c r="P56" s="449">
        <f t="shared" si="33"/>
        <v>157406</v>
      </c>
      <c r="Q56" s="450">
        <f t="shared" si="34"/>
        <v>5246.8666666666668</v>
      </c>
      <c r="R56" s="451">
        <f t="shared" si="35"/>
        <v>149171</v>
      </c>
      <c r="S56" s="452">
        <f t="shared" si="36"/>
        <v>4972.3666666666668</v>
      </c>
      <c r="T56" s="456">
        <v>11899</v>
      </c>
      <c r="U56" s="493">
        <v>15089</v>
      </c>
      <c r="V56" s="449">
        <f t="shared" si="37"/>
        <v>157406</v>
      </c>
      <c r="W56" s="448">
        <f t="shared" si="38"/>
        <v>149171</v>
      </c>
      <c r="X56" s="456"/>
      <c r="Y56" s="493"/>
      <c r="Z56" s="456"/>
      <c r="AA56" s="493"/>
      <c r="AB56" s="456"/>
      <c r="AC56" s="493"/>
      <c r="AD56" s="456"/>
      <c r="AE56" s="493"/>
      <c r="AF56" s="449">
        <f t="shared" si="39"/>
        <v>0</v>
      </c>
      <c r="AG56" s="450">
        <f t="shared" si="40"/>
        <v>0</v>
      </c>
      <c r="AH56" s="451">
        <f t="shared" si="41"/>
        <v>0</v>
      </c>
      <c r="AI56" s="451">
        <f t="shared" si="42"/>
        <v>0</v>
      </c>
      <c r="AJ56" s="456"/>
      <c r="AK56" s="493"/>
      <c r="AL56" s="449">
        <f t="shared" si="43"/>
        <v>0</v>
      </c>
      <c r="AM56" s="452">
        <f t="shared" si="44"/>
        <v>0</v>
      </c>
      <c r="AN56" s="456"/>
      <c r="AO56" s="493"/>
      <c r="AP56" s="456"/>
      <c r="AQ56" s="493"/>
      <c r="AR56" s="456"/>
      <c r="AS56" s="493"/>
      <c r="AT56" s="456"/>
      <c r="AU56" s="493"/>
      <c r="AV56" s="449">
        <f t="shared" si="45"/>
        <v>0</v>
      </c>
      <c r="AW56" s="453">
        <f t="shared" si="46"/>
        <v>0</v>
      </c>
      <c r="AX56" s="451">
        <f t="shared" si="47"/>
        <v>0</v>
      </c>
      <c r="AY56" s="454">
        <f t="shared" si="48"/>
        <v>0</v>
      </c>
      <c r="AZ56" s="455">
        <f t="shared" si="49"/>
        <v>5246.8666666666668</v>
      </c>
      <c r="BA56" s="451">
        <f t="shared" si="50"/>
        <v>4972.3666666666668</v>
      </c>
    </row>
    <row r="57" spans="1:53">
      <c r="A57" s="773" t="s">
        <v>238</v>
      </c>
      <c r="B57" s="774" t="s">
        <v>865</v>
      </c>
      <c r="C57" s="639"/>
      <c r="D57" s="638">
        <v>107664</v>
      </c>
      <c r="E57" s="640">
        <v>8</v>
      </c>
      <c r="F57" s="491" t="s">
        <v>41</v>
      </c>
      <c r="G57" s="160" t="s">
        <v>41</v>
      </c>
      <c r="H57" s="456"/>
      <c r="I57" s="493"/>
      <c r="J57" s="456">
        <v>98192</v>
      </c>
      <c r="K57" s="493">
        <v>81915</v>
      </c>
      <c r="L57" s="456">
        <v>16046</v>
      </c>
      <c r="M57" s="493">
        <v>14732</v>
      </c>
      <c r="N57" s="456">
        <v>91685</v>
      </c>
      <c r="O57" s="493">
        <v>73881</v>
      </c>
      <c r="P57" s="449">
        <f t="shared" si="33"/>
        <v>205923</v>
      </c>
      <c r="Q57" s="450">
        <f t="shared" si="34"/>
        <v>6864.1</v>
      </c>
      <c r="R57" s="451">
        <f t="shared" si="35"/>
        <v>170528</v>
      </c>
      <c r="S57" s="452">
        <f t="shared" si="36"/>
        <v>5684.2666666666664</v>
      </c>
      <c r="T57" s="456">
        <v>6034</v>
      </c>
      <c r="U57" s="493">
        <v>5180</v>
      </c>
      <c r="V57" s="449">
        <f t="shared" si="37"/>
        <v>205923</v>
      </c>
      <c r="W57" s="448">
        <f t="shared" si="38"/>
        <v>170528</v>
      </c>
      <c r="X57" s="456"/>
      <c r="Y57" s="493"/>
      <c r="Z57" s="456"/>
      <c r="AA57" s="493"/>
      <c r="AB57" s="456"/>
      <c r="AC57" s="493"/>
      <c r="AD57" s="456"/>
      <c r="AE57" s="493"/>
      <c r="AF57" s="449">
        <f t="shared" si="39"/>
        <v>0</v>
      </c>
      <c r="AG57" s="450">
        <f t="shared" si="40"/>
        <v>0</v>
      </c>
      <c r="AH57" s="451">
        <f t="shared" si="41"/>
        <v>0</v>
      </c>
      <c r="AI57" s="451">
        <f t="shared" si="42"/>
        <v>0</v>
      </c>
      <c r="AJ57" s="456"/>
      <c r="AK57" s="493"/>
      <c r="AL57" s="449">
        <f t="shared" si="43"/>
        <v>0</v>
      </c>
      <c r="AM57" s="452">
        <f t="shared" si="44"/>
        <v>0</v>
      </c>
      <c r="AN57" s="456"/>
      <c r="AO57" s="493"/>
      <c r="AP57" s="456"/>
      <c r="AQ57" s="493"/>
      <c r="AR57" s="456"/>
      <c r="AS57" s="493"/>
      <c r="AT57" s="456"/>
      <c r="AU57" s="493"/>
      <c r="AV57" s="449">
        <f t="shared" si="45"/>
        <v>0</v>
      </c>
      <c r="AW57" s="453">
        <f t="shared" si="46"/>
        <v>0</v>
      </c>
      <c r="AX57" s="451">
        <f t="shared" si="47"/>
        <v>0</v>
      </c>
      <c r="AY57" s="454">
        <f t="shared" si="48"/>
        <v>0</v>
      </c>
      <c r="AZ57" s="455">
        <f t="shared" si="49"/>
        <v>6864.1</v>
      </c>
      <c r="BA57" s="451">
        <f t="shared" si="50"/>
        <v>5684.2666666666664</v>
      </c>
    </row>
    <row r="58" spans="1:53">
      <c r="A58" s="772" t="s">
        <v>238</v>
      </c>
      <c r="B58" s="775" t="s">
        <v>866</v>
      </c>
      <c r="C58" s="776"/>
      <c r="D58" s="582">
        <v>106449</v>
      </c>
      <c r="E58" s="582">
        <v>9</v>
      </c>
      <c r="F58" s="491" t="s">
        <v>41</v>
      </c>
      <c r="G58" s="160" t="s">
        <v>41</v>
      </c>
      <c r="H58" s="456"/>
      <c r="I58" s="493"/>
      <c r="J58" s="456">
        <v>40126</v>
      </c>
      <c r="K58" s="493">
        <v>39417</v>
      </c>
      <c r="L58" s="456">
        <v>7930</v>
      </c>
      <c r="M58" s="493">
        <v>8153</v>
      </c>
      <c r="N58" s="456">
        <v>43358</v>
      </c>
      <c r="O58" s="493">
        <v>41906</v>
      </c>
      <c r="P58" s="449">
        <f t="shared" si="33"/>
        <v>91414</v>
      </c>
      <c r="Q58" s="450">
        <f t="shared" si="34"/>
        <v>3047.1333333333332</v>
      </c>
      <c r="R58" s="451">
        <f t="shared" si="35"/>
        <v>89476</v>
      </c>
      <c r="S58" s="452">
        <f t="shared" si="36"/>
        <v>2982.5333333333333</v>
      </c>
      <c r="T58" s="456">
        <v>8366</v>
      </c>
      <c r="U58" s="493">
        <v>8243</v>
      </c>
      <c r="V58" s="449">
        <f t="shared" si="37"/>
        <v>91414</v>
      </c>
      <c r="W58" s="448">
        <f t="shared" si="38"/>
        <v>89476</v>
      </c>
      <c r="X58" s="456"/>
      <c r="Y58" s="493"/>
      <c r="Z58" s="456"/>
      <c r="AA58" s="493"/>
      <c r="AB58" s="456"/>
      <c r="AC58" s="493"/>
      <c r="AD58" s="456"/>
      <c r="AE58" s="493"/>
      <c r="AF58" s="449">
        <f t="shared" si="39"/>
        <v>0</v>
      </c>
      <c r="AG58" s="450">
        <f t="shared" si="40"/>
        <v>0</v>
      </c>
      <c r="AH58" s="451">
        <f t="shared" si="41"/>
        <v>0</v>
      </c>
      <c r="AI58" s="451">
        <f t="shared" si="42"/>
        <v>0</v>
      </c>
      <c r="AJ58" s="456"/>
      <c r="AK58" s="493"/>
      <c r="AL58" s="449">
        <f t="shared" si="43"/>
        <v>0</v>
      </c>
      <c r="AM58" s="452">
        <f t="shared" si="44"/>
        <v>0</v>
      </c>
      <c r="AN58" s="456"/>
      <c r="AO58" s="493"/>
      <c r="AP58" s="456"/>
      <c r="AQ58" s="493"/>
      <c r="AR58" s="456"/>
      <c r="AS58" s="493"/>
      <c r="AT58" s="456"/>
      <c r="AU58" s="493"/>
      <c r="AV58" s="449">
        <f t="shared" si="45"/>
        <v>0</v>
      </c>
      <c r="AW58" s="453">
        <f t="shared" si="46"/>
        <v>0</v>
      </c>
      <c r="AX58" s="451">
        <f t="shared" si="47"/>
        <v>0</v>
      </c>
      <c r="AY58" s="454">
        <f t="shared" si="48"/>
        <v>0</v>
      </c>
      <c r="AZ58" s="455">
        <f t="shared" si="49"/>
        <v>3047.1333333333332</v>
      </c>
      <c r="BA58" s="451">
        <f t="shared" si="50"/>
        <v>2982.5333333333333</v>
      </c>
    </row>
    <row r="59" spans="1:53">
      <c r="A59" s="772" t="s">
        <v>238</v>
      </c>
      <c r="B59" s="777" t="s">
        <v>968</v>
      </c>
      <c r="C59" s="778" t="s">
        <v>929</v>
      </c>
      <c r="D59" s="586">
        <v>106980</v>
      </c>
      <c r="E59" s="586">
        <v>9</v>
      </c>
      <c r="F59" s="491" t="s">
        <v>41</v>
      </c>
      <c r="G59" s="160" t="s">
        <v>41</v>
      </c>
      <c r="H59" s="456"/>
      <c r="I59" s="493"/>
      <c r="J59" s="456">
        <v>28512</v>
      </c>
      <c r="K59" s="493">
        <v>24727</v>
      </c>
      <c r="L59" s="456">
        <v>4128</v>
      </c>
      <c r="M59" s="493">
        <v>3677</v>
      </c>
      <c r="N59" s="456">
        <v>29115</v>
      </c>
      <c r="O59" s="493">
        <v>29680</v>
      </c>
      <c r="P59" s="449">
        <f t="shared" si="33"/>
        <v>61755</v>
      </c>
      <c r="Q59" s="450">
        <f t="shared" si="34"/>
        <v>2058.5</v>
      </c>
      <c r="R59" s="451">
        <f t="shared" si="35"/>
        <v>58084</v>
      </c>
      <c r="S59" s="452">
        <f t="shared" si="36"/>
        <v>1936.1333333333334</v>
      </c>
      <c r="T59" s="456">
        <v>5243</v>
      </c>
      <c r="U59" s="493">
        <v>6979</v>
      </c>
      <c r="V59" s="449">
        <f t="shared" si="37"/>
        <v>61755</v>
      </c>
      <c r="W59" s="448">
        <f t="shared" si="38"/>
        <v>58084</v>
      </c>
      <c r="X59" s="456"/>
      <c r="Y59" s="493"/>
      <c r="Z59" s="456"/>
      <c r="AA59" s="493"/>
      <c r="AB59" s="456"/>
      <c r="AC59" s="493"/>
      <c r="AD59" s="456"/>
      <c r="AE59" s="493"/>
      <c r="AF59" s="449">
        <f t="shared" si="39"/>
        <v>0</v>
      </c>
      <c r="AG59" s="450">
        <f t="shared" si="40"/>
        <v>0</v>
      </c>
      <c r="AH59" s="451">
        <f t="shared" si="41"/>
        <v>0</v>
      </c>
      <c r="AI59" s="451">
        <f t="shared" si="42"/>
        <v>0</v>
      </c>
      <c r="AJ59" s="456"/>
      <c r="AK59" s="493"/>
      <c r="AL59" s="449">
        <f t="shared" si="43"/>
        <v>0</v>
      </c>
      <c r="AM59" s="452">
        <f t="shared" si="44"/>
        <v>0</v>
      </c>
      <c r="AN59" s="456"/>
      <c r="AO59" s="493"/>
      <c r="AP59" s="456"/>
      <c r="AQ59" s="493"/>
      <c r="AR59" s="456"/>
      <c r="AS59" s="493"/>
      <c r="AT59" s="456"/>
      <c r="AU59" s="493"/>
      <c r="AV59" s="449">
        <f t="shared" si="45"/>
        <v>0</v>
      </c>
      <c r="AW59" s="453">
        <f t="shared" si="46"/>
        <v>0</v>
      </c>
      <c r="AX59" s="451">
        <f t="shared" si="47"/>
        <v>0</v>
      </c>
      <c r="AY59" s="454">
        <f t="shared" si="48"/>
        <v>0</v>
      </c>
      <c r="AZ59" s="455">
        <f t="shared" si="49"/>
        <v>2058.5</v>
      </c>
      <c r="BA59" s="451">
        <f t="shared" si="50"/>
        <v>1936.1333333333334</v>
      </c>
    </row>
    <row r="60" spans="1:53">
      <c r="A60" s="578" t="s">
        <v>238</v>
      </c>
      <c r="B60" s="583" t="s">
        <v>867</v>
      </c>
      <c r="C60" s="776"/>
      <c r="D60" s="582">
        <v>107327</v>
      </c>
      <c r="E60" s="582">
        <v>10</v>
      </c>
      <c r="F60" s="491" t="s">
        <v>41</v>
      </c>
      <c r="G60" s="160" t="s">
        <v>41</v>
      </c>
      <c r="H60" s="456"/>
      <c r="I60" s="493"/>
      <c r="J60" s="456">
        <v>11975</v>
      </c>
      <c r="K60" s="493">
        <v>12276</v>
      </c>
      <c r="L60" s="456">
        <v>2120</v>
      </c>
      <c r="M60" s="493">
        <v>2476</v>
      </c>
      <c r="N60" s="456">
        <v>12893</v>
      </c>
      <c r="O60" s="493">
        <v>12918</v>
      </c>
      <c r="P60" s="449">
        <f t="shared" si="33"/>
        <v>26988</v>
      </c>
      <c r="Q60" s="450">
        <f t="shared" si="34"/>
        <v>899.6</v>
      </c>
      <c r="R60" s="451">
        <f t="shared" si="35"/>
        <v>27670</v>
      </c>
      <c r="S60" s="452">
        <f t="shared" si="36"/>
        <v>922.33333333333337</v>
      </c>
      <c r="T60" s="456">
        <v>1683</v>
      </c>
      <c r="U60" s="493">
        <v>2208</v>
      </c>
      <c r="V60" s="449">
        <f t="shared" si="37"/>
        <v>26988</v>
      </c>
      <c r="W60" s="448">
        <f t="shared" si="38"/>
        <v>27670</v>
      </c>
      <c r="X60" s="456"/>
      <c r="Y60" s="493"/>
      <c r="Z60" s="456"/>
      <c r="AA60" s="493"/>
      <c r="AB60" s="456"/>
      <c r="AC60" s="493"/>
      <c r="AD60" s="456"/>
      <c r="AE60" s="493"/>
      <c r="AF60" s="449">
        <f t="shared" si="39"/>
        <v>0</v>
      </c>
      <c r="AG60" s="450">
        <f t="shared" si="40"/>
        <v>0</v>
      </c>
      <c r="AH60" s="451">
        <f t="shared" si="41"/>
        <v>0</v>
      </c>
      <c r="AI60" s="451">
        <f t="shared" si="42"/>
        <v>0</v>
      </c>
      <c r="AJ60" s="456"/>
      <c r="AK60" s="493"/>
      <c r="AL60" s="449">
        <f t="shared" si="43"/>
        <v>0</v>
      </c>
      <c r="AM60" s="452">
        <f t="shared" si="44"/>
        <v>0</v>
      </c>
      <c r="AN60" s="456"/>
      <c r="AO60" s="493"/>
      <c r="AP60" s="456"/>
      <c r="AQ60" s="493"/>
      <c r="AR60" s="456"/>
      <c r="AS60" s="493"/>
      <c r="AT60" s="456"/>
      <c r="AU60" s="493"/>
      <c r="AV60" s="449">
        <f t="shared" si="45"/>
        <v>0</v>
      </c>
      <c r="AW60" s="453">
        <f t="shared" si="46"/>
        <v>0</v>
      </c>
      <c r="AX60" s="451">
        <f t="shared" si="47"/>
        <v>0</v>
      </c>
      <c r="AY60" s="454">
        <f t="shared" si="48"/>
        <v>0</v>
      </c>
      <c r="AZ60" s="455">
        <f t="shared" si="49"/>
        <v>899.6</v>
      </c>
      <c r="BA60" s="451">
        <f t="shared" si="50"/>
        <v>922.33333333333337</v>
      </c>
    </row>
    <row r="61" spans="1:53">
      <c r="A61" s="578" t="s">
        <v>238</v>
      </c>
      <c r="B61" s="775" t="s">
        <v>969</v>
      </c>
      <c r="C61" s="776"/>
      <c r="D61" s="582">
        <v>107318</v>
      </c>
      <c r="E61" s="582">
        <v>10</v>
      </c>
      <c r="F61" s="491" t="s">
        <v>41</v>
      </c>
      <c r="G61" s="160" t="s">
        <v>41</v>
      </c>
      <c r="H61" s="456"/>
      <c r="I61" s="493"/>
      <c r="J61" s="456">
        <v>15629</v>
      </c>
      <c r="K61" s="493">
        <v>13838</v>
      </c>
      <c r="L61" s="456">
        <v>2373</v>
      </c>
      <c r="M61" s="493">
        <v>2055</v>
      </c>
      <c r="N61" s="456">
        <v>16218</v>
      </c>
      <c r="O61" s="493">
        <v>15950</v>
      </c>
      <c r="P61" s="449">
        <f t="shared" si="33"/>
        <v>34220</v>
      </c>
      <c r="Q61" s="450">
        <f t="shared" si="34"/>
        <v>1140.6666666666667</v>
      </c>
      <c r="R61" s="451">
        <f t="shared" si="35"/>
        <v>31843</v>
      </c>
      <c r="S61" s="452">
        <f t="shared" si="36"/>
        <v>1061.4333333333334</v>
      </c>
      <c r="T61" s="456">
        <v>6268</v>
      </c>
      <c r="U61" s="493">
        <v>8238</v>
      </c>
      <c r="V61" s="449">
        <f t="shared" si="37"/>
        <v>34220</v>
      </c>
      <c r="W61" s="448">
        <f t="shared" si="38"/>
        <v>31843</v>
      </c>
      <c r="X61" s="456"/>
      <c r="Y61" s="493"/>
      <c r="Z61" s="456"/>
      <c r="AA61" s="493"/>
      <c r="AB61" s="456"/>
      <c r="AC61" s="493"/>
      <c r="AD61" s="456"/>
      <c r="AE61" s="493"/>
      <c r="AF61" s="449">
        <f t="shared" si="39"/>
        <v>0</v>
      </c>
      <c r="AG61" s="450">
        <f t="shared" si="40"/>
        <v>0</v>
      </c>
      <c r="AH61" s="451">
        <f t="shared" si="41"/>
        <v>0</v>
      </c>
      <c r="AI61" s="451">
        <f t="shared" si="42"/>
        <v>0</v>
      </c>
      <c r="AJ61" s="456"/>
      <c r="AK61" s="493"/>
      <c r="AL61" s="449">
        <f t="shared" si="43"/>
        <v>0</v>
      </c>
      <c r="AM61" s="452">
        <f t="shared" si="44"/>
        <v>0</v>
      </c>
      <c r="AN61" s="456"/>
      <c r="AO61" s="493"/>
      <c r="AP61" s="456"/>
      <c r="AQ61" s="493"/>
      <c r="AR61" s="456"/>
      <c r="AS61" s="493"/>
      <c r="AT61" s="456"/>
      <c r="AU61" s="493"/>
      <c r="AV61" s="449">
        <f t="shared" si="45"/>
        <v>0</v>
      </c>
      <c r="AW61" s="453">
        <f t="shared" si="46"/>
        <v>0</v>
      </c>
      <c r="AX61" s="451">
        <f t="shared" si="47"/>
        <v>0</v>
      </c>
      <c r="AY61" s="454">
        <f t="shared" si="48"/>
        <v>0</v>
      </c>
      <c r="AZ61" s="455">
        <f t="shared" si="49"/>
        <v>1140.6666666666667</v>
      </c>
      <c r="BA61" s="451">
        <f t="shared" si="50"/>
        <v>1061.4333333333334</v>
      </c>
    </row>
    <row r="62" spans="1:53">
      <c r="A62" s="578" t="s">
        <v>238</v>
      </c>
      <c r="B62" s="583" t="s">
        <v>868</v>
      </c>
      <c r="C62" s="776"/>
      <c r="D62" s="582">
        <v>420538</v>
      </c>
      <c r="E62" s="582">
        <v>10</v>
      </c>
      <c r="F62" s="491" t="s">
        <v>41</v>
      </c>
      <c r="G62" s="160" t="s">
        <v>41</v>
      </c>
      <c r="H62" s="456"/>
      <c r="I62" s="493"/>
      <c r="J62" s="456">
        <v>15109</v>
      </c>
      <c r="K62" s="493">
        <v>13873</v>
      </c>
      <c r="L62" s="456">
        <v>2911</v>
      </c>
      <c r="M62" s="493">
        <v>3161</v>
      </c>
      <c r="N62" s="456">
        <v>15645</v>
      </c>
      <c r="O62" s="493">
        <v>15539</v>
      </c>
      <c r="P62" s="449">
        <f t="shared" si="33"/>
        <v>33665</v>
      </c>
      <c r="Q62" s="450">
        <f t="shared" si="34"/>
        <v>1122.1666666666667</v>
      </c>
      <c r="R62" s="451">
        <f t="shared" si="35"/>
        <v>32573</v>
      </c>
      <c r="S62" s="452">
        <f t="shared" si="36"/>
        <v>1085.7666666666667</v>
      </c>
      <c r="T62" s="456">
        <v>818</v>
      </c>
      <c r="U62" s="493">
        <v>1796</v>
      </c>
      <c r="V62" s="449">
        <f t="shared" si="37"/>
        <v>33665</v>
      </c>
      <c r="W62" s="448">
        <f t="shared" si="38"/>
        <v>32573</v>
      </c>
      <c r="X62" s="456"/>
      <c r="Y62" s="493"/>
      <c r="Z62" s="456"/>
      <c r="AA62" s="493"/>
      <c r="AB62" s="456"/>
      <c r="AC62" s="493"/>
      <c r="AD62" s="456"/>
      <c r="AE62" s="493"/>
      <c r="AF62" s="449">
        <f t="shared" si="39"/>
        <v>0</v>
      </c>
      <c r="AG62" s="450">
        <f t="shared" si="40"/>
        <v>0</v>
      </c>
      <c r="AH62" s="451">
        <f t="shared" si="41"/>
        <v>0</v>
      </c>
      <c r="AI62" s="451">
        <f t="shared" si="42"/>
        <v>0</v>
      </c>
      <c r="AJ62" s="456"/>
      <c r="AK62" s="493"/>
      <c r="AL62" s="449">
        <f t="shared" si="43"/>
        <v>0</v>
      </c>
      <c r="AM62" s="452">
        <f t="shared" si="44"/>
        <v>0</v>
      </c>
      <c r="AN62" s="456"/>
      <c r="AO62" s="493"/>
      <c r="AP62" s="456"/>
      <c r="AQ62" s="493"/>
      <c r="AR62" s="456"/>
      <c r="AS62" s="493"/>
      <c r="AT62" s="456"/>
      <c r="AU62" s="493"/>
      <c r="AV62" s="449">
        <f t="shared" si="45"/>
        <v>0</v>
      </c>
      <c r="AW62" s="453">
        <f t="shared" si="46"/>
        <v>0</v>
      </c>
      <c r="AX62" s="451">
        <f t="shared" si="47"/>
        <v>0</v>
      </c>
      <c r="AY62" s="454">
        <f t="shared" si="48"/>
        <v>0</v>
      </c>
      <c r="AZ62" s="455">
        <f t="shared" si="49"/>
        <v>1122.1666666666667</v>
      </c>
      <c r="BA62" s="451">
        <f t="shared" si="50"/>
        <v>1085.7666666666667</v>
      </c>
    </row>
    <row r="63" spans="1:53">
      <c r="A63" s="578" t="s">
        <v>238</v>
      </c>
      <c r="B63" s="583" t="s">
        <v>869</v>
      </c>
      <c r="C63" s="776"/>
      <c r="D63" s="582">
        <v>440402</v>
      </c>
      <c r="E63" s="582">
        <v>10</v>
      </c>
      <c r="F63" s="491" t="s">
        <v>41</v>
      </c>
      <c r="G63" s="160" t="s">
        <v>41</v>
      </c>
      <c r="H63" s="456"/>
      <c r="I63" s="493"/>
      <c r="J63" s="456">
        <v>19236</v>
      </c>
      <c r="K63" s="493">
        <v>21194</v>
      </c>
      <c r="L63" s="456">
        <v>7940</v>
      </c>
      <c r="M63" s="493">
        <v>8845</v>
      </c>
      <c r="N63" s="456">
        <v>21789</v>
      </c>
      <c r="O63" s="493">
        <v>23364</v>
      </c>
      <c r="P63" s="449">
        <f t="shared" si="33"/>
        <v>48965</v>
      </c>
      <c r="Q63" s="450">
        <f t="shared" si="34"/>
        <v>1632.1666666666667</v>
      </c>
      <c r="R63" s="451">
        <f t="shared" si="35"/>
        <v>53403</v>
      </c>
      <c r="S63" s="452">
        <f t="shared" si="36"/>
        <v>1780.1</v>
      </c>
      <c r="T63" s="456">
        <v>10204</v>
      </c>
      <c r="U63" s="493">
        <v>12939</v>
      </c>
      <c r="V63" s="449">
        <f t="shared" si="37"/>
        <v>48965</v>
      </c>
      <c r="W63" s="448">
        <f t="shared" si="38"/>
        <v>53403</v>
      </c>
      <c r="X63" s="456"/>
      <c r="Y63" s="493"/>
      <c r="Z63" s="456"/>
      <c r="AA63" s="493"/>
      <c r="AB63" s="456"/>
      <c r="AC63" s="493"/>
      <c r="AD63" s="456"/>
      <c r="AE63" s="493"/>
      <c r="AF63" s="449">
        <f t="shared" si="39"/>
        <v>0</v>
      </c>
      <c r="AG63" s="450">
        <f t="shared" si="40"/>
        <v>0</v>
      </c>
      <c r="AH63" s="451">
        <f t="shared" si="41"/>
        <v>0</v>
      </c>
      <c r="AI63" s="451">
        <f t="shared" si="42"/>
        <v>0</v>
      </c>
      <c r="AJ63" s="456"/>
      <c r="AK63" s="493"/>
      <c r="AL63" s="449">
        <f t="shared" si="43"/>
        <v>0</v>
      </c>
      <c r="AM63" s="452">
        <f t="shared" si="44"/>
        <v>0</v>
      </c>
      <c r="AN63" s="456"/>
      <c r="AO63" s="493"/>
      <c r="AP63" s="456"/>
      <c r="AQ63" s="493"/>
      <c r="AR63" s="456"/>
      <c r="AS63" s="493"/>
      <c r="AT63" s="456"/>
      <c r="AU63" s="493"/>
      <c r="AV63" s="449">
        <f t="shared" si="45"/>
        <v>0</v>
      </c>
      <c r="AW63" s="453">
        <f t="shared" si="46"/>
        <v>0</v>
      </c>
      <c r="AX63" s="451">
        <f t="shared" si="47"/>
        <v>0</v>
      </c>
      <c r="AY63" s="454">
        <f t="shared" si="48"/>
        <v>0</v>
      </c>
      <c r="AZ63" s="455">
        <f t="shared" si="49"/>
        <v>1632.1666666666667</v>
      </c>
      <c r="BA63" s="451">
        <f t="shared" si="50"/>
        <v>1780.1</v>
      </c>
    </row>
    <row r="64" spans="1:53">
      <c r="A64" s="578" t="s">
        <v>238</v>
      </c>
      <c r="B64" s="769" t="s">
        <v>870</v>
      </c>
      <c r="C64" s="770"/>
      <c r="D64" s="582">
        <v>106625</v>
      </c>
      <c r="E64" s="582">
        <v>10</v>
      </c>
      <c r="F64" s="491" t="s">
        <v>41</v>
      </c>
      <c r="G64" s="160" t="s">
        <v>41</v>
      </c>
      <c r="H64" s="456"/>
      <c r="I64" s="493"/>
      <c r="J64" s="456">
        <v>22303</v>
      </c>
      <c r="K64" s="493">
        <v>19008</v>
      </c>
      <c r="L64" s="456">
        <v>4568</v>
      </c>
      <c r="M64" s="493">
        <v>2756</v>
      </c>
      <c r="N64" s="456">
        <v>21953</v>
      </c>
      <c r="O64" s="493">
        <v>18567</v>
      </c>
      <c r="P64" s="449">
        <f t="shared" si="33"/>
        <v>48824</v>
      </c>
      <c r="Q64" s="450">
        <f t="shared" si="34"/>
        <v>1627.4666666666667</v>
      </c>
      <c r="R64" s="451">
        <f t="shared" si="35"/>
        <v>40331</v>
      </c>
      <c r="S64" s="452">
        <f t="shared" si="36"/>
        <v>1344.3666666666666</v>
      </c>
      <c r="T64" s="456">
        <v>3980</v>
      </c>
      <c r="U64" s="493">
        <v>4252</v>
      </c>
      <c r="V64" s="449">
        <f t="shared" si="37"/>
        <v>48824</v>
      </c>
      <c r="W64" s="448">
        <f t="shared" si="38"/>
        <v>40331</v>
      </c>
      <c r="X64" s="456"/>
      <c r="Y64" s="493"/>
      <c r="Z64" s="456"/>
      <c r="AA64" s="493"/>
      <c r="AB64" s="456"/>
      <c r="AC64" s="493"/>
      <c r="AD64" s="456"/>
      <c r="AE64" s="493"/>
      <c r="AF64" s="449">
        <f t="shared" si="39"/>
        <v>0</v>
      </c>
      <c r="AG64" s="450">
        <f t="shared" si="40"/>
        <v>0</v>
      </c>
      <c r="AH64" s="451">
        <f t="shared" si="41"/>
        <v>0</v>
      </c>
      <c r="AI64" s="451">
        <f t="shared" si="42"/>
        <v>0</v>
      </c>
      <c r="AJ64" s="456"/>
      <c r="AK64" s="493"/>
      <c r="AL64" s="449">
        <f t="shared" si="43"/>
        <v>0</v>
      </c>
      <c r="AM64" s="452">
        <f t="shared" si="44"/>
        <v>0</v>
      </c>
      <c r="AN64" s="456"/>
      <c r="AO64" s="493"/>
      <c r="AP64" s="456"/>
      <c r="AQ64" s="493"/>
      <c r="AR64" s="456"/>
      <c r="AS64" s="493"/>
      <c r="AT64" s="456"/>
      <c r="AU64" s="493"/>
      <c r="AV64" s="449">
        <f t="shared" si="45"/>
        <v>0</v>
      </c>
      <c r="AW64" s="453">
        <f t="shared" si="46"/>
        <v>0</v>
      </c>
      <c r="AX64" s="451">
        <f t="shared" si="47"/>
        <v>0</v>
      </c>
      <c r="AY64" s="454">
        <f t="shared" si="48"/>
        <v>0</v>
      </c>
      <c r="AZ64" s="455">
        <f t="shared" si="49"/>
        <v>1627.4666666666667</v>
      </c>
      <c r="BA64" s="451">
        <f t="shared" si="50"/>
        <v>1344.3666666666666</v>
      </c>
    </row>
    <row r="65" spans="1:53">
      <c r="A65" s="578" t="s">
        <v>238</v>
      </c>
      <c r="B65" s="769" t="s">
        <v>871</v>
      </c>
      <c r="C65" s="771"/>
      <c r="D65" s="582">
        <v>107521</v>
      </c>
      <c r="E65" s="582">
        <v>10</v>
      </c>
      <c r="F65" s="491" t="s">
        <v>41</v>
      </c>
      <c r="G65" s="160" t="s">
        <v>41</v>
      </c>
      <c r="H65" s="456"/>
      <c r="I65" s="493"/>
      <c r="J65" s="456">
        <v>12544</v>
      </c>
      <c r="K65" s="493">
        <v>11830</v>
      </c>
      <c r="L65" s="456">
        <v>2372</v>
      </c>
      <c r="M65" s="493">
        <v>2925</v>
      </c>
      <c r="N65" s="456">
        <v>12769</v>
      </c>
      <c r="O65" s="493">
        <v>11110</v>
      </c>
      <c r="P65" s="449">
        <f t="shared" si="33"/>
        <v>27685</v>
      </c>
      <c r="Q65" s="450">
        <f t="shared" si="34"/>
        <v>922.83333333333337</v>
      </c>
      <c r="R65" s="451">
        <f t="shared" si="35"/>
        <v>25865</v>
      </c>
      <c r="S65" s="452">
        <f t="shared" si="36"/>
        <v>862.16666666666663</v>
      </c>
      <c r="T65" s="456">
        <v>6491</v>
      </c>
      <c r="U65" s="493">
        <v>4796</v>
      </c>
      <c r="V65" s="449">
        <f t="shared" si="37"/>
        <v>27685</v>
      </c>
      <c r="W65" s="448">
        <f t="shared" si="38"/>
        <v>25865</v>
      </c>
      <c r="X65" s="456"/>
      <c r="Y65" s="493"/>
      <c r="Z65" s="456"/>
      <c r="AA65" s="493"/>
      <c r="AB65" s="456"/>
      <c r="AC65" s="493"/>
      <c r="AD65" s="456"/>
      <c r="AE65" s="493"/>
      <c r="AF65" s="449">
        <f t="shared" si="39"/>
        <v>0</v>
      </c>
      <c r="AG65" s="450">
        <f t="shared" si="40"/>
        <v>0</v>
      </c>
      <c r="AH65" s="451">
        <f t="shared" si="41"/>
        <v>0</v>
      </c>
      <c r="AI65" s="451">
        <f t="shared" si="42"/>
        <v>0</v>
      </c>
      <c r="AJ65" s="456"/>
      <c r="AK65" s="493"/>
      <c r="AL65" s="449">
        <f t="shared" si="43"/>
        <v>0</v>
      </c>
      <c r="AM65" s="452">
        <f t="shared" si="44"/>
        <v>0</v>
      </c>
      <c r="AN65" s="456"/>
      <c r="AO65" s="493"/>
      <c r="AP65" s="456"/>
      <c r="AQ65" s="493"/>
      <c r="AR65" s="456"/>
      <c r="AS65" s="493"/>
      <c r="AT65" s="456"/>
      <c r="AU65" s="493"/>
      <c r="AV65" s="449">
        <f t="shared" si="45"/>
        <v>0</v>
      </c>
      <c r="AW65" s="453">
        <f t="shared" si="46"/>
        <v>0</v>
      </c>
      <c r="AX65" s="451">
        <f t="shared" si="47"/>
        <v>0</v>
      </c>
      <c r="AY65" s="454">
        <f t="shared" si="48"/>
        <v>0</v>
      </c>
      <c r="AZ65" s="455">
        <f t="shared" si="49"/>
        <v>922.83333333333337</v>
      </c>
      <c r="BA65" s="451">
        <f t="shared" si="50"/>
        <v>862.16666666666663</v>
      </c>
    </row>
    <row r="66" spans="1:53">
      <c r="A66" s="578" t="s">
        <v>238</v>
      </c>
      <c r="B66" s="583" t="s">
        <v>872</v>
      </c>
      <c r="C66" s="776"/>
      <c r="D66" s="582">
        <v>106795</v>
      </c>
      <c r="E66" s="582">
        <v>10</v>
      </c>
      <c r="F66" s="491" t="s">
        <v>41</v>
      </c>
      <c r="G66" s="160" t="s">
        <v>41</v>
      </c>
      <c r="H66" s="456"/>
      <c r="I66" s="493"/>
      <c r="J66" s="456">
        <v>13750</v>
      </c>
      <c r="K66" s="493">
        <v>12880</v>
      </c>
      <c r="L66" s="456">
        <v>2481</v>
      </c>
      <c r="M66" s="493">
        <v>2421</v>
      </c>
      <c r="N66" s="456">
        <v>13569</v>
      </c>
      <c r="O66" s="493">
        <v>13589</v>
      </c>
      <c r="P66" s="449">
        <f t="shared" si="33"/>
        <v>29800</v>
      </c>
      <c r="Q66" s="450">
        <f t="shared" si="34"/>
        <v>993.33333333333337</v>
      </c>
      <c r="R66" s="451">
        <f t="shared" si="35"/>
        <v>28890</v>
      </c>
      <c r="S66" s="452">
        <f t="shared" si="36"/>
        <v>963</v>
      </c>
      <c r="T66" s="456">
        <v>4529</v>
      </c>
      <c r="U66" s="493">
        <v>5520</v>
      </c>
      <c r="V66" s="449">
        <f t="shared" si="37"/>
        <v>29800</v>
      </c>
      <c r="W66" s="448">
        <f t="shared" si="38"/>
        <v>28890</v>
      </c>
      <c r="X66" s="456"/>
      <c r="Y66" s="493"/>
      <c r="Z66" s="456"/>
      <c r="AA66" s="493"/>
      <c r="AB66" s="456"/>
      <c r="AC66" s="493"/>
      <c r="AD66" s="456"/>
      <c r="AE66" s="493"/>
      <c r="AF66" s="449">
        <f t="shared" si="39"/>
        <v>0</v>
      </c>
      <c r="AG66" s="450">
        <f t="shared" si="40"/>
        <v>0</v>
      </c>
      <c r="AH66" s="451">
        <f t="shared" si="41"/>
        <v>0</v>
      </c>
      <c r="AI66" s="451">
        <f t="shared" si="42"/>
        <v>0</v>
      </c>
      <c r="AJ66" s="456"/>
      <c r="AK66" s="493"/>
      <c r="AL66" s="449">
        <f t="shared" si="43"/>
        <v>0</v>
      </c>
      <c r="AM66" s="452">
        <f t="shared" si="44"/>
        <v>0</v>
      </c>
      <c r="AN66" s="456"/>
      <c r="AO66" s="493"/>
      <c r="AP66" s="456"/>
      <c r="AQ66" s="493"/>
      <c r="AR66" s="456"/>
      <c r="AS66" s="493"/>
      <c r="AT66" s="456"/>
      <c r="AU66" s="493"/>
      <c r="AV66" s="449">
        <f t="shared" si="45"/>
        <v>0</v>
      </c>
      <c r="AW66" s="453">
        <f t="shared" si="46"/>
        <v>0</v>
      </c>
      <c r="AX66" s="451">
        <f t="shared" si="47"/>
        <v>0</v>
      </c>
      <c r="AY66" s="454">
        <f t="shared" si="48"/>
        <v>0</v>
      </c>
      <c r="AZ66" s="455">
        <f t="shared" si="49"/>
        <v>993.33333333333337</v>
      </c>
      <c r="BA66" s="451">
        <f t="shared" si="50"/>
        <v>963</v>
      </c>
    </row>
    <row r="67" spans="1:53">
      <c r="A67" s="578" t="s">
        <v>238</v>
      </c>
      <c r="B67" s="583" t="s">
        <v>873</v>
      </c>
      <c r="C67" s="776"/>
      <c r="D67" s="582">
        <v>106883</v>
      </c>
      <c r="E67" s="582">
        <v>10</v>
      </c>
      <c r="F67" s="491" t="s">
        <v>41</v>
      </c>
      <c r="G67" s="160" t="s">
        <v>41</v>
      </c>
      <c r="H67" s="456"/>
      <c r="I67" s="493"/>
      <c r="J67" s="456">
        <v>10708</v>
      </c>
      <c r="K67" s="493">
        <v>9915</v>
      </c>
      <c r="L67" s="456">
        <v>2969</v>
      </c>
      <c r="M67" s="493">
        <v>3224</v>
      </c>
      <c r="N67" s="456">
        <v>10679</v>
      </c>
      <c r="O67" s="493">
        <v>10351</v>
      </c>
      <c r="P67" s="449">
        <f t="shared" si="33"/>
        <v>24356</v>
      </c>
      <c r="Q67" s="450">
        <f t="shared" si="34"/>
        <v>811.86666666666667</v>
      </c>
      <c r="R67" s="451">
        <f t="shared" si="35"/>
        <v>23490</v>
      </c>
      <c r="S67" s="452">
        <f t="shared" si="36"/>
        <v>783</v>
      </c>
      <c r="T67" s="456">
        <v>3821</v>
      </c>
      <c r="U67" s="493">
        <v>3669</v>
      </c>
      <c r="V67" s="449">
        <f t="shared" si="37"/>
        <v>24356</v>
      </c>
      <c r="W67" s="448">
        <f t="shared" si="38"/>
        <v>23490</v>
      </c>
      <c r="X67" s="456"/>
      <c r="Y67" s="493"/>
      <c r="Z67" s="456"/>
      <c r="AA67" s="493"/>
      <c r="AB67" s="456"/>
      <c r="AC67" s="493"/>
      <c r="AD67" s="456"/>
      <c r="AE67" s="493"/>
      <c r="AF67" s="449">
        <f t="shared" si="39"/>
        <v>0</v>
      </c>
      <c r="AG67" s="450">
        <f t="shared" si="40"/>
        <v>0</v>
      </c>
      <c r="AH67" s="451">
        <f t="shared" si="41"/>
        <v>0</v>
      </c>
      <c r="AI67" s="451">
        <f t="shared" si="42"/>
        <v>0</v>
      </c>
      <c r="AJ67" s="456"/>
      <c r="AK67" s="493"/>
      <c r="AL67" s="449">
        <f t="shared" si="43"/>
        <v>0</v>
      </c>
      <c r="AM67" s="452">
        <f t="shared" si="44"/>
        <v>0</v>
      </c>
      <c r="AN67" s="456"/>
      <c r="AO67" s="493"/>
      <c r="AP67" s="456"/>
      <c r="AQ67" s="493"/>
      <c r="AR67" s="456"/>
      <c r="AS67" s="493"/>
      <c r="AT67" s="456"/>
      <c r="AU67" s="493"/>
      <c r="AV67" s="449">
        <f t="shared" si="45"/>
        <v>0</v>
      </c>
      <c r="AW67" s="453">
        <f t="shared" si="46"/>
        <v>0</v>
      </c>
      <c r="AX67" s="451">
        <f t="shared" si="47"/>
        <v>0</v>
      </c>
      <c r="AY67" s="454">
        <f t="shared" si="48"/>
        <v>0</v>
      </c>
      <c r="AZ67" s="455">
        <f t="shared" si="49"/>
        <v>811.86666666666667</v>
      </c>
      <c r="BA67" s="451">
        <f t="shared" si="50"/>
        <v>783</v>
      </c>
    </row>
    <row r="68" spans="1:53">
      <c r="A68" s="578" t="s">
        <v>238</v>
      </c>
      <c r="B68" s="583" t="s">
        <v>874</v>
      </c>
      <c r="C68" s="776"/>
      <c r="D68" s="582">
        <v>107460</v>
      </c>
      <c r="E68" s="582">
        <v>10</v>
      </c>
      <c r="F68" s="491" t="s">
        <v>41</v>
      </c>
      <c r="G68" s="160" t="s">
        <v>41</v>
      </c>
      <c r="H68" s="456"/>
      <c r="I68" s="493"/>
      <c r="J68" s="456">
        <v>21413</v>
      </c>
      <c r="K68" s="493">
        <v>19094</v>
      </c>
      <c r="L68" s="456">
        <v>2427</v>
      </c>
      <c r="M68" s="493">
        <v>2324</v>
      </c>
      <c r="N68" s="456">
        <v>21439</v>
      </c>
      <c r="O68" s="493">
        <v>19636</v>
      </c>
      <c r="P68" s="449">
        <f t="shared" si="33"/>
        <v>45279</v>
      </c>
      <c r="Q68" s="450">
        <f t="shared" si="34"/>
        <v>1509.3</v>
      </c>
      <c r="R68" s="451">
        <f t="shared" si="35"/>
        <v>41054</v>
      </c>
      <c r="S68" s="452">
        <f t="shared" si="36"/>
        <v>1368.4666666666667</v>
      </c>
      <c r="T68" s="456">
        <v>2490</v>
      </c>
      <c r="U68" s="493">
        <v>2529</v>
      </c>
      <c r="V68" s="449">
        <f t="shared" si="37"/>
        <v>45279</v>
      </c>
      <c r="W68" s="448">
        <f t="shared" si="38"/>
        <v>41054</v>
      </c>
      <c r="X68" s="456"/>
      <c r="Y68" s="493"/>
      <c r="Z68" s="456"/>
      <c r="AA68" s="493"/>
      <c r="AB68" s="456"/>
      <c r="AC68" s="493"/>
      <c r="AD68" s="456"/>
      <c r="AE68" s="493"/>
      <c r="AF68" s="449">
        <f t="shared" si="39"/>
        <v>0</v>
      </c>
      <c r="AG68" s="450">
        <f t="shared" si="40"/>
        <v>0</v>
      </c>
      <c r="AH68" s="451">
        <f t="shared" si="41"/>
        <v>0</v>
      </c>
      <c r="AI68" s="451">
        <f t="shared" si="42"/>
        <v>0</v>
      </c>
      <c r="AJ68" s="456"/>
      <c r="AK68" s="493"/>
      <c r="AL68" s="449">
        <f t="shared" si="43"/>
        <v>0</v>
      </c>
      <c r="AM68" s="452">
        <f t="shared" si="44"/>
        <v>0</v>
      </c>
      <c r="AN68" s="456"/>
      <c r="AO68" s="493"/>
      <c r="AP68" s="456"/>
      <c r="AQ68" s="493"/>
      <c r="AR68" s="456"/>
      <c r="AS68" s="493"/>
      <c r="AT68" s="456"/>
      <c r="AU68" s="493"/>
      <c r="AV68" s="449">
        <f t="shared" si="45"/>
        <v>0</v>
      </c>
      <c r="AW68" s="453">
        <f t="shared" si="46"/>
        <v>0</v>
      </c>
      <c r="AX68" s="451">
        <f t="shared" si="47"/>
        <v>0</v>
      </c>
      <c r="AY68" s="454">
        <f t="shared" si="48"/>
        <v>0</v>
      </c>
      <c r="AZ68" s="455">
        <f t="shared" si="49"/>
        <v>1509.3</v>
      </c>
      <c r="BA68" s="451">
        <f t="shared" si="50"/>
        <v>1368.4666666666667</v>
      </c>
    </row>
    <row r="69" spans="1:53">
      <c r="A69" s="578" t="s">
        <v>238</v>
      </c>
      <c r="B69" s="583" t="s">
        <v>875</v>
      </c>
      <c r="C69" s="776"/>
      <c r="D69" s="582">
        <v>107549</v>
      </c>
      <c r="E69" s="582">
        <v>10</v>
      </c>
      <c r="F69" s="491" t="s">
        <v>41</v>
      </c>
      <c r="G69" s="160" t="s">
        <v>41</v>
      </c>
      <c r="H69" s="456"/>
      <c r="I69" s="493"/>
      <c r="J69" s="456">
        <v>13498</v>
      </c>
      <c r="K69" s="493">
        <v>11959</v>
      </c>
      <c r="L69" s="456">
        <v>3020</v>
      </c>
      <c r="M69" s="493">
        <v>2572</v>
      </c>
      <c r="N69" s="456">
        <v>13358</v>
      </c>
      <c r="O69" s="493">
        <v>11257</v>
      </c>
      <c r="P69" s="449">
        <f t="shared" si="33"/>
        <v>29876</v>
      </c>
      <c r="Q69" s="450">
        <f t="shared" si="34"/>
        <v>995.86666666666667</v>
      </c>
      <c r="R69" s="451">
        <f t="shared" si="35"/>
        <v>25788</v>
      </c>
      <c r="S69" s="452">
        <f t="shared" si="36"/>
        <v>859.6</v>
      </c>
      <c r="T69" s="456">
        <v>2401</v>
      </c>
      <c r="U69" s="493">
        <v>2648</v>
      </c>
      <c r="V69" s="449">
        <f t="shared" si="37"/>
        <v>29876</v>
      </c>
      <c r="W69" s="448">
        <f t="shared" si="38"/>
        <v>25788</v>
      </c>
      <c r="X69" s="456"/>
      <c r="Y69" s="493"/>
      <c r="Z69" s="456"/>
      <c r="AA69" s="493"/>
      <c r="AB69" s="456"/>
      <c r="AC69" s="493"/>
      <c r="AD69" s="456"/>
      <c r="AE69" s="493"/>
      <c r="AF69" s="449">
        <f t="shared" si="39"/>
        <v>0</v>
      </c>
      <c r="AG69" s="450">
        <f t="shared" si="40"/>
        <v>0</v>
      </c>
      <c r="AH69" s="451">
        <f t="shared" si="41"/>
        <v>0</v>
      </c>
      <c r="AI69" s="451">
        <f t="shared" si="42"/>
        <v>0</v>
      </c>
      <c r="AJ69" s="456"/>
      <c r="AK69" s="493"/>
      <c r="AL69" s="449">
        <f t="shared" si="43"/>
        <v>0</v>
      </c>
      <c r="AM69" s="452">
        <f t="shared" si="44"/>
        <v>0</v>
      </c>
      <c r="AN69" s="456"/>
      <c r="AO69" s="493"/>
      <c r="AP69" s="456"/>
      <c r="AQ69" s="493"/>
      <c r="AR69" s="456"/>
      <c r="AS69" s="493"/>
      <c r="AT69" s="456"/>
      <c r="AU69" s="493"/>
      <c r="AV69" s="449">
        <f t="shared" si="45"/>
        <v>0</v>
      </c>
      <c r="AW69" s="453">
        <f t="shared" si="46"/>
        <v>0</v>
      </c>
      <c r="AX69" s="451">
        <f t="shared" si="47"/>
        <v>0</v>
      </c>
      <c r="AY69" s="454">
        <f t="shared" si="48"/>
        <v>0</v>
      </c>
      <c r="AZ69" s="455">
        <f t="shared" si="49"/>
        <v>995.86666666666667</v>
      </c>
      <c r="BA69" s="451">
        <f t="shared" si="50"/>
        <v>859.6</v>
      </c>
    </row>
    <row r="70" spans="1:53">
      <c r="A70" s="578" t="s">
        <v>238</v>
      </c>
      <c r="B70" s="583" t="s">
        <v>876</v>
      </c>
      <c r="C70" s="776"/>
      <c r="D70" s="582">
        <v>107619</v>
      </c>
      <c r="E70" s="582">
        <v>10</v>
      </c>
      <c r="F70" s="491" t="s">
        <v>41</v>
      </c>
      <c r="G70" s="160" t="s">
        <v>41</v>
      </c>
      <c r="H70" s="456"/>
      <c r="I70" s="493"/>
      <c r="J70" s="456">
        <v>14432</v>
      </c>
      <c r="K70" s="493">
        <v>12722</v>
      </c>
      <c r="L70" s="456">
        <v>2036</v>
      </c>
      <c r="M70" s="493">
        <v>1941</v>
      </c>
      <c r="N70" s="456">
        <v>14870</v>
      </c>
      <c r="O70" s="493">
        <v>13850</v>
      </c>
      <c r="P70" s="449">
        <f t="shared" si="33"/>
        <v>31338</v>
      </c>
      <c r="Q70" s="450">
        <f t="shared" si="34"/>
        <v>1044.5999999999999</v>
      </c>
      <c r="R70" s="451">
        <f t="shared" si="35"/>
        <v>28513</v>
      </c>
      <c r="S70" s="452">
        <f t="shared" si="36"/>
        <v>950.43333333333328</v>
      </c>
      <c r="T70" s="456">
        <v>7639</v>
      </c>
      <c r="U70" s="493">
        <v>7344</v>
      </c>
      <c r="V70" s="449">
        <f t="shared" si="37"/>
        <v>31338</v>
      </c>
      <c r="W70" s="448">
        <f t="shared" si="38"/>
        <v>28513</v>
      </c>
      <c r="X70" s="456"/>
      <c r="Y70" s="493"/>
      <c r="Z70" s="456"/>
      <c r="AA70" s="493"/>
      <c r="AB70" s="456"/>
      <c r="AC70" s="493"/>
      <c r="AD70" s="456"/>
      <c r="AE70" s="493"/>
      <c r="AF70" s="449">
        <f t="shared" si="39"/>
        <v>0</v>
      </c>
      <c r="AG70" s="450">
        <f t="shared" si="40"/>
        <v>0</v>
      </c>
      <c r="AH70" s="451">
        <f t="shared" si="41"/>
        <v>0</v>
      </c>
      <c r="AI70" s="451">
        <f t="shared" si="42"/>
        <v>0</v>
      </c>
      <c r="AJ70" s="456"/>
      <c r="AK70" s="493"/>
      <c r="AL70" s="449">
        <f t="shared" si="43"/>
        <v>0</v>
      </c>
      <c r="AM70" s="452">
        <f t="shared" si="44"/>
        <v>0</v>
      </c>
      <c r="AN70" s="456"/>
      <c r="AO70" s="493"/>
      <c r="AP70" s="456"/>
      <c r="AQ70" s="493"/>
      <c r="AR70" s="456"/>
      <c r="AS70" s="493"/>
      <c r="AT70" s="456"/>
      <c r="AU70" s="493"/>
      <c r="AV70" s="449">
        <f t="shared" si="45"/>
        <v>0</v>
      </c>
      <c r="AW70" s="453">
        <f t="shared" si="46"/>
        <v>0</v>
      </c>
      <c r="AX70" s="451">
        <f t="shared" si="47"/>
        <v>0</v>
      </c>
      <c r="AY70" s="454">
        <f t="shared" si="48"/>
        <v>0</v>
      </c>
      <c r="AZ70" s="455">
        <f t="shared" si="49"/>
        <v>1044.5999999999999</v>
      </c>
      <c r="BA70" s="451">
        <f t="shared" si="50"/>
        <v>950.43333333333328</v>
      </c>
    </row>
    <row r="71" spans="1:53">
      <c r="A71" s="578" t="s">
        <v>238</v>
      </c>
      <c r="B71" s="583" t="s">
        <v>877</v>
      </c>
      <c r="C71" s="776"/>
      <c r="D71" s="582">
        <v>107743</v>
      </c>
      <c r="E71" s="582">
        <v>10</v>
      </c>
      <c r="F71" s="491" t="s">
        <v>41</v>
      </c>
      <c r="G71" s="160" t="s">
        <v>41</v>
      </c>
      <c r="H71" s="456"/>
      <c r="I71" s="493"/>
      <c r="J71" s="456">
        <v>7873</v>
      </c>
      <c r="K71" s="493">
        <v>7084</v>
      </c>
      <c r="L71" s="456">
        <v>1626</v>
      </c>
      <c r="M71" s="493">
        <v>1390</v>
      </c>
      <c r="N71" s="456">
        <v>8389</v>
      </c>
      <c r="O71" s="493">
        <v>7943</v>
      </c>
      <c r="P71" s="449">
        <f t="shared" si="33"/>
        <v>17888</v>
      </c>
      <c r="Q71" s="450">
        <f t="shared" si="34"/>
        <v>596.26666666666665</v>
      </c>
      <c r="R71" s="451">
        <f t="shared" si="35"/>
        <v>16417</v>
      </c>
      <c r="S71" s="452">
        <f t="shared" si="36"/>
        <v>547.23333333333335</v>
      </c>
      <c r="T71" s="456">
        <v>2897</v>
      </c>
      <c r="U71" s="493">
        <v>2973</v>
      </c>
      <c r="V71" s="449">
        <f t="shared" si="37"/>
        <v>17888</v>
      </c>
      <c r="W71" s="448">
        <f t="shared" si="38"/>
        <v>16417</v>
      </c>
      <c r="X71" s="456"/>
      <c r="Y71" s="493"/>
      <c r="Z71" s="456"/>
      <c r="AA71" s="493"/>
      <c r="AB71" s="456"/>
      <c r="AC71" s="493"/>
      <c r="AD71" s="456"/>
      <c r="AE71" s="493"/>
      <c r="AF71" s="449">
        <f t="shared" si="39"/>
        <v>0</v>
      </c>
      <c r="AG71" s="450">
        <f t="shared" si="40"/>
        <v>0</v>
      </c>
      <c r="AH71" s="451">
        <f t="shared" si="41"/>
        <v>0</v>
      </c>
      <c r="AI71" s="451">
        <f t="shared" si="42"/>
        <v>0</v>
      </c>
      <c r="AJ71" s="456"/>
      <c r="AK71" s="493"/>
      <c r="AL71" s="449">
        <f t="shared" si="43"/>
        <v>0</v>
      </c>
      <c r="AM71" s="452">
        <f t="shared" si="44"/>
        <v>0</v>
      </c>
      <c r="AN71" s="456"/>
      <c r="AO71" s="493"/>
      <c r="AP71" s="456"/>
      <c r="AQ71" s="493"/>
      <c r="AR71" s="456"/>
      <c r="AS71" s="493"/>
      <c r="AT71" s="456"/>
      <c r="AU71" s="493"/>
      <c r="AV71" s="449">
        <f t="shared" si="45"/>
        <v>0</v>
      </c>
      <c r="AW71" s="453">
        <f t="shared" si="46"/>
        <v>0</v>
      </c>
      <c r="AX71" s="451">
        <f t="shared" si="47"/>
        <v>0</v>
      </c>
      <c r="AY71" s="454">
        <f t="shared" si="48"/>
        <v>0</v>
      </c>
      <c r="AZ71" s="455">
        <f t="shared" si="49"/>
        <v>596.26666666666665</v>
      </c>
      <c r="BA71" s="451">
        <f t="shared" si="50"/>
        <v>547.23333333333335</v>
      </c>
    </row>
    <row r="72" spans="1:53">
      <c r="A72" s="578" t="s">
        <v>238</v>
      </c>
      <c r="B72" s="583" t="s">
        <v>878</v>
      </c>
      <c r="C72" s="776"/>
      <c r="D72" s="582">
        <v>107974</v>
      </c>
      <c r="E72" s="582">
        <v>10</v>
      </c>
      <c r="F72" s="491" t="s">
        <v>41</v>
      </c>
      <c r="G72" s="160" t="s">
        <v>41</v>
      </c>
      <c r="H72" s="456"/>
      <c r="I72" s="493"/>
      <c r="J72" s="456">
        <v>16020</v>
      </c>
      <c r="K72" s="493">
        <v>14359</v>
      </c>
      <c r="L72" s="456">
        <v>4749</v>
      </c>
      <c r="M72" s="493">
        <v>5007</v>
      </c>
      <c r="N72" s="456">
        <v>16017</v>
      </c>
      <c r="O72" s="493">
        <v>14458</v>
      </c>
      <c r="P72" s="449">
        <f t="shared" ref="P72:P135" si="51">SUM(H72,J72,L72,N72)</f>
        <v>36786</v>
      </c>
      <c r="Q72" s="450">
        <f t="shared" ref="Q72:Q135" si="52">+P72/30</f>
        <v>1226.2</v>
      </c>
      <c r="R72" s="451">
        <f t="shared" ref="R72:R135" si="53">SUM(I72,K72,M72,O72)</f>
        <v>33824</v>
      </c>
      <c r="S72" s="452">
        <f t="shared" ref="S72:S135" si="54">+R72/30</f>
        <v>1127.4666666666667</v>
      </c>
      <c r="T72" s="456">
        <v>2682</v>
      </c>
      <c r="U72" s="493">
        <v>2742</v>
      </c>
      <c r="V72" s="449">
        <f t="shared" ref="V72:V135" si="55">IF(ISBLANK(T72),0,P72)</f>
        <v>36786</v>
      </c>
      <c r="W72" s="448">
        <f t="shared" ref="W72:W135" si="56">IF(ISBLANK(U72),0,R72)</f>
        <v>33824</v>
      </c>
      <c r="X72" s="456"/>
      <c r="Y72" s="493"/>
      <c r="Z72" s="456"/>
      <c r="AA72" s="493"/>
      <c r="AB72" s="456"/>
      <c r="AC72" s="493"/>
      <c r="AD72" s="456"/>
      <c r="AE72" s="493"/>
      <c r="AF72" s="449">
        <f t="shared" ref="AF72:AF135" si="57">SUM(X72,Z72,AB72,AD72)</f>
        <v>0</v>
      </c>
      <c r="AG72" s="450">
        <f t="shared" ref="AG72:AG135" si="58">+AF72/900</f>
        <v>0</v>
      </c>
      <c r="AH72" s="451">
        <f t="shared" ref="AH72:AH135" si="59">SUM(Y72,AA72,AC72,AE72)</f>
        <v>0</v>
      </c>
      <c r="AI72" s="451">
        <f t="shared" ref="AI72:AI135" si="60">+AH72/900</f>
        <v>0</v>
      </c>
      <c r="AJ72" s="456"/>
      <c r="AK72" s="493"/>
      <c r="AL72" s="449">
        <f t="shared" ref="AL72:AL135" si="61">IF(ISBLANK(AJ72),0,AF72)</f>
        <v>0</v>
      </c>
      <c r="AM72" s="452">
        <f t="shared" ref="AM72:AM135" si="62">IF(ISBLANK(AK72),0,AH72)</f>
        <v>0</v>
      </c>
      <c r="AN72" s="456"/>
      <c r="AO72" s="493"/>
      <c r="AP72" s="456"/>
      <c r="AQ72" s="493"/>
      <c r="AR72" s="456"/>
      <c r="AS72" s="493"/>
      <c r="AT72" s="456"/>
      <c r="AU72" s="493"/>
      <c r="AV72" s="449">
        <f t="shared" ref="AV72:AV135" si="63">SUM(AN72,AP72,AR72,AT72)</f>
        <v>0</v>
      </c>
      <c r="AW72" s="453">
        <f t="shared" ref="AW72:AW135" si="64">+AV72/24</f>
        <v>0</v>
      </c>
      <c r="AX72" s="451">
        <f t="shared" ref="AX72:AX135" si="65">SUM(AO72,AQ72,AS72,AU72)</f>
        <v>0</v>
      </c>
      <c r="AY72" s="454">
        <f t="shared" ref="AY72:AY135" si="66">+AX72/24</f>
        <v>0</v>
      </c>
      <c r="AZ72" s="455">
        <f t="shared" ref="AZ72:AZ135" si="67">SUM(Q72,AG72,AW72)</f>
        <v>1226.2</v>
      </c>
      <c r="BA72" s="451">
        <f t="shared" ref="BA72:BA135" si="68">SUM(S72,AI72,AY72)</f>
        <v>1127.4666666666667</v>
      </c>
    </row>
    <row r="73" spans="1:53">
      <c r="A73" s="578" t="s">
        <v>238</v>
      </c>
      <c r="B73" s="583" t="s">
        <v>879</v>
      </c>
      <c r="C73" s="776"/>
      <c r="D73" s="582">
        <v>107637</v>
      </c>
      <c r="E73" s="582">
        <v>10</v>
      </c>
      <c r="F73" s="491" t="s">
        <v>41</v>
      </c>
      <c r="G73" s="160" t="s">
        <v>41</v>
      </c>
      <c r="H73" s="456"/>
      <c r="I73" s="493"/>
      <c r="J73" s="456">
        <v>15635</v>
      </c>
      <c r="K73" s="493">
        <v>13275</v>
      </c>
      <c r="L73" s="456">
        <v>3526</v>
      </c>
      <c r="M73" s="493">
        <v>3755</v>
      </c>
      <c r="N73" s="456">
        <v>14463</v>
      </c>
      <c r="O73" s="493">
        <v>14298</v>
      </c>
      <c r="P73" s="449">
        <f t="shared" si="51"/>
        <v>33624</v>
      </c>
      <c r="Q73" s="450">
        <f t="shared" si="52"/>
        <v>1120.8</v>
      </c>
      <c r="R73" s="451">
        <f t="shared" si="53"/>
        <v>31328</v>
      </c>
      <c r="S73" s="452">
        <f t="shared" si="54"/>
        <v>1044.2666666666667</v>
      </c>
      <c r="T73" s="456">
        <v>716</v>
      </c>
      <c r="U73" s="493">
        <v>814</v>
      </c>
      <c r="V73" s="449">
        <f t="shared" si="55"/>
        <v>33624</v>
      </c>
      <c r="W73" s="448">
        <f t="shared" si="56"/>
        <v>31328</v>
      </c>
      <c r="X73" s="456"/>
      <c r="Y73" s="493"/>
      <c r="Z73" s="456"/>
      <c r="AA73" s="493"/>
      <c r="AB73" s="456"/>
      <c r="AC73" s="493"/>
      <c r="AD73" s="456"/>
      <c r="AE73" s="493"/>
      <c r="AF73" s="449">
        <f t="shared" si="57"/>
        <v>0</v>
      </c>
      <c r="AG73" s="450">
        <f t="shared" si="58"/>
        <v>0</v>
      </c>
      <c r="AH73" s="451">
        <f t="shared" si="59"/>
        <v>0</v>
      </c>
      <c r="AI73" s="451">
        <f t="shared" si="60"/>
        <v>0</v>
      </c>
      <c r="AJ73" s="456"/>
      <c r="AK73" s="493"/>
      <c r="AL73" s="449">
        <f t="shared" si="61"/>
        <v>0</v>
      </c>
      <c r="AM73" s="452">
        <f t="shared" si="62"/>
        <v>0</v>
      </c>
      <c r="AN73" s="456"/>
      <c r="AO73" s="493"/>
      <c r="AP73" s="456"/>
      <c r="AQ73" s="493"/>
      <c r="AR73" s="456"/>
      <c r="AS73" s="493"/>
      <c r="AT73" s="456"/>
      <c r="AU73" s="493"/>
      <c r="AV73" s="449">
        <f t="shared" si="63"/>
        <v>0</v>
      </c>
      <c r="AW73" s="453">
        <f t="shared" si="64"/>
        <v>0</v>
      </c>
      <c r="AX73" s="451">
        <f t="shared" si="65"/>
        <v>0</v>
      </c>
      <c r="AY73" s="454">
        <f t="shared" si="66"/>
        <v>0</v>
      </c>
      <c r="AZ73" s="455">
        <f t="shared" si="67"/>
        <v>1120.8</v>
      </c>
      <c r="BA73" s="451">
        <f t="shared" si="68"/>
        <v>1044.2666666666667</v>
      </c>
    </row>
    <row r="74" spans="1:53">
      <c r="A74" s="578" t="s">
        <v>238</v>
      </c>
      <c r="B74" s="583" t="s">
        <v>880</v>
      </c>
      <c r="C74" s="776"/>
      <c r="D74" s="582">
        <v>107992</v>
      </c>
      <c r="E74" s="582">
        <v>10</v>
      </c>
      <c r="F74" s="491" t="s">
        <v>41</v>
      </c>
      <c r="G74" s="160" t="s">
        <v>41</v>
      </c>
      <c r="H74" s="456"/>
      <c r="I74" s="493"/>
      <c r="J74" s="456">
        <v>19098</v>
      </c>
      <c r="K74" s="493">
        <v>15991</v>
      </c>
      <c r="L74" s="456">
        <v>4304</v>
      </c>
      <c r="M74" s="493">
        <v>4977</v>
      </c>
      <c r="N74" s="456">
        <v>13171</v>
      </c>
      <c r="O74" s="493">
        <v>13000</v>
      </c>
      <c r="P74" s="449">
        <f t="shared" si="51"/>
        <v>36573</v>
      </c>
      <c r="Q74" s="450">
        <f t="shared" si="52"/>
        <v>1219.0999999999999</v>
      </c>
      <c r="R74" s="451">
        <f t="shared" si="53"/>
        <v>33968</v>
      </c>
      <c r="S74" s="452">
        <f t="shared" si="54"/>
        <v>1132.2666666666667</v>
      </c>
      <c r="T74" s="456">
        <v>9473</v>
      </c>
      <c r="U74" s="493">
        <v>9741</v>
      </c>
      <c r="V74" s="449">
        <f t="shared" si="55"/>
        <v>36573</v>
      </c>
      <c r="W74" s="448">
        <f t="shared" si="56"/>
        <v>33968</v>
      </c>
      <c r="X74" s="456"/>
      <c r="Y74" s="493"/>
      <c r="Z74" s="456"/>
      <c r="AA74" s="493"/>
      <c r="AB74" s="456"/>
      <c r="AC74" s="493"/>
      <c r="AD74" s="456"/>
      <c r="AE74" s="493"/>
      <c r="AF74" s="449">
        <f t="shared" si="57"/>
        <v>0</v>
      </c>
      <c r="AG74" s="450">
        <f t="shared" si="58"/>
        <v>0</v>
      </c>
      <c r="AH74" s="451">
        <f t="shared" si="59"/>
        <v>0</v>
      </c>
      <c r="AI74" s="451">
        <f t="shared" si="60"/>
        <v>0</v>
      </c>
      <c r="AJ74" s="456"/>
      <c r="AK74" s="493"/>
      <c r="AL74" s="449">
        <f t="shared" si="61"/>
        <v>0</v>
      </c>
      <c r="AM74" s="452">
        <f t="shared" si="62"/>
        <v>0</v>
      </c>
      <c r="AN74" s="456"/>
      <c r="AO74" s="493"/>
      <c r="AP74" s="456"/>
      <c r="AQ74" s="493"/>
      <c r="AR74" s="456"/>
      <c r="AS74" s="493"/>
      <c r="AT74" s="456"/>
      <c r="AU74" s="493"/>
      <c r="AV74" s="449">
        <f t="shared" si="63"/>
        <v>0</v>
      </c>
      <c r="AW74" s="453">
        <f t="shared" si="64"/>
        <v>0</v>
      </c>
      <c r="AX74" s="451">
        <f t="shared" si="65"/>
        <v>0</v>
      </c>
      <c r="AY74" s="454">
        <f t="shared" si="66"/>
        <v>0</v>
      </c>
      <c r="AZ74" s="455">
        <f t="shared" si="67"/>
        <v>1219.0999999999999</v>
      </c>
      <c r="BA74" s="451">
        <f t="shared" si="68"/>
        <v>1132.2666666666667</v>
      </c>
    </row>
    <row r="75" spans="1:53">
      <c r="A75" s="578" t="s">
        <v>238</v>
      </c>
      <c r="B75" s="583" t="s">
        <v>881</v>
      </c>
      <c r="C75" s="776"/>
      <c r="D75" s="582">
        <v>106999</v>
      </c>
      <c r="E75" s="582">
        <v>10</v>
      </c>
      <c r="F75" s="491" t="s">
        <v>41</v>
      </c>
      <c r="G75" s="160" t="s">
        <v>41</v>
      </c>
      <c r="H75" s="456"/>
      <c r="I75" s="493"/>
      <c r="J75" s="456">
        <v>12175</v>
      </c>
      <c r="K75" s="493">
        <v>12008</v>
      </c>
      <c r="L75" s="456">
        <v>2644</v>
      </c>
      <c r="M75" s="493">
        <v>2471</v>
      </c>
      <c r="N75" s="456">
        <v>13757</v>
      </c>
      <c r="O75" s="493">
        <v>14299</v>
      </c>
      <c r="P75" s="449">
        <f t="shared" si="51"/>
        <v>28576</v>
      </c>
      <c r="Q75" s="450">
        <f t="shared" si="52"/>
        <v>952.5333333333333</v>
      </c>
      <c r="R75" s="451">
        <f t="shared" si="53"/>
        <v>28778</v>
      </c>
      <c r="S75" s="452">
        <f t="shared" si="54"/>
        <v>959.26666666666665</v>
      </c>
      <c r="T75" s="456">
        <v>1537</v>
      </c>
      <c r="U75" s="493">
        <v>2226</v>
      </c>
      <c r="V75" s="449">
        <f t="shared" si="55"/>
        <v>28576</v>
      </c>
      <c r="W75" s="448">
        <f t="shared" si="56"/>
        <v>28778</v>
      </c>
      <c r="X75" s="456"/>
      <c r="Y75" s="493"/>
      <c r="Z75" s="456"/>
      <c r="AA75" s="493"/>
      <c r="AB75" s="456"/>
      <c r="AC75" s="493"/>
      <c r="AD75" s="456"/>
      <c r="AE75" s="493"/>
      <c r="AF75" s="449">
        <f t="shared" si="57"/>
        <v>0</v>
      </c>
      <c r="AG75" s="450">
        <f t="shared" si="58"/>
        <v>0</v>
      </c>
      <c r="AH75" s="451">
        <f t="shared" si="59"/>
        <v>0</v>
      </c>
      <c r="AI75" s="451">
        <f t="shared" si="60"/>
        <v>0</v>
      </c>
      <c r="AJ75" s="456"/>
      <c r="AK75" s="493"/>
      <c r="AL75" s="449">
        <f t="shared" si="61"/>
        <v>0</v>
      </c>
      <c r="AM75" s="452">
        <f t="shared" si="62"/>
        <v>0</v>
      </c>
      <c r="AN75" s="456"/>
      <c r="AO75" s="493"/>
      <c r="AP75" s="456"/>
      <c r="AQ75" s="493"/>
      <c r="AR75" s="456"/>
      <c r="AS75" s="493"/>
      <c r="AT75" s="456"/>
      <c r="AU75" s="493"/>
      <c r="AV75" s="449">
        <f t="shared" si="63"/>
        <v>0</v>
      </c>
      <c r="AW75" s="453">
        <f t="shared" si="64"/>
        <v>0</v>
      </c>
      <c r="AX75" s="451">
        <f t="shared" si="65"/>
        <v>0</v>
      </c>
      <c r="AY75" s="454">
        <f t="shared" si="66"/>
        <v>0</v>
      </c>
      <c r="AZ75" s="455">
        <f t="shared" si="67"/>
        <v>952.5333333333333</v>
      </c>
      <c r="BA75" s="451">
        <f t="shared" si="68"/>
        <v>959.26666666666665</v>
      </c>
    </row>
    <row r="76" spans="1:53">
      <c r="A76" s="578" t="s">
        <v>238</v>
      </c>
      <c r="B76" s="583" t="s">
        <v>882</v>
      </c>
      <c r="C76" s="776"/>
      <c r="D76" s="582">
        <v>107725</v>
      </c>
      <c r="E76" s="582">
        <v>10</v>
      </c>
      <c r="F76" s="491" t="s">
        <v>41</v>
      </c>
      <c r="G76" s="160" t="s">
        <v>41</v>
      </c>
      <c r="H76" s="456"/>
      <c r="I76" s="493"/>
      <c r="J76" s="456">
        <v>13275</v>
      </c>
      <c r="K76" s="493">
        <v>11897</v>
      </c>
      <c r="L76" s="456">
        <v>1890</v>
      </c>
      <c r="M76" s="493">
        <v>2150</v>
      </c>
      <c r="N76" s="456">
        <v>13359</v>
      </c>
      <c r="O76" s="493">
        <v>13359</v>
      </c>
      <c r="P76" s="449">
        <f t="shared" si="51"/>
        <v>28524</v>
      </c>
      <c r="Q76" s="450">
        <f t="shared" si="52"/>
        <v>950.8</v>
      </c>
      <c r="R76" s="451">
        <f t="shared" si="53"/>
        <v>27406</v>
      </c>
      <c r="S76" s="452">
        <f t="shared" si="54"/>
        <v>913.5333333333333</v>
      </c>
      <c r="T76" s="456">
        <v>2499</v>
      </c>
      <c r="U76" s="493">
        <v>2830</v>
      </c>
      <c r="V76" s="449">
        <f t="shared" si="55"/>
        <v>28524</v>
      </c>
      <c r="W76" s="448">
        <f t="shared" si="56"/>
        <v>27406</v>
      </c>
      <c r="X76" s="456"/>
      <c r="Y76" s="493"/>
      <c r="Z76" s="456"/>
      <c r="AA76" s="493"/>
      <c r="AB76" s="456"/>
      <c r="AC76" s="493"/>
      <c r="AD76" s="456"/>
      <c r="AE76" s="493"/>
      <c r="AF76" s="449">
        <f t="shared" si="57"/>
        <v>0</v>
      </c>
      <c r="AG76" s="450">
        <f t="shared" si="58"/>
        <v>0</v>
      </c>
      <c r="AH76" s="451">
        <f t="shared" si="59"/>
        <v>0</v>
      </c>
      <c r="AI76" s="451">
        <f t="shared" si="60"/>
        <v>0</v>
      </c>
      <c r="AJ76" s="456"/>
      <c r="AK76" s="493"/>
      <c r="AL76" s="449">
        <f t="shared" si="61"/>
        <v>0</v>
      </c>
      <c r="AM76" s="452">
        <f t="shared" si="62"/>
        <v>0</v>
      </c>
      <c r="AN76" s="456"/>
      <c r="AO76" s="493"/>
      <c r="AP76" s="456"/>
      <c r="AQ76" s="493"/>
      <c r="AR76" s="456"/>
      <c r="AS76" s="493"/>
      <c r="AT76" s="456"/>
      <c r="AU76" s="493"/>
      <c r="AV76" s="449">
        <f t="shared" si="63"/>
        <v>0</v>
      </c>
      <c r="AW76" s="453">
        <f t="shared" si="64"/>
        <v>0</v>
      </c>
      <c r="AX76" s="451">
        <f t="shared" si="65"/>
        <v>0</v>
      </c>
      <c r="AY76" s="454">
        <f t="shared" si="66"/>
        <v>0</v>
      </c>
      <c r="AZ76" s="455">
        <f t="shared" si="67"/>
        <v>950.8</v>
      </c>
      <c r="BA76" s="451">
        <f t="shared" si="68"/>
        <v>913.5333333333333</v>
      </c>
    </row>
    <row r="77" spans="1:53">
      <c r="A77" s="578" t="s">
        <v>238</v>
      </c>
      <c r="B77" s="583" t="s">
        <v>883</v>
      </c>
      <c r="C77" s="776"/>
      <c r="D77" s="582">
        <v>107585</v>
      </c>
      <c r="E77" s="582">
        <v>10</v>
      </c>
      <c r="F77" s="491" t="s">
        <v>41</v>
      </c>
      <c r="G77" s="160" t="s">
        <v>41</v>
      </c>
      <c r="H77" s="456"/>
      <c r="I77" s="493"/>
      <c r="J77" s="456">
        <v>21550</v>
      </c>
      <c r="K77" s="493">
        <v>19624</v>
      </c>
      <c r="L77" s="456">
        <v>3971</v>
      </c>
      <c r="M77" s="493">
        <v>3565</v>
      </c>
      <c r="N77" s="456">
        <v>22450</v>
      </c>
      <c r="O77" s="493">
        <v>23090</v>
      </c>
      <c r="P77" s="449">
        <f t="shared" si="51"/>
        <v>47971</v>
      </c>
      <c r="Q77" s="450">
        <f t="shared" si="52"/>
        <v>1599.0333333333333</v>
      </c>
      <c r="R77" s="451">
        <f t="shared" si="53"/>
        <v>46279</v>
      </c>
      <c r="S77" s="452">
        <f t="shared" si="54"/>
        <v>1542.6333333333334</v>
      </c>
      <c r="T77" s="456">
        <v>1055</v>
      </c>
      <c r="U77" s="493">
        <v>1033</v>
      </c>
      <c r="V77" s="449">
        <f t="shared" si="55"/>
        <v>47971</v>
      </c>
      <c r="W77" s="448">
        <f t="shared" si="56"/>
        <v>46279</v>
      </c>
      <c r="X77" s="456"/>
      <c r="Y77" s="493"/>
      <c r="Z77" s="456"/>
      <c r="AA77" s="493"/>
      <c r="AB77" s="456"/>
      <c r="AC77" s="493"/>
      <c r="AD77" s="456"/>
      <c r="AE77" s="493"/>
      <c r="AF77" s="449">
        <f t="shared" si="57"/>
        <v>0</v>
      </c>
      <c r="AG77" s="450">
        <f t="shared" si="58"/>
        <v>0</v>
      </c>
      <c r="AH77" s="451">
        <f t="shared" si="59"/>
        <v>0</v>
      </c>
      <c r="AI77" s="451">
        <f t="shared" si="60"/>
        <v>0</v>
      </c>
      <c r="AJ77" s="456"/>
      <c r="AK77" s="493"/>
      <c r="AL77" s="449">
        <f t="shared" si="61"/>
        <v>0</v>
      </c>
      <c r="AM77" s="452">
        <f t="shared" si="62"/>
        <v>0</v>
      </c>
      <c r="AN77" s="456"/>
      <c r="AO77" s="493"/>
      <c r="AP77" s="456"/>
      <c r="AQ77" s="493"/>
      <c r="AR77" s="456"/>
      <c r="AS77" s="493"/>
      <c r="AT77" s="456"/>
      <c r="AU77" s="493"/>
      <c r="AV77" s="449">
        <f t="shared" si="63"/>
        <v>0</v>
      </c>
      <c r="AW77" s="453">
        <f t="shared" si="64"/>
        <v>0</v>
      </c>
      <c r="AX77" s="451">
        <f t="shared" si="65"/>
        <v>0</v>
      </c>
      <c r="AY77" s="454">
        <f t="shared" si="66"/>
        <v>0</v>
      </c>
      <c r="AZ77" s="455">
        <f t="shared" si="67"/>
        <v>1599.0333333333333</v>
      </c>
      <c r="BA77" s="451">
        <f t="shared" si="68"/>
        <v>1542.6333333333334</v>
      </c>
    </row>
    <row r="78" spans="1:53">
      <c r="A78" s="608" t="s">
        <v>246</v>
      </c>
      <c r="B78" s="807" t="s">
        <v>931</v>
      </c>
      <c r="C78" s="808"/>
      <c r="D78" s="608">
        <v>130943</v>
      </c>
      <c r="E78" s="608">
        <v>1</v>
      </c>
      <c r="F78" s="491" t="s">
        <v>41</v>
      </c>
      <c r="G78" s="492"/>
      <c r="H78" s="456">
        <v>31286</v>
      </c>
      <c r="I78" s="493">
        <v>32196</v>
      </c>
      <c r="J78" s="456">
        <v>242880</v>
      </c>
      <c r="K78" s="493">
        <v>251621</v>
      </c>
      <c r="L78" s="456">
        <v>9953</v>
      </c>
      <c r="M78" s="493">
        <v>12918</v>
      </c>
      <c r="N78" s="456">
        <v>269452</v>
      </c>
      <c r="O78" s="493">
        <v>270598</v>
      </c>
      <c r="P78" s="449">
        <f t="shared" si="51"/>
        <v>553571</v>
      </c>
      <c r="Q78" s="450">
        <f t="shared" si="52"/>
        <v>18452.366666666665</v>
      </c>
      <c r="R78" s="451">
        <f t="shared" si="53"/>
        <v>567333</v>
      </c>
      <c r="S78" s="452">
        <f t="shared" si="54"/>
        <v>18911.099999999999</v>
      </c>
      <c r="T78" s="456"/>
      <c r="U78" s="493"/>
      <c r="V78" s="449">
        <f t="shared" si="55"/>
        <v>0</v>
      </c>
      <c r="W78" s="448">
        <f t="shared" si="56"/>
        <v>0</v>
      </c>
      <c r="X78" s="456"/>
      <c r="Y78" s="493"/>
      <c r="Z78" s="456"/>
      <c r="AA78" s="493"/>
      <c r="AB78" s="456"/>
      <c r="AC78" s="493"/>
      <c r="AD78" s="456"/>
      <c r="AE78" s="493"/>
      <c r="AF78" s="449">
        <f t="shared" si="57"/>
        <v>0</v>
      </c>
      <c r="AG78" s="450">
        <f t="shared" si="58"/>
        <v>0</v>
      </c>
      <c r="AH78" s="451">
        <f t="shared" si="59"/>
        <v>0</v>
      </c>
      <c r="AI78" s="451">
        <f t="shared" si="60"/>
        <v>0</v>
      </c>
      <c r="AJ78" s="456"/>
      <c r="AK78" s="493"/>
      <c r="AL78" s="449">
        <f t="shared" si="61"/>
        <v>0</v>
      </c>
      <c r="AM78" s="452">
        <f t="shared" si="62"/>
        <v>0</v>
      </c>
      <c r="AN78" s="456">
        <v>1562</v>
      </c>
      <c r="AO78" s="493">
        <v>1769</v>
      </c>
      <c r="AP78" s="456">
        <v>21244</v>
      </c>
      <c r="AQ78" s="493">
        <v>21892</v>
      </c>
      <c r="AR78" s="456">
        <v>2533</v>
      </c>
      <c r="AS78" s="493">
        <v>5261</v>
      </c>
      <c r="AT78" s="456">
        <v>22906</v>
      </c>
      <c r="AU78" s="493">
        <v>25185</v>
      </c>
      <c r="AV78" s="449">
        <f t="shared" si="63"/>
        <v>48245</v>
      </c>
      <c r="AW78" s="453">
        <f t="shared" si="64"/>
        <v>2010.2083333333333</v>
      </c>
      <c r="AX78" s="451">
        <f t="shared" si="65"/>
        <v>54107</v>
      </c>
      <c r="AY78" s="454">
        <f t="shared" si="66"/>
        <v>2254.4583333333335</v>
      </c>
      <c r="AZ78" s="455">
        <f t="shared" si="67"/>
        <v>20462.574999999997</v>
      </c>
      <c r="BA78" s="451">
        <f t="shared" si="68"/>
        <v>21165.558333333331</v>
      </c>
    </row>
    <row r="79" spans="1:53">
      <c r="A79" s="608" t="s">
        <v>246</v>
      </c>
      <c r="B79" s="809" t="s">
        <v>932</v>
      </c>
      <c r="C79" s="810"/>
      <c r="D79" s="608">
        <v>130934</v>
      </c>
      <c r="E79" s="604">
        <v>3</v>
      </c>
      <c r="F79" s="491" t="s">
        <v>41</v>
      </c>
      <c r="G79" s="492"/>
      <c r="H79" s="456"/>
      <c r="I79" s="493"/>
      <c r="J79" s="456">
        <v>52239</v>
      </c>
      <c r="K79" s="493">
        <v>54611</v>
      </c>
      <c r="L79" s="456">
        <v>6119</v>
      </c>
      <c r="M79" s="493">
        <v>7146</v>
      </c>
      <c r="N79" s="456">
        <v>57216</v>
      </c>
      <c r="O79" s="493">
        <v>60195</v>
      </c>
      <c r="P79" s="449">
        <f t="shared" si="51"/>
        <v>115574</v>
      </c>
      <c r="Q79" s="450">
        <f t="shared" si="52"/>
        <v>3852.4666666666667</v>
      </c>
      <c r="R79" s="451">
        <f t="shared" si="53"/>
        <v>121952</v>
      </c>
      <c r="S79" s="452">
        <f t="shared" si="54"/>
        <v>4065.0666666666666</v>
      </c>
      <c r="T79" s="456"/>
      <c r="U79" s="493"/>
      <c r="V79" s="449">
        <f t="shared" si="55"/>
        <v>0</v>
      </c>
      <c r="W79" s="448">
        <f t="shared" si="56"/>
        <v>0</v>
      </c>
      <c r="X79" s="456"/>
      <c r="Y79" s="493"/>
      <c r="Z79" s="456"/>
      <c r="AA79" s="493"/>
      <c r="AB79" s="456"/>
      <c r="AC79" s="493"/>
      <c r="AD79" s="456"/>
      <c r="AE79" s="493"/>
      <c r="AF79" s="449">
        <f t="shared" si="57"/>
        <v>0</v>
      </c>
      <c r="AG79" s="450">
        <f t="shared" si="58"/>
        <v>0</v>
      </c>
      <c r="AH79" s="451">
        <f t="shared" si="59"/>
        <v>0</v>
      </c>
      <c r="AI79" s="451">
        <f t="shared" si="60"/>
        <v>0</v>
      </c>
      <c r="AJ79" s="456"/>
      <c r="AK79" s="493"/>
      <c r="AL79" s="449">
        <f t="shared" si="61"/>
        <v>0</v>
      </c>
      <c r="AM79" s="452">
        <f t="shared" si="62"/>
        <v>0</v>
      </c>
      <c r="AN79" s="456"/>
      <c r="AO79" s="493"/>
      <c r="AP79" s="456">
        <v>2735</v>
      </c>
      <c r="AQ79" s="493">
        <v>2394</v>
      </c>
      <c r="AR79" s="456">
        <v>609</v>
      </c>
      <c r="AS79" s="493">
        <v>461</v>
      </c>
      <c r="AT79" s="456">
        <v>2649</v>
      </c>
      <c r="AU79" s="493">
        <v>2622</v>
      </c>
      <c r="AV79" s="449">
        <f t="shared" si="63"/>
        <v>5993</v>
      </c>
      <c r="AW79" s="453">
        <f t="shared" si="64"/>
        <v>249.70833333333334</v>
      </c>
      <c r="AX79" s="451">
        <f t="shared" si="65"/>
        <v>5477</v>
      </c>
      <c r="AY79" s="454">
        <f t="shared" si="66"/>
        <v>228.20833333333334</v>
      </c>
      <c r="AZ79" s="455">
        <f t="shared" si="67"/>
        <v>4102.1750000000002</v>
      </c>
      <c r="BA79" s="451">
        <f t="shared" si="68"/>
        <v>4293.2749999999996</v>
      </c>
    </row>
    <row r="80" spans="1:53">
      <c r="A80" s="608" t="s">
        <v>246</v>
      </c>
      <c r="B80" s="811" t="s">
        <v>933</v>
      </c>
      <c r="C80" s="812" t="s">
        <v>934</v>
      </c>
      <c r="D80" s="608">
        <v>130907</v>
      </c>
      <c r="E80" s="608">
        <v>9</v>
      </c>
      <c r="F80" s="491" t="s">
        <v>41</v>
      </c>
      <c r="G80" s="492"/>
      <c r="H80" s="456"/>
      <c r="I80" s="493"/>
      <c r="J80" s="537">
        <v>130801</v>
      </c>
      <c r="K80" s="562">
        <v>116621</v>
      </c>
      <c r="L80" s="537">
        <v>29157</v>
      </c>
      <c r="M80" s="562">
        <v>30852</v>
      </c>
      <c r="N80" s="537">
        <v>137450</v>
      </c>
      <c r="O80" s="562">
        <v>125587</v>
      </c>
      <c r="P80" s="449">
        <f t="shared" si="51"/>
        <v>297408</v>
      </c>
      <c r="Q80" s="450">
        <f t="shared" si="52"/>
        <v>9913.6</v>
      </c>
      <c r="R80" s="451">
        <f t="shared" si="53"/>
        <v>273060</v>
      </c>
      <c r="S80" s="452">
        <f t="shared" si="54"/>
        <v>9102</v>
      </c>
      <c r="T80" s="456"/>
      <c r="U80" s="493"/>
      <c r="V80" s="449">
        <f t="shared" si="55"/>
        <v>0</v>
      </c>
      <c r="W80" s="448">
        <f t="shared" si="56"/>
        <v>0</v>
      </c>
      <c r="X80" s="456"/>
      <c r="Y80" s="493"/>
      <c r="Z80" s="456"/>
      <c r="AA80" s="493"/>
      <c r="AB80" s="456"/>
      <c r="AC80" s="493"/>
      <c r="AD80" s="456"/>
      <c r="AE80" s="493"/>
      <c r="AF80" s="449">
        <f t="shared" si="57"/>
        <v>0</v>
      </c>
      <c r="AG80" s="450">
        <f t="shared" si="58"/>
        <v>0</v>
      </c>
      <c r="AH80" s="451">
        <f t="shared" si="59"/>
        <v>0</v>
      </c>
      <c r="AI80" s="451">
        <f t="shared" si="60"/>
        <v>0</v>
      </c>
      <c r="AJ80" s="456"/>
      <c r="AK80" s="493"/>
      <c r="AL80" s="449">
        <f t="shared" si="61"/>
        <v>0</v>
      </c>
      <c r="AM80" s="452">
        <f t="shared" si="62"/>
        <v>0</v>
      </c>
      <c r="AN80" s="456"/>
      <c r="AO80" s="493"/>
      <c r="AP80" s="456"/>
      <c r="AQ80" s="493"/>
      <c r="AR80" s="456"/>
      <c r="AS80" s="493"/>
      <c r="AT80" s="456"/>
      <c r="AU80" s="493"/>
      <c r="AV80" s="449">
        <f t="shared" si="63"/>
        <v>0</v>
      </c>
      <c r="AW80" s="453">
        <f t="shared" si="64"/>
        <v>0</v>
      </c>
      <c r="AX80" s="451">
        <f t="shared" si="65"/>
        <v>0</v>
      </c>
      <c r="AY80" s="454">
        <f t="shared" si="66"/>
        <v>0</v>
      </c>
      <c r="AZ80" s="455">
        <f t="shared" si="67"/>
        <v>9913.6</v>
      </c>
      <c r="BA80" s="451">
        <f t="shared" si="68"/>
        <v>9102</v>
      </c>
    </row>
    <row r="81" spans="1:53" ht="15">
      <c r="A81" s="597" t="s">
        <v>245</v>
      </c>
      <c r="B81" s="595" t="s">
        <v>685</v>
      </c>
      <c r="C81" s="710"/>
      <c r="D81" s="707">
        <v>133669</v>
      </c>
      <c r="E81" s="712">
        <v>1</v>
      </c>
      <c r="F81" s="491" t="s">
        <v>41</v>
      </c>
      <c r="G81" s="492" t="s">
        <v>41</v>
      </c>
      <c r="H81" s="456"/>
      <c r="I81" s="708"/>
      <c r="J81" s="456">
        <v>257105</v>
      </c>
      <c r="K81" s="709">
        <v>254455</v>
      </c>
      <c r="L81" s="456">
        <v>94611</v>
      </c>
      <c r="M81" s="709">
        <v>98605</v>
      </c>
      <c r="N81" s="456">
        <v>274377</v>
      </c>
      <c r="O81" s="709">
        <v>278849</v>
      </c>
      <c r="P81" s="449">
        <f t="shared" si="51"/>
        <v>626093</v>
      </c>
      <c r="Q81" s="450">
        <f t="shared" si="52"/>
        <v>20869.766666666666</v>
      </c>
      <c r="R81" s="451">
        <f t="shared" si="53"/>
        <v>631909</v>
      </c>
      <c r="S81" s="452">
        <f t="shared" si="54"/>
        <v>21063.633333333335</v>
      </c>
      <c r="T81" s="456">
        <v>13328</v>
      </c>
      <c r="U81" s="709">
        <v>15337</v>
      </c>
      <c r="V81" s="449">
        <f t="shared" si="55"/>
        <v>626093</v>
      </c>
      <c r="W81" s="448">
        <f t="shared" si="56"/>
        <v>631909</v>
      </c>
      <c r="X81" s="456"/>
      <c r="Y81" s="708"/>
      <c r="Z81" s="456"/>
      <c r="AA81" s="708"/>
      <c r="AB81" s="456"/>
      <c r="AC81" s="708"/>
      <c r="AD81" s="456"/>
      <c r="AE81" s="708"/>
      <c r="AF81" s="449">
        <f t="shared" si="57"/>
        <v>0</v>
      </c>
      <c r="AG81" s="450">
        <f t="shared" si="58"/>
        <v>0</v>
      </c>
      <c r="AH81" s="451">
        <f t="shared" si="59"/>
        <v>0</v>
      </c>
      <c r="AI81" s="451">
        <f t="shared" si="60"/>
        <v>0</v>
      </c>
      <c r="AJ81" s="456"/>
      <c r="AK81" s="708"/>
      <c r="AL81" s="449">
        <f t="shared" si="61"/>
        <v>0</v>
      </c>
      <c r="AM81" s="452">
        <f t="shared" si="62"/>
        <v>0</v>
      </c>
      <c r="AN81" s="456"/>
      <c r="AO81" s="708"/>
      <c r="AP81" s="456">
        <v>37661</v>
      </c>
      <c r="AQ81" s="709">
        <v>29597.5</v>
      </c>
      <c r="AR81" s="456">
        <v>15111</v>
      </c>
      <c r="AS81" s="709">
        <v>15341</v>
      </c>
      <c r="AT81" s="456">
        <v>30482</v>
      </c>
      <c r="AU81" s="709">
        <v>30907.4</v>
      </c>
      <c r="AV81" s="449">
        <f t="shared" si="63"/>
        <v>83254</v>
      </c>
      <c r="AW81" s="453">
        <f t="shared" si="64"/>
        <v>3468.9166666666665</v>
      </c>
      <c r="AX81" s="451">
        <f t="shared" si="65"/>
        <v>75845.899999999994</v>
      </c>
      <c r="AY81" s="454">
        <f t="shared" si="66"/>
        <v>3160.2458333333329</v>
      </c>
      <c r="AZ81" s="455">
        <f t="shared" si="67"/>
        <v>24338.683333333334</v>
      </c>
      <c r="BA81" s="451">
        <f t="shared" si="68"/>
        <v>24223.879166666669</v>
      </c>
    </row>
    <row r="82" spans="1:53" ht="15">
      <c r="A82" s="597" t="s">
        <v>245</v>
      </c>
      <c r="B82" s="711" t="s">
        <v>686</v>
      </c>
      <c r="C82" s="706"/>
      <c r="D82" s="707">
        <v>133951</v>
      </c>
      <c r="E82" s="707">
        <v>1</v>
      </c>
      <c r="F82" s="491" t="s">
        <v>41</v>
      </c>
      <c r="G82" s="492" t="s">
        <v>41</v>
      </c>
      <c r="H82" s="456"/>
      <c r="I82" s="708"/>
      <c r="J82" s="456">
        <v>431636</v>
      </c>
      <c r="K82" s="709">
        <v>440310</v>
      </c>
      <c r="L82" s="456">
        <v>178125</v>
      </c>
      <c r="M82" s="709">
        <v>184125</v>
      </c>
      <c r="N82" s="456">
        <v>469277</v>
      </c>
      <c r="O82" s="709">
        <v>470100</v>
      </c>
      <c r="P82" s="449">
        <f t="shared" si="51"/>
        <v>1079038</v>
      </c>
      <c r="Q82" s="450">
        <f t="shared" si="52"/>
        <v>35967.933333333334</v>
      </c>
      <c r="R82" s="451">
        <f t="shared" si="53"/>
        <v>1094535</v>
      </c>
      <c r="S82" s="452">
        <f t="shared" si="54"/>
        <v>36484.5</v>
      </c>
      <c r="T82" s="456">
        <v>40871</v>
      </c>
      <c r="U82" s="709">
        <v>37000</v>
      </c>
      <c r="V82" s="449">
        <f t="shared" si="55"/>
        <v>1079038</v>
      </c>
      <c r="W82" s="448">
        <f t="shared" si="56"/>
        <v>1094535</v>
      </c>
      <c r="X82" s="456"/>
      <c r="Y82" s="708"/>
      <c r="Z82" s="456"/>
      <c r="AA82" s="708"/>
      <c r="AB82" s="456"/>
      <c r="AC82" s="708"/>
      <c r="AD82" s="456"/>
      <c r="AE82" s="708"/>
      <c r="AF82" s="449">
        <f t="shared" si="57"/>
        <v>0</v>
      </c>
      <c r="AG82" s="450">
        <f t="shared" si="58"/>
        <v>0</v>
      </c>
      <c r="AH82" s="451">
        <f t="shared" si="59"/>
        <v>0</v>
      </c>
      <c r="AI82" s="451">
        <f t="shared" si="60"/>
        <v>0</v>
      </c>
      <c r="AJ82" s="456"/>
      <c r="AK82" s="708"/>
      <c r="AL82" s="449">
        <f t="shared" si="61"/>
        <v>0</v>
      </c>
      <c r="AM82" s="452">
        <f t="shared" si="62"/>
        <v>0</v>
      </c>
      <c r="AN82" s="456"/>
      <c r="AO82" s="708"/>
      <c r="AP82" s="456">
        <v>78306</v>
      </c>
      <c r="AQ82" s="709">
        <v>75305</v>
      </c>
      <c r="AR82" s="456">
        <v>47166</v>
      </c>
      <c r="AS82" s="709">
        <v>40460</v>
      </c>
      <c r="AT82" s="456">
        <v>85464</v>
      </c>
      <c r="AU82" s="709">
        <v>78081</v>
      </c>
      <c r="AV82" s="449">
        <f t="shared" si="63"/>
        <v>210936</v>
      </c>
      <c r="AW82" s="453">
        <f t="shared" si="64"/>
        <v>8789</v>
      </c>
      <c r="AX82" s="451">
        <f t="shared" si="65"/>
        <v>193846</v>
      </c>
      <c r="AY82" s="454">
        <f t="shared" si="66"/>
        <v>8076.916666666667</v>
      </c>
      <c r="AZ82" s="455">
        <f t="shared" si="67"/>
        <v>44756.933333333334</v>
      </c>
      <c r="BA82" s="451">
        <f t="shared" si="68"/>
        <v>44561.416666666664</v>
      </c>
    </row>
    <row r="83" spans="1:53" ht="15">
      <c r="A83" s="597" t="s">
        <v>245</v>
      </c>
      <c r="B83" s="595" t="s">
        <v>687</v>
      </c>
      <c r="C83" s="706"/>
      <c r="D83" s="707">
        <v>134097</v>
      </c>
      <c r="E83" s="707">
        <v>1</v>
      </c>
      <c r="F83" s="491" t="s">
        <v>41</v>
      </c>
      <c r="G83" s="492" t="s">
        <v>41</v>
      </c>
      <c r="H83" s="456"/>
      <c r="I83" s="708"/>
      <c r="J83" s="456">
        <v>402742</v>
      </c>
      <c r="K83" s="709">
        <v>404136</v>
      </c>
      <c r="L83" s="456">
        <v>122656.5</v>
      </c>
      <c r="M83" s="709">
        <v>126209</v>
      </c>
      <c r="N83" s="456">
        <v>420125</v>
      </c>
      <c r="O83" s="709">
        <v>418565</v>
      </c>
      <c r="P83" s="449">
        <f t="shared" si="51"/>
        <v>945523.5</v>
      </c>
      <c r="Q83" s="450">
        <f t="shared" si="52"/>
        <v>31517.45</v>
      </c>
      <c r="R83" s="451">
        <f t="shared" si="53"/>
        <v>948910</v>
      </c>
      <c r="S83" s="452">
        <f t="shared" si="54"/>
        <v>31630.333333333332</v>
      </c>
      <c r="T83" s="456">
        <v>491</v>
      </c>
      <c r="U83" s="709">
        <v>503</v>
      </c>
      <c r="V83" s="449">
        <f t="shared" si="55"/>
        <v>945523.5</v>
      </c>
      <c r="W83" s="448">
        <f t="shared" si="56"/>
        <v>948910</v>
      </c>
      <c r="X83" s="456"/>
      <c r="Y83" s="708"/>
      <c r="Z83" s="456"/>
      <c r="AA83" s="708"/>
      <c r="AB83" s="456"/>
      <c r="AC83" s="708"/>
      <c r="AD83" s="456"/>
      <c r="AE83" s="708"/>
      <c r="AF83" s="449">
        <f t="shared" si="57"/>
        <v>0</v>
      </c>
      <c r="AG83" s="450">
        <f t="shared" si="58"/>
        <v>0</v>
      </c>
      <c r="AH83" s="451">
        <f t="shared" si="59"/>
        <v>0</v>
      </c>
      <c r="AI83" s="451">
        <f t="shared" si="60"/>
        <v>0</v>
      </c>
      <c r="AJ83" s="456"/>
      <c r="AK83" s="708"/>
      <c r="AL83" s="449">
        <f t="shared" si="61"/>
        <v>0</v>
      </c>
      <c r="AM83" s="452">
        <f t="shared" si="62"/>
        <v>0</v>
      </c>
      <c r="AN83" s="456"/>
      <c r="AO83" s="708"/>
      <c r="AP83" s="456">
        <v>78207</v>
      </c>
      <c r="AQ83" s="709">
        <v>67849</v>
      </c>
      <c r="AR83" s="456">
        <v>41915</v>
      </c>
      <c r="AS83" s="709">
        <v>37003</v>
      </c>
      <c r="AT83" s="456">
        <v>78442</v>
      </c>
      <c r="AU83" s="709">
        <v>69790</v>
      </c>
      <c r="AV83" s="449">
        <f t="shared" si="63"/>
        <v>198564</v>
      </c>
      <c r="AW83" s="453">
        <f t="shared" si="64"/>
        <v>8273.5</v>
      </c>
      <c r="AX83" s="451">
        <f t="shared" si="65"/>
        <v>174642</v>
      </c>
      <c r="AY83" s="454">
        <f t="shared" si="66"/>
        <v>7276.75</v>
      </c>
      <c r="AZ83" s="455">
        <f t="shared" si="67"/>
        <v>39790.949999999997</v>
      </c>
      <c r="BA83" s="451">
        <f t="shared" si="68"/>
        <v>38907.083333333328</v>
      </c>
    </row>
    <row r="84" spans="1:53" ht="15">
      <c r="A84" s="597" t="s">
        <v>245</v>
      </c>
      <c r="B84" s="595" t="s">
        <v>684</v>
      </c>
      <c r="C84" s="706"/>
      <c r="D84" s="707">
        <v>132903</v>
      </c>
      <c r="E84" s="707">
        <v>1</v>
      </c>
      <c r="F84" s="491" t="s">
        <v>41</v>
      </c>
      <c r="G84" s="492" t="s">
        <v>41</v>
      </c>
      <c r="H84" s="456"/>
      <c r="I84" s="708"/>
      <c r="J84" s="456">
        <v>567478</v>
      </c>
      <c r="K84" s="709">
        <v>578497</v>
      </c>
      <c r="L84" s="456">
        <v>198642</v>
      </c>
      <c r="M84" s="709">
        <v>207206</v>
      </c>
      <c r="N84" s="456">
        <v>596735</v>
      </c>
      <c r="O84" s="709">
        <v>618644</v>
      </c>
      <c r="P84" s="449">
        <f t="shared" si="51"/>
        <v>1362855</v>
      </c>
      <c r="Q84" s="450">
        <f t="shared" si="52"/>
        <v>45428.5</v>
      </c>
      <c r="R84" s="451">
        <f t="shared" si="53"/>
        <v>1404347</v>
      </c>
      <c r="S84" s="452">
        <f t="shared" si="54"/>
        <v>46811.566666666666</v>
      </c>
      <c r="T84" s="456">
        <v>598</v>
      </c>
      <c r="U84" s="709">
        <v>433</v>
      </c>
      <c r="V84" s="449">
        <f t="shared" si="55"/>
        <v>1362855</v>
      </c>
      <c r="W84" s="448">
        <f t="shared" si="56"/>
        <v>1404347</v>
      </c>
      <c r="X84" s="456"/>
      <c r="Y84" s="708"/>
      <c r="Z84" s="456"/>
      <c r="AA84" s="708"/>
      <c r="AB84" s="456"/>
      <c r="AC84" s="708"/>
      <c r="AD84" s="456"/>
      <c r="AE84" s="708"/>
      <c r="AF84" s="449">
        <f t="shared" si="57"/>
        <v>0</v>
      </c>
      <c r="AG84" s="450">
        <f t="shared" si="58"/>
        <v>0</v>
      </c>
      <c r="AH84" s="451">
        <f t="shared" si="59"/>
        <v>0</v>
      </c>
      <c r="AI84" s="451">
        <f t="shared" si="60"/>
        <v>0</v>
      </c>
      <c r="AJ84" s="456"/>
      <c r="AK84" s="708"/>
      <c r="AL84" s="449">
        <f t="shared" si="61"/>
        <v>0</v>
      </c>
      <c r="AM84" s="452">
        <f t="shared" si="62"/>
        <v>0</v>
      </c>
      <c r="AN84" s="456"/>
      <c r="AO84" s="708"/>
      <c r="AP84" s="456">
        <v>51959</v>
      </c>
      <c r="AQ84" s="709">
        <v>51108</v>
      </c>
      <c r="AR84" s="456">
        <v>27028.5</v>
      </c>
      <c r="AS84" s="709">
        <v>26259</v>
      </c>
      <c r="AT84" s="456">
        <v>54288</v>
      </c>
      <c r="AU84" s="709">
        <v>54914.5</v>
      </c>
      <c r="AV84" s="449">
        <f t="shared" si="63"/>
        <v>133275.5</v>
      </c>
      <c r="AW84" s="453">
        <f t="shared" si="64"/>
        <v>5553.145833333333</v>
      </c>
      <c r="AX84" s="451">
        <f t="shared" si="65"/>
        <v>132281.5</v>
      </c>
      <c r="AY84" s="454">
        <f t="shared" si="66"/>
        <v>5511.729166666667</v>
      </c>
      <c r="AZ84" s="455">
        <f t="shared" si="67"/>
        <v>50981.645833333336</v>
      </c>
      <c r="BA84" s="451">
        <f t="shared" si="68"/>
        <v>52323.29583333333</v>
      </c>
    </row>
    <row r="85" spans="1:53" ht="15">
      <c r="A85" s="597" t="s">
        <v>245</v>
      </c>
      <c r="B85" s="595" t="s">
        <v>688</v>
      </c>
      <c r="C85" s="706"/>
      <c r="D85" s="707">
        <v>134130</v>
      </c>
      <c r="E85" s="707">
        <v>1</v>
      </c>
      <c r="F85" s="491" t="s">
        <v>41</v>
      </c>
      <c r="G85" s="492" t="s">
        <v>41</v>
      </c>
      <c r="H85" s="456"/>
      <c r="I85" s="708"/>
      <c r="J85" s="456">
        <v>423206</v>
      </c>
      <c r="K85" s="709">
        <v>422884</v>
      </c>
      <c r="L85" s="456">
        <v>120945</v>
      </c>
      <c r="M85" s="709">
        <v>126853</v>
      </c>
      <c r="N85" s="456">
        <v>436104</v>
      </c>
      <c r="O85" s="709">
        <v>448638</v>
      </c>
      <c r="P85" s="449">
        <f t="shared" si="51"/>
        <v>980255</v>
      </c>
      <c r="Q85" s="450">
        <f t="shared" si="52"/>
        <v>32675.166666666668</v>
      </c>
      <c r="R85" s="451">
        <f t="shared" si="53"/>
        <v>998375</v>
      </c>
      <c r="S85" s="452">
        <f t="shared" si="54"/>
        <v>33279.166666666664</v>
      </c>
      <c r="T85" s="456">
        <v>1207</v>
      </c>
      <c r="U85" s="709">
        <v>1899</v>
      </c>
      <c r="V85" s="449">
        <f t="shared" si="55"/>
        <v>980255</v>
      </c>
      <c r="W85" s="448">
        <f t="shared" si="56"/>
        <v>998375</v>
      </c>
      <c r="X85" s="456"/>
      <c r="Y85" s="708"/>
      <c r="Z85" s="456"/>
      <c r="AA85" s="708"/>
      <c r="AB85" s="456"/>
      <c r="AC85" s="708"/>
      <c r="AD85" s="456"/>
      <c r="AE85" s="708"/>
      <c r="AF85" s="449">
        <f t="shared" si="57"/>
        <v>0</v>
      </c>
      <c r="AG85" s="450">
        <f t="shared" si="58"/>
        <v>0</v>
      </c>
      <c r="AH85" s="451">
        <f t="shared" si="59"/>
        <v>0</v>
      </c>
      <c r="AI85" s="451">
        <f t="shared" si="60"/>
        <v>0</v>
      </c>
      <c r="AJ85" s="456"/>
      <c r="AK85" s="708"/>
      <c r="AL85" s="449">
        <f t="shared" si="61"/>
        <v>0</v>
      </c>
      <c r="AM85" s="452">
        <f t="shared" si="62"/>
        <v>0</v>
      </c>
      <c r="AN85" s="456"/>
      <c r="AO85" s="708"/>
      <c r="AP85" s="456">
        <v>159555</v>
      </c>
      <c r="AQ85" s="709">
        <v>135541</v>
      </c>
      <c r="AR85" s="456">
        <v>68153</v>
      </c>
      <c r="AS85" s="709">
        <v>57724</v>
      </c>
      <c r="AT85" s="456">
        <v>168542</v>
      </c>
      <c r="AU85" s="709">
        <v>148385</v>
      </c>
      <c r="AV85" s="449">
        <f t="shared" si="63"/>
        <v>396250</v>
      </c>
      <c r="AW85" s="453">
        <f t="shared" si="64"/>
        <v>16510.416666666668</v>
      </c>
      <c r="AX85" s="451">
        <f t="shared" si="65"/>
        <v>341650</v>
      </c>
      <c r="AY85" s="454">
        <f t="shared" si="66"/>
        <v>14235.416666666666</v>
      </c>
      <c r="AZ85" s="455">
        <f t="shared" si="67"/>
        <v>49185.583333333336</v>
      </c>
      <c r="BA85" s="451">
        <f t="shared" si="68"/>
        <v>47514.583333333328</v>
      </c>
    </row>
    <row r="86" spans="1:53" ht="15">
      <c r="A86" s="597" t="s">
        <v>245</v>
      </c>
      <c r="B86" s="595" t="s">
        <v>689</v>
      </c>
      <c r="C86" s="706"/>
      <c r="D86" s="707">
        <v>137351</v>
      </c>
      <c r="E86" s="707">
        <v>1</v>
      </c>
      <c r="F86" s="491" t="s">
        <v>41</v>
      </c>
      <c r="G86" s="492" t="s">
        <v>41</v>
      </c>
      <c r="H86" s="456"/>
      <c r="I86" s="708"/>
      <c r="J86" s="456">
        <v>418708</v>
      </c>
      <c r="K86" s="709">
        <v>415901</v>
      </c>
      <c r="L86" s="456">
        <v>151898</v>
      </c>
      <c r="M86" s="709">
        <v>153949</v>
      </c>
      <c r="N86" s="456">
        <v>442613</v>
      </c>
      <c r="O86" s="709">
        <v>446747</v>
      </c>
      <c r="P86" s="449">
        <f t="shared" si="51"/>
        <v>1013219</v>
      </c>
      <c r="Q86" s="450">
        <f t="shared" si="52"/>
        <v>33773.966666666667</v>
      </c>
      <c r="R86" s="451">
        <f t="shared" si="53"/>
        <v>1016597</v>
      </c>
      <c r="S86" s="452">
        <f t="shared" si="54"/>
        <v>33886.566666666666</v>
      </c>
      <c r="T86" s="456">
        <v>274</v>
      </c>
      <c r="U86" s="709">
        <v>204</v>
      </c>
      <c r="V86" s="449">
        <f t="shared" si="55"/>
        <v>1013219</v>
      </c>
      <c r="W86" s="448">
        <f t="shared" si="56"/>
        <v>1016597</v>
      </c>
      <c r="X86" s="456"/>
      <c r="Y86" s="708"/>
      <c r="Z86" s="456"/>
      <c r="AA86" s="708"/>
      <c r="AB86" s="456"/>
      <c r="AC86" s="708"/>
      <c r="AD86" s="456"/>
      <c r="AE86" s="708"/>
      <c r="AF86" s="449">
        <f t="shared" si="57"/>
        <v>0</v>
      </c>
      <c r="AG86" s="450">
        <f t="shared" si="58"/>
        <v>0</v>
      </c>
      <c r="AH86" s="451">
        <f t="shared" si="59"/>
        <v>0</v>
      </c>
      <c r="AI86" s="451">
        <f t="shared" si="60"/>
        <v>0</v>
      </c>
      <c r="AJ86" s="456"/>
      <c r="AK86" s="708"/>
      <c r="AL86" s="449">
        <f t="shared" si="61"/>
        <v>0</v>
      </c>
      <c r="AM86" s="452">
        <f t="shared" si="62"/>
        <v>0</v>
      </c>
      <c r="AN86" s="456"/>
      <c r="AO86" s="708"/>
      <c r="AP86" s="456">
        <v>79017</v>
      </c>
      <c r="AQ86" s="709">
        <v>82356</v>
      </c>
      <c r="AR86" s="456">
        <v>37984</v>
      </c>
      <c r="AS86" s="709">
        <v>37180</v>
      </c>
      <c r="AT86" s="456">
        <v>84984</v>
      </c>
      <c r="AU86" s="709">
        <v>86973</v>
      </c>
      <c r="AV86" s="449">
        <f t="shared" si="63"/>
        <v>201985</v>
      </c>
      <c r="AW86" s="453">
        <f t="shared" si="64"/>
        <v>8416.0416666666661</v>
      </c>
      <c r="AX86" s="451">
        <f t="shared" si="65"/>
        <v>206509</v>
      </c>
      <c r="AY86" s="454">
        <f t="shared" si="66"/>
        <v>8604.5416666666661</v>
      </c>
      <c r="AZ86" s="455">
        <f t="shared" si="67"/>
        <v>42190.008333333331</v>
      </c>
      <c r="BA86" s="451">
        <f t="shared" si="68"/>
        <v>42491.10833333333</v>
      </c>
    </row>
    <row r="87" spans="1:53" ht="15">
      <c r="A87" s="597" t="s">
        <v>245</v>
      </c>
      <c r="B87" s="595" t="s">
        <v>690</v>
      </c>
      <c r="C87" s="706" t="s">
        <v>459</v>
      </c>
      <c r="D87" s="707">
        <v>133650</v>
      </c>
      <c r="E87" s="707">
        <v>3</v>
      </c>
      <c r="F87" s="491" t="s">
        <v>41</v>
      </c>
      <c r="G87" s="492" t="s">
        <v>41</v>
      </c>
      <c r="H87" s="456"/>
      <c r="I87" s="708"/>
      <c r="J87" s="456">
        <v>109738</v>
      </c>
      <c r="K87" s="709">
        <v>102835</v>
      </c>
      <c r="L87" s="456">
        <v>27161</v>
      </c>
      <c r="M87" s="709">
        <v>25481</v>
      </c>
      <c r="N87" s="456">
        <v>112809</v>
      </c>
      <c r="O87" s="709">
        <v>109153</v>
      </c>
      <c r="P87" s="449">
        <f t="shared" si="51"/>
        <v>249708</v>
      </c>
      <c r="Q87" s="450">
        <f t="shared" si="52"/>
        <v>8323.6</v>
      </c>
      <c r="R87" s="451">
        <f t="shared" si="53"/>
        <v>237469</v>
      </c>
      <c r="S87" s="452">
        <f t="shared" si="54"/>
        <v>7915.6333333333332</v>
      </c>
      <c r="T87" s="456">
        <v>36</v>
      </c>
      <c r="U87" s="709">
        <v>2775</v>
      </c>
      <c r="V87" s="449">
        <f t="shared" si="55"/>
        <v>249708</v>
      </c>
      <c r="W87" s="448">
        <f t="shared" si="56"/>
        <v>237469</v>
      </c>
      <c r="X87" s="456"/>
      <c r="Y87" s="708"/>
      <c r="Z87" s="456"/>
      <c r="AA87" s="708"/>
      <c r="AB87" s="456"/>
      <c r="AC87" s="708"/>
      <c r="AD87" s="456"/>
      <c r="AE87" s="708"/>
      <c r="AF87" s="449">
        <f t="shared" si="57"/>
        <v>0</v>
      </c>
      <c r="AG87" s="450">
        <f t="shared" si="58"/>
        <v>0</v>
      </c>
      <c r="AH87" s="451">
        <f t="shared" si="59"/>
        <v>0</v>
      </c>
      <c r="AI87" s="451">
        <f t="shared" si="60"/>
        <v>0</v>
      </c>
      <c r="AJ87" s="456"/>
      <c r="AK87" s="708"/>
      <c r="AL87" s="449">
        <f t="shared" si="61"/>
        <v>0</v>
      </c>
      <c r="AM87" s="452">
        <f t="shared" si="62"/>
        <v>0</v>
      </c>
      <c r="AN87" s="456"/>
      <c r="AO87" s="708"/>
      <c r="AP87" s="456">
        <v>18066</v>
      </c>
      <c r="AQ87" s="709">
        <v>17422</v>
      </c>
      <c r="AR87" s="456">
        <v>7221</v>
      </c>
      <c r="AS87" s="709">
        <v>7155</v>
      </c>
      <c r="AT87" s="456">
        <v>18469</v>
      </c>
      <c r="AU87" s="709">
        <v>18931</v>
      </c>
      <c r="AV87" s="449">
        <f t="shared" si="63"/>
        <v>43756</v>
      </c>
      <c r="AW87" s="453">
        <f t="shared" si="64"/>
        <v>1823.1666666666667</v>
      </c>
      <c r="AX87" s="451">
        <f t="shared" si="65"/>
        <v>43508</v>
      </c>
      <c r="AY87" s="454">
        <f t="shared" si="66"/>
        <v>1812.8333333333333</v>
      </c>
      <c r="AZ87" s="455">
        <f t="shared" si="67"/>
        <v>10146.766666666666</v>
      </c>
      <c r="BA87" s="451">
        <f t="shared" si="68"/>
        <v>9728.4666666666672</v>
      </c>
    </row>
    <row r="88" spans="1:53" ht="15">
      <c r="A88" s="597" t="s">
        <v>245</v>
      </c>
      <c r="B88" s="595" t="s">
        <v>691</v>
      </c>
      <c r="C88" s="706"/>
      <c r="D88" s="707">
        <v>136172</v>
      </c>
      <c r="E88" s="707">
        <v>3</v>
      </c>
      <c r="F88" s="491" t="s">
        <v>41</v>
      </c>
      <c r="G88" s="492" t="s">
        <v>41</v>
      </c>
      <c r="H88" s="456"/>
      <c r="I88" s="708"/>
      <c r="J88" s="456">
        <v>154107</v>
      </c>
      <c r="K88" s="709">
        <v>152285</v>
      </c>
      <c r="L88" s="456">
        <v>53992</v>
      </c>
      <c r="M88" s="709">
        <v>53345</v>
      </c>
      <c r="N88" s="456">
        <v>162794</v>
      </c>
      <c r="O88" s="709">
        <v>158874</v>
      </c>
      <c r="P88" s="449">
        <f t="shared" si="51"/>
        <v>370893</v>
      </c>
      <c r="Q88" s="450">
        <f t="shared" si="52"/>
        <v>12363.1</v>
      </c>
      <c r="R88" s="451">
        <f t="shared" si="53"/>
        <v>364504</v>
      </c>
      <c r="S88" s="452">
        <f t="shared" si="54"/>
        <v>12150.133333333333</v>
      </c>
      <c r="T88" s="456">
        <v>442</v>
      </c>
      <c r="U88" s="709">
        <v>127</v>
      </c>
      <c r="V88" s="449">
        <f t="shared" si="55"/>
        <v>370893</v>
      </c>
      <c r="W88" s="448">
        <f t="shared" si="56"/>
        <v>364504</v>
      </c>
      <c r="X88" s="456"/>
      <c r="Y88" s="708"/>
      <c r="Z88" s="456"/>
      <c r="AA88" s="708"/>
      <c r="AB88" s="456"/>
      <c r="AC88" s="708"/>
      <c r="AD88" s="456"/>
      <c r="AE88" s="708"/>
      <c r="AF88" s="449">
        <f t="shared" si="57"/>
        <v>0</v>
      </c>
      <c r="AG88" s="450">
        <f t="shared" si="58"/>
        <v>0</v>
      </c>
      <c r="AH88" s="451">
        <f t="shared" si="59"/>
        <v>0</v>
      </c>
      <c r="AI88" s="451">
        <f t="shared" si="60"/>
        <v>0</v>
      </c>
      <c r="AJ88" s="456"/>
      <c r="AK88" s="708"/>
      <c r="AL88" s="449">
        <f t="shared" si="61"/>
        <v>0</v>
      </c>
      <c r="AM88" s="452">
        <f t="shared" si="62"/>
        <v>0</v>
      </c>
      <c r="AN88" s="456"/>
      <c r="AO88" s="708"/>
      <c r="AP88" s="456">
        <v>11624</v>
      </c>
      <c r="AQ88" s="709">
        <v>12219</v>
      </c>
      <c r="AR88" s="456">
        <v>6938</v>
      </c>
      <c r="AS88" s="709">
        <v>7311</v>
      </c>
      <c r="AT88" s="456">
        <v>13581</v>
      </c>
      <c r="AU88" s="709">
        <v>13671</v>
      </c>
      <c r="AV88" s="449">
        <f t="shared" si="63"/>
        <v>32143</v>
      </c>
      <c r="AW88" s="453">
        <f t="shared" si="64"/>
        <v>1339.2916666666667</v>
      </c>
      <c r="AX88" s="451">
        <f t="shared" si="65"/>
        <v>33201</v>
      </c>
      <c r="AY88" s="454">
        <f t="shared" si="66"/>
        <v>1383.375</v>
      </c>
      <c r="AZ88" s="455">
        <f t="shared" si="67"/>
        <v>13702.391666666666</v>
      </c>
      <c r="BA88" s="451">
        <f t="shared" si="68"/>
        <v>13533.508333333333</v>
      </c>
    </row>
    <row r="89" spans="1:53" ht="15">
      <c r="A89" s="597" t="s">
        <v>245</v>
      </c>
      <c r="B89" s="595" t="s">
        <v>692</v>
      </c>
      <c r="C89" s="706"/>
      <c r="D89" s="707">
        <v>138354</v>
      </c>
      <c r="E89" s="707">
        <v>3</v>
      </c>
      <c r="F89" s="491" t="s">
        <v>41</v>
      </c>
      <c r="G89" s="492" t="s">
        <v>41</v>
      </c>
      <c r="H89" s="456"/>
      <c r="I89" s="708"/>
      <c r="J89" s="456">
        <v>107929</v>
      </c>
      <c r="K89" s="709">
        <v>106681</v>
      </c>
      <c r="L89" s="456">
        <v>33221</v>
      </c>
      <c r="M89" s="709">
        <v>34065</v>
      </c>
      <c r="N89" s="456">
        <v>115589</v>
      </c>
      <c r="O89" s="709">
        <v>114385</v>
      </c>
      <c r="P89" s="449">
        <f t="shared" si="51"/>
        <v>256739</v>
      </c>
      <c r="Q89" s="450">
        <f t="shared" si="52"/>
        <v>8557.9666666666672</v>
      </c>
      <c r="R89" s="451">
        <f t="shared" si="53"/>
        <v>255131</v>
      </c>
      <c r="S89" s="452">
        <f t="shared" si="54"/>
        <v>8504.3666666666668</v>
      </c>
      <c r="T89" s="456">
        <v>651</v>
      </c>
      <c r="U89" s="709">
        <v>929</v>
      </c>
      <c r="V89" s="449">
        <f t="shared" si="55"/>
        <v>256739</v>
      </c>
      <c r="W89" s="448">
        <f t="shared" si="56"/>
        <v>255131</v>
      </c>
      <c r="X89" s="456"/>
      <c r="Y89" s="708"/>
      <c r="Z89" s="456"/>
      <c r="AA89" s="708"/>
      <c r="AB89" s="456"/>
      <c r="AC89" s="708"/>
      <c r="AD89" s="456"/>
      <c r="AE89" s="708"/>
      <c r="AF89" s="449">
        <f t="shared" si="57"/>
        <v>0</v>
      </c>
      <c r="AG89" s="450">
        <f t="shared" si="58"/>
        <v>0</v>
      </c>
      <c r="AH89" s="451">
        <f t="shared" si="59"/>
        <v>0</v>
      </c>
      <c r="AI89" s="451">
        <f t="shared" si="60"/>
        <v>0</v>
      </c>
      <c r="AJ89" s="456"/>
      <c r="AK89" s="708"/>
      <c r="AL89" s="449">
        <f t="shared" si="61"/>
        <v>0</v>
      </c>
      <c r="AM89" s="452">
        <f t="shared" si="62"/>
        <v>0</v>
      </c>
      <c r="AN89" s="456"/>
      <c r="AO89" s="708"/>
      <c r="AP89" s="456">
        <v>14173.5</v>
      </c>
      <c r="AQ89" s="709">
        <v>14054</v>
      </c>
      <c r="AR89" s="456">
        <v>10543.5</v>
      </c>
      <c r="AS89" s="709">
        <v>9510.5</v>
      </c>
      <c r="AT89" s="456">
        <v>14599</v>
      </c>
      <c r="AU89" s="709">
        <v>14854.5</v>
      </c>
      <c r="AV89" s="449">
        <f t="shared" si="63"/>
        <v>39316</v>
      </c>
      <c r="AW89" s="453">
        <f t="shared" si="64"/>
        <v>1638.1666666666667</v>
      </c>
      <c r="AX89" s="451">
        <f t="shared" si="65"/>
        <v>38419</v>
      </c>
      <c r="AY89" s="454">
        <f t="shared" si="66"/>
        <v>1600.7916666666667</v>
      </c>
      <c r="AZ89" s="455">
        <f t="shared" si="67"/>
        <v>10196.133333333333</v>
      </c>
      <c r="BA89" s="451">
        <f t="shared" si="68"/>
        <v>10105.158333333333</v>
      </c>
    </row>
    <row r="90" spans="1:53" ht="15">
      <c r="A90" s="597" t="s">
        <v>245</v>
      </c>
      <c r="B90" s="595" t="s">
        <v>693</v>
      </c>
      <c r="C90" s="706"/>
      <c r="D90" s="707">
        <v>433660</v>
      </c>
      <c r="E90" s="707">
        <v>4</v>
      </c>
      <c r="F90" s="491" t="s">
        <v>41</v>
      </c>
      <c r="G90" s="492" t="s">
        <v>41</v>
      </c>
      <c r="H90" s="456"/>
      <c r="I90" s="708"/>
      <c r="J90" s="456">
        <v>143424</v>
      </c>
      <c r="K90" s="709">
        <v>149831</v>
      </c>
      <c r="L90" s="456">
        <v>32641</v>
      </c>
      <c r="M90" s="709">
        <v>33283</v>
      </c>
      <c r="N90" s="456">
        <v>160448</v>
      </c>
      <c r="O90" s="709">
        <v>165828</v>
      </c>
      <c r="P90" s="449">
        <f t="shared" si="51"/>
        <v>336513</v>
      </c>
      <c r="Q90" s="450">
        <f t="shared" si="52"/>
        <v>11217.1</v>
      </c>
      <c r="R90" s="451">
        <f t="shared" si="53"/>
        <v>348942</v>
      </c>
      <c r="S90" s="452">
        <f t="shared" si="54"/>
        <v>11631.4</v>
      </c>
      <c r="T90" s="456">
        <v>338</v>
      </c>
      <c r="U90" s="709">
        <v>457</v>
      </c>
      <c r="V90" s="449">
        <f t="shared" si="55"/>
        <v>336513</v>
      </c>
      <c r="W90" s="448">
        <f t="shared" si="56"/>
        <v>348942</v>
      </c>
      <c r="X90" s="456"/>
      <c r="Y90" s="708"/>
      <c r="Z90" s="456"/>
      <c r="AA90" s="708"/>
      <c r="AB90" s="456"/>
      <c r="AC90" s="708"/>
      <c r="AD90" s="456"/>
      <c r="AE90" s="708"/>
      <c r="AF90" s="449">
        <f t="shared" si="57"/>
        <v>0</v>
      </c>
      <c r="AG90" s="450">
        <f t="shared" si="58"/>
        <v>0</v>
      </c>
      <c r="AH90" s="451">
        <f t="shared" si="59"/>
        <v>0</v>
      </c>
      <c r="AI90" s="451">
        <f t="shared" si="60"/>
        <v>0</v>
      </c>
      <c r="AJ90" s="456"/>
      <c r="AK90" s="708"/>
      <c r="AL90" s="449">
        <f t="shared" si="61"/>
        <v>0</v>
      </c>
      <c r="AM90" s="452">
        <f t="shared" si="62"/>
        <v>0</v>
      </c>
      <c r="AN90" s="456"/>
      <c r="AO90" s="708"/>
      <c r="AP90" s="456">
        <v>8229</v>
      </c>
      <c r="AQ90" s="709">
        <v>7821</v>
      </c>
      <c r="AR90" s="456">
        <v>4164</v>
      </c>
      <c r="AS90" s="709">
        <v>4069</v>
      </c>
      <c r="AT90" s="456">
        <v>8097</v>
      </c>
      <c r="AU90" s="709">
        <v>7922</v>
      </c>
      <c r="AV90" s="449">
        <f t="shared" si="63"/>
        <v>20490</v>
      </c>
      <c r="AW90" s="453">
        <f t="shared" si="64"/>
        <v>853.75</v>
      </c>
      <c r="AX90" s="451">
        <f t="shared" si="65"/>
        <v>19812</v>
      </c>
      <c r="AY90" s="454">
        <f t="shared" si="66"/>
        <v>825.5</v>
      </c>
      <c r="AZ90" s="455">
        <f t="shared" si="67"/>
        <v>12070.85</v>
      </c>
      <c r="BA90" s="451">
        <f t="shared" si="68"/>
        <v>12456.9</v>
      </c>
    </row>
    <row r="91" spans="1:53" ht="15">
      <c r="A91" s="597" t="s">
        <v>245</v>
      </c>
      <c r="B91" s="595" t="s">
        <v>694</v>
      </c>
      <c r="C91" s="706"/>
      <c r="D91" s="707">
        <v>262129</v>
      </c>
      <c r="E91" s="707">
        <v>6</v>
      </c>
      <c r="F91" s="491" t="s">
        <v>41</v>
      </c>
      <c r="G91" s="492" t="s">
        <v>41</v>
      </c>
      <c r="H91" s="456"/>
      <c r="I91" s="708"/>
      <c r="J91" s="456">
        <v>11744</v>
      </c>
      <c r="K91" s="709">
        <v>12800</v>
      </c>
      <c r="L91" s="456"/>
      <c r="M91" s="709"/>
      <c r="N91" s="456">
        <v>15896</v>
      </c>
      <c r="O91" s="709">
        <v>16447.999999999996</v>
      </c>
      <c r="P91" s="449">
        <f t="shared" si="51"/>
        <v>27640</v>
      </c>
      <c r="Q91" s="450">
        <f t="shared" si="52"/>
        <v>921.33333333333337</v>
      </c>
      <c r="R91" s="451">
        <f t="shared" si="53"/>
        <v>29247.999999999996</v>
      </c>
      <c r="S91" s="452">
        <f t="shared" si="54"/>
        <v>974.93333333333317</v>
      </c>
      <c r="T91" s="456"/>
      <c r="U91" s="709"/>
      <c r="V91" s="449">
        <f t="shared" si="55"/>
        <v>0</v>
      </c>
      <c r="W91" s="448">
        <f t="shared" si="56"/>
        <v>0</v>
      </c>
      <c r="X91" s="456"/>
      <c r="Y91" s="708"/>
      <c r="Z91" s="456"/>
      <c r="AA91" s="708"/>
      <c r="AB91" s="456"/>
      <c r="AC91" s="708"/>
      <c r="AD91" s="456"/>
      <c r="AE91" s="708"/>
      <c r="AF91" s="449">
        <f t="shared" si="57"/>
        <v>0</v>
      </c>
      <c r="AG91" s="450">
        <f t="shared" si="58"/>
        <v>0</v>
      </c>
      <c r="AH91" s="451">
        <f t="shared" si="59"/>
        <v>0</v>
      </c>
      <c r="AI91" s="451">
        <f t="shared" si="60"/>
        <v>0</v>
      </c>
      <c r="AJ91" s="456"/>
      <c r="AK91" s="708"/>
      <c r="AL91" s="449">
        <f t="shared" si="61"/>
        <v>0</v>
      </c>
      <c r="AM91" s="452">
        <f t="shared" si="62"/>
        <v>0</v>
      </c>
      <c r="AN91" s="456"/>
      <c r="AO91" s="708"/>
      <c r="AP91" s="456"/>
      <c r="AQ91" s="709"/>
      <c r="AR91" s="456"/>
      <c r="AS91" s="709"/>
      <c r="AT91" s="456"/>
      <c r="AU91" s="709"/>
      <c r="AV91" s="449">
        <f t="shared" si="63"/>
        <v>0</v>
      </c>
      <c r="AW91" s="453">
        <f t="shared" si="64"/>
        <v>0</v>
      </c>
      <c r="AX91" s="451">
        <f t="shared" si="65"/>
        <v>0</v>
      </c>
      <c r="AY91" s="454">
        <f t="shared" si="66"/>
        <v>0</v>
      </c>
      <c r="AZ91" s="455">
        <f t="shared" si="67"/>
        <v>921.33333333333337</v>
      </c>
      <c r="BA91" s="451">
        <f t="shared" si="68"/>
        <v>974.93333333333317</v>
      </c>
    </row>
    <row r="92" spans="1:53">
      <c r="A92" s="563" t="s">
        <v>245</v>
      </c>
      <c r="B92" s="564" t="s">
        <v>318</v>
      </c>
      <c r="C92" s="565"/>
      <c r="D92" s="566">
        <v>132709</v>
      </c>
      <c r="E92" s="566">
        <v>7</v>
      </c>
      <c r="F92" s="491" t="s">
        <v>41</v>
      </c>
      <c r="G92" s="492" t="s">
        <v>41</v>
      </c>
      <c r="H92" s="456"/>
      <c r="I92" s="493"/>
      <c r="J92" s="456">
        <v>352534</v>
      </c>
      <c r="K92" s="493">
        <v>342870</v>
      </c>
      <c r="L92" s="456">
        <v>173136</v>
      </c>
      <c r="M92" s="493">
        <v>165391</v>
      </c>
      <c r="N92" s="456">
        <v>372724</v>
      </c>
      <c r="O92" s="493">
        <v>352881</v>
      </c>
      <c r="P92" s="449">
        <f t="shared" si="51"/>
        <v>898394</v>
      </c>
      <c r="Q92" s="450">
        <f t="shared" si="52"/>
        <v>29946.466666666667</v>
      </c>
      <c r="R92" s="451">
        <f t="shared" si="53"/>
        <v>861142</v>
      </c>
      <c r="S92" s="452">
        <f t="shared" si="54"/>
        <v>28704.733333333334</v>
      </c>
      <c r="T92" s="456">
        <v>43443</v>
      </c>
      <c r="U92" s="493">
        <v>42346</v>
      </c>
      <c r="V92" s="449">
        <f t="shared" si="55"/>
        <v>898394</v>
      </c>
      <c r="W92" s="448">
        <f t="shared" si="56"/>
        <v>861142</v>
      </c>
      <c r="X92" s="456"/>
      <c r="Y92" s="493"/>
      <c r="Z92" s="456">
        <v>160719</v>
      </c>
      <c r="AA92" s="493">
        <v>175851</v>
      </c>
      <c r="AB92" s="456">
        <v>113680</v>
      </c>
      <c r="AC92" s="493">
        <v>74492</v>
      </c>
      <c r="AD92" s="456">
        <v>177088</v>
      </c>
      <c r="AE92" s="493">
        <v>164023</v>
      </c>
      <c r="AF92" s="449">
        <f t="shared" si="57"/>
        <v>451487</v>
      </c>
      <c r="AG92" s="450">
        <f t="shared" si="58"/>
        <v>501.65222222222224</v>
      </c>
      <c r="AH92" s="451">
        <f t="shared" si="59"/>
        <v>414366</v>
      </c>
      <c r="AI92" s="451">
        <f t="shared" si="60"/>
        <v>460.40666666666669</v>
      </c>
      <c r="AJ92" s="456">
        <v>0</v>
      </c>
      <c r="AK92" s="493">
        <v>0</v>
      </c>
      <c r="AL92" s="449">
        <f t="shared" si="61"/>
        <v>451487</v>
      </c>
      <c r="AM92" s="452">
        <f t="shared" si="62"/>
        <v>414366</v>
      </c>
      <c r="AN92" s="456"/>
      <c r="AO92" s="493"/>
      <c r="AP92" s="456"/>
      <c r="AQ92" s="493"/>
      <c r="AR92" s="456"/>
      <c r="AS92" s="493"/>
      <c r="AT92" s="456"/>
      <c r="AU92" s="493"/>
      <c r="AV92" s="449">
        <f t="shared" si="63"/>
        <v>0</v>
      </c>
      <c r="AW92" s="453">
        <f t="shared" si="64"/>
        <v>0</v>
      </c>
      <c r="AX92" s="451">
        <f t="shared" si="65"/>
        <v>0</v>
      </c>
      <c r="AY92" s="454">
        <f t="shared" si="66"/>
        <v>0</v>
      </c>
      <c r="AZ92" s="455">
        <f t="shared" si="67"/>
        <v>30448.11888888889</v>
      </c>
      <c r="BA92" s="451">
        <f t="shared" si="68"/>
        <v>29165.14</v>
      </c>
    </row>
    <row r="93" spans="1:53">
      <c r="A93" s="563" t="s">
        <v>245</v>
      </c>
      <c r="B93" s="568" t="s">
        <v>319</v>
      </c>
      <c r="C93" s="569"/>
      <c r="D93" s="566">
        <v>133021</v>
      </c>
      <c r="E93" s="566">
        <v>7</v>
      </c>
      <c r="F93" s="491" t="s">
        <v>41</v>
      </c>
      <c r="G93" s="492" t="s">
        <v>41</v>
      </c>
      <c r="H93" s="456"/>
      <c r="I93" s="493"/>
      <c r="J93" s="456">
        <v>17096</v>
      </c>
      <c r="K93" s="493">
        <v>16453</v>
      </c>
      <c r="L93" s="456">
        <v>4631</v>
      </c>
      <c r="M93" s="493">
        <v>5253</v>
      </c>
      <c r="N93" s="456">
        <v>18223</v>
      </c>
      <c r="O93" s="493">
        <v>18483</v>
      </c>
      <c r="P93" s="449">
        <f t="shared" si="51"/>
        <v>39950</v>
      </c>
      <c r="Q93" s="450">
        <f t="shared" si="52"/>
        <v>1331.6666666666667</v>
      </c>
      <c r="R93" s="451">
        <f t="shared" si="53"/>
        <v>40189</v>
      </c>
      <c r="S93" s="452">
        <f t="shared" si="54"/>
        <v>1339.6333333333334</v>
      </c>
      <c r="T93" s="456">
        <v>5970</v>
      </c>
      <c r="U93" s="493">
        <v>6225</v>
      </c>
      <c r="V93" s="449">
        <f t="shared" si="55"/>
        <v>39950</v>
      </c>
      <c r="W93" s="448">
        <f t="shared" si="56"/>
        <v>40189</v>
      </c>
      <c r="X93" s="456"/>
      <c r="Y93" s="493"/>
      <c r="Z93" s="456">
        <v>46983</v>
      </c>
      <c r="AA93" s="493">
        <v>39717</v>
      </c>
      <c r="AB93" s="456">
        <v>21069</v>
      </c>
      <c r="AC93" s="493">
        <v>17334</v>
      </c>
      <c r="AD93" s="456">
        <v>49122</v>
      </c>
      <c r="AE93" s="493">
        <v>38961</v>
      </c>
      <c r="AF93" s="449">
        <f t="shared" si="57"/>
        <v>117174</v>
      </c>
      <c r="AG93" s="450">
        <f t="shared" si="58"/>
        <v>130.19333333333333</v>
      </c>
      <c r="AH93" s="451">
        <f t="shared" si="59"/>
        <v>96012</v>
      </c>
      <c r="AI93" s="451">
        <f t="shared" si="60"/>
        <v>106.68</v>
      </c>
      <c r="AJ93" s="456">
        <v>900</v>
      </c>
      <c r="AK93" s="493">
        <v>240</v>
      </c>
      <c r="AL93" s="449">
        <f t="shared" si="61"/>
        <v>117174</v>
      </c>
      <c r="AM93" s="452">
        <f t="shared" si="62"/>
        <v>96012</v>
      </c>
      <c r="AN93" s="456"/>
      <c r="AO93" s="493"/>
      <c r="AP93" s="456"/>
      <c r="AQ93" s="493"/>
      <c r="AR93" s="456"/>
      <c r="AS93" s="493"/>
      <c r="AT93" s="456"/>
      <c r="AU93" s="493"/>
      <c r="AV93" s="449">
        <f t="shared" si="63"/>
        <v>0</v>
      </c>
      <c r="AW93" s="453">
        <f t="shared" si="64"/>
        <v>0</v>
      </c>
      <c r="AX93" s="451">
        <f t="shared" si="65"/>
        <v>0</v>
      </c>
      <c r="AY93" s="454">
        <f t="shared" si="66"/>
        <v>0</v>
      </c>
      <c r="AZ93" s="455">
        <f t="shared" si="67"/>
        <v>1461.8600000000001</v>
      </c>
      <c r="BA93" s="451">
        <f t="shared" si="68"/>
        <v>1446.3133333333335</v>
      </c>
    </row>
    <row r="94" spans="1:53">
      <c r="A94" s="563" t="s">
        <v>245</v>
      </c>
      <c r="B94" s="564" t="s">
        <v>320</v>
      </c>
      <c r="C94" s="570"/>
      <c r="D94" s="566">
        <v>133386</v>
      </c>
      <c r="E94" s="566">
        <v>7</v>
      </c>
      <c r="F94" s="491" t="s">
        <v>41</v>
      </c>
      <c r="G94" s="492" t="s">
        <v>41</v>
      </c>
      <c r="H94" s="456"/>
      <c r="I94" s="493"/>
      <c r="J94" s="456">
        <v>124627</v>
      </c>
      <c r="K94" s="493">
        <v>119818</v>
      </c>
      <c r="L94" s="456">
        <v>37186</v>
      </c>
      <c r="M94" s="493">
        <v>43624</v>
      </c>
      <c r="N94" s="456">
        <v>129465</v>
      </c>
      <c r="O94" s="493">
        <v>131403</v>
      </c>
      <c r="P94" s="449">
        <f t="shared" si="51"/>
        <v>291278</v>
      </c>
      <c r="Q94" s="450">
        <f t="shared" si="52"/>
        <v>9709.2666666666664</v>
      </c>
      <c r="R94" s="451">
        <f t="shared" si="53"/>
        <v>294845</v>
      </c>
      <c r="S94" s="452">
        <f t="shared" si="54"/>
        <v>9828.1666666666661</v>
      </c>
      <c r="T94" s="456">
        <v>22291</v>
      </c>
      <c r="U94" s="493">
        <v>30118</v>
      </c>
      <c r="V94" s="449">
        <f t="shared" si="55"/>
        <v>291278</v>
      </c>
      <c r="W94" s="448">
        <f t="shared" si="56"/>
        <v>294845</v>
      </c>
      <c r="X94" s="456"/>
      <c r="Y94" s="493"/>
      <c r="Z94" s="456">
        <v>757782</v>
      </c>
      <c r="AA94" s="493">
        <v>803574</v>
      </c>
      <c r="AB94" s="456">
        <v>371833</v>
      </c>
      <c r="AC94" s="493">
        <v>371776</v>
      </c>
      <c r="AD94" s="456">
        <v>783058</v>
      </c>
      <c r="AE94" s="493">
        <v>669019</v>
      </c>
      <c r="AF94" s="449">
        <f t="shared" si="57"/>
        <v>1912673</v>
      </c>
      <c r="AG94" s="450">
        <f t="shared" si="58"/>
        <v>2125.1922222222224</v>
      </c>
      <c r="AH94" s="451">
        <f t="shared" si="59"/>
        <v>1844369</v>
      </c>
      <c r="AI94" s="451">
        <f t="shared" si="60"/>
        <v>2049.298888888889</v>
      </c>
      <c r="AJ94" s="456">
        <v>755</v>
      </c>
      <c r="AK94" s="493">
        <v>510</v>
      </c>
      <c r="AL94" s="449">
        <f t="shared" si="61"/>
        <v>1912673</v>
      </c>
      <c r="AM94" s="452">
        <f t="shared" si="62"/>
        <v>1844369</v>
      </c>
      <c r="AN94" s="456"/>
      <c r="AO94" s="493"/>
      <c r="AP94" s="456"/>
      <c r="AQ94" s="493"/>
      <c r="AR94" s="456"/>
      <c r="AS94" s="493"/>
      <c r="AT94" s="456"/>
      <c r="AU94" s="493"/>
      <c r="AV94" s="449">
        <f t="shared" si="63"/>
        <v>0</v>
      </c>
      <c r="AW94" s="453">
        <f t="shared" si="64"/>
        <v>0</v>
      </c>
      <c r="AX94" s="451">
        <f t="shared" si="65"/>
        <v>0</v>
      </c>
      <c r="AY94" s="454">
        <f t="shared" si="66"/>
        <v>0</v>
      </c>
      <c r="AZ94" s="455">
        <f t="shared" si="67"/>
        <v>11834.458888888888</v>
      </c>
      <c r="BA94" s="451">
        <f t="shared" si="68"/>
        <v>11877.465555555555</v>
      </c>
    </row>
    <row r="95" spans="1:53">
      <c r="A95" s="563" t="s">
        <v>245</v>
      </c>
      <c r="B95" s="564" t="s">
        <v>344</v>
      </c>
      <c r="C95" s="570"/>
      <c r="D95" s="571">
        <v>133508</v>
      </c>
      <c r="E95" s="571">
        <v>7</v>
      </c>
      <c r="F95" s="491" t="s">
        <v>41</v>
      </c>
      <c r="G95" s="492" t="s">
        <v>41</v>
      </c>
      <c r="H95" s="456"/>
      <c r="I95" s="493"/>
      <c r="J95" s="456">
        <v>122556</v>
      </c>
      <c r="K95" s="493">
        <v>124821</v>
      </c>
      <c r="L95" s="456">
        <v>46091</v>
      </c>
      <c r="M95" s="493">
        <v>43376</v>
      </c>
      <c r="N95" s="456">
        <v>129117</v>
      </c>
      <c r="O95" s="493">
        <v>138212</v>
      </c>
      <c r="P95" s="449">
        <f t="shared" si="51"/>
        <v>297764</v>
      </c>
      <c r="Q95" s="450">
        <f t="shared" si="52"/>
        <v>9925.4666666666672</v>
      </c>
      <c r="R95" s="451">
        <f t="shared" si="53"/>
        <v>306409</v>
      </c>
      <c r="S95" s="452">
        <f t="shared" si="54"/>
        <v>10213.633333333333</v>
      </c>
      <c r="T95" s="456">
        <v>26983</v>
      </c>
      <c r="U95" s="493">
        <v>38559</v>
      </c>
      <c r="V95" s="449">
        <f t="shared" si="55"/>
        <v>297764</v>
      </c>
      <c r="W95" s="448">
        <f t="shared" si="56"/>
        <v>306409</v>
      </c>
      <c r="X95" s="456"/>
      <c r="Y95" s="493"/>
      <c r="Z95" s="456">
        <v>6090</v>
      </c>
      <c r="AA95" s="493">
        <v>3570</v>
      </c>
      <c r="AB95" s="456">
        <v>9918</v>
      </c>
      <c r="AC95" s="493">
        <v>7380</v>
      </c>
      <c r="AD95" s="456">
        <v>3840</v>
      </c>
      <c r="AE95" s="493">
        <v>3600</v>
      </c>
      <c r="AF95" s="449">
        <f t="shared" si="57"/>
        <v>19848</v>
      </c>
      <c r="AG95" s="450">
        <f t="shared" si="58"/>
        <v>22.053333333333335</v>
      </c>
      <c r="AH95" s="451">
        <f t="shared" si="59"/>
        <v>14550</v>
      </c>
      <c r="AI95" s="451">
        <f t="shared" si="60"/>
        <v>16.166666666666668</v>
      </c>
      <c r="AJ95" s="456">
        <v>0</v>
      </c>
      <c r="AK95" s="493">
        <v>0</v>
      </c>
      <c r="AL95" s="449">
        <f t="shared" si="61"/>
        <v>19848</v>
      </c>
      <c r="AM95" s="452">
        <f t="shared" si="62"/>
        <v>14550</v>
      </c>
      <c r="AN95" s="456"/>
      <c r="AO95" s="493"/>
      <c r="AP95" s="456"/>
      <c r="AQ95" s="493"/>
      <c r="AR95" s="456"/>
      <c r="AS95" s="493"/>
      <c r="AT95" s="456"/>
      <c r="AU95" s="493"/>
      <c r="AV95" s="449">
        <f t="shared" si="63"/>
        <v>0</v>
      </c>
      <c r="AW95" s="453">
        <f t="shared" si="64"/>
        <v>0</v>
      </c>
      <c r="AX95" s="451">
        <f t="shared" si="65"/>
        <v>0</v>
      </c>
      <c r="AY95" s="454">
        <f t="shared" si="66"/>
        <v>0</v>
      </c>
      <c r="AZ95" s="455">
        <f t="shared" si="67"/>
        <v>9947.52</v>
      </c>
      <c r="BA95" s="451">
        <f t="shared" si="68"/>
        <v>10229.799999999999</v>
      </c>
    </row>
    <row r="96" spans="1:53">
      <c r="A96" s="563" t="s">
        <v>245</v>
      </c>
      <c r="B96" s="564" t="s">
        <v>321</v>
      </c>
      <c r="C96" s="572"/>
      <c r="D96" s="566">
        <v>133702</v>
      </c>
      <c r="E96" s="566">
        <v>7</v>
      </c>
      <c r="F96" s="491" t="s">
        <v>41</v>
      </c>
      <c r="G96" s="492" t="s">
        <v>41</v>
      </c>
      <c r="H96" s="456"/>
      <c r="I96" s="493"/>
      <c r="J96" s="456">
        <v>227819</v>
      </c>
      <c r="K96" s="493">
        <v>216565</v>
      </c>
      <c r="L96" s="456">
        <v>111535</v>
      </c>
      <c r="M96" s="493">
        <v>115792</v>
      </c>
      <c r="N96" s="456">
        <v>221080</v>
      </c>
      <c r="O96" s="493">
        <v>214555</v>
      </c>
      <c r="P96" s="449">
        <f t="shared" si="51"/>
        <v>560434</v>
      </c>
      <c r="Q96" s="450">
        <f t="shared" si="52"/>
        <v>18681.133333333335</v>
      </c>
      <c r="R96" s="451">
        <f t="shared" si="53"/>
        <v>546912</v>
      </c>
      <c r="S96" s="452">
        <f t="shared" si="54"/>
        <v>18230.400000000001</v>
      </c>
      <c r="T96" s="456">
        <v>35054</v>
      </c>
      <c r="U96" s="493">
        <v>34852</v>
      </c>
      <c r="V96" s="449">
        <f t="shared" si="55"/>
        <v>560434</v>
      </c>
      <c r="W96" s="448">
        <f t="shared" si="56"/>
        <v>546912</v>
      </c>
      <c r="X96" s="456"/>
      <c r="Y96" s="493"/>
      <c r="Z96" s="456">
        <v>721394</v>
      </c>
      <c r="AA96" s="493">
        <v>636537</v>
      </c>
      <c r="AB96" s="456">
        <v>425924</v>
      </c>
      <c r="AC96" s="493">
        <v>503133</v>
      </c>
      <c r="AD96" s="456">
        <v>733308</v>
      </c>
      <c r="AE96" s="493">
        <v>514381</v>
      </c>
      <c r="AF96" s="449">
        <f t="shared" si="57"/>
        <v>1880626</v>
      </c>
      <c r="AG96" s="450">
        <f t="shared" si="58"/>
        <v>2089.5844444444447</v>
      </c>
      <c r="AH96" s="451">
        <f t="shared" si="59"/>
        <v>1654051</v>
      </c>
      <c r="AI96" s="451">
        <f t="shared" si="60"/>
        <v>1837.8344444444444</v>
      </c>
      <c r="AJ96" s="456">
        <v>13504</v>
      </c>
      <c r="AK96" s="493">
        <v>8042</v>
      </c>
      <c r="AL96" s="449">
        <f t="shared" si="61"/>
        <v>1880626</v>
      </c>
      <c r="AM96" s="452">
        <f t="shared" si="62"/>
        <v>1654051</v>
      </c>
      <c r="AN96" s="456"/>
      <c r="AO96" s="493"/>
      <c r="AP96" s="456"/>
      <c r="AQ96" s="493"/>
      <c r="AR96" s="456"/>
      <c r="AS96" s="493"/>
      <c r="AT96" s="456"/>
      <c r="AU96" s="493"/>
      <c r="AV96" s="449">
        <f t="shared" si="63"/>
        <v>0</v>
      </c>
      <c r="AW96" s="453">
        <f t="shared" si="64"/>
        <v>0</v>
      </c>
      <c r="AX96" s="451">
        <f t="shared" si="65"/>
        <v>0</v>
      </c>
      <c r="AY96" s="454">
        <f t="shared" si="66"/>
        <v>0</v>
      </c>
      <c r="AZ96" s="455">
        <f t="shared" si="67"/>
        <v>20770.71777777778</v>
      </c>
      <c r="BA96" s="451">
        <f t="shared" si="68"/>
        <v>20068.234444444446</v>
      </c>
    </row>
    <row r="97" spans="1:53">
      <c r="A97" s="563" t="s">
        <v>245</v>
      </c>
      <c r="B97" s="564" t="s">
        <v>322</v>
      </c>
      <c r="C97" s="565"/>
      <c r="D97" s="566">
        <v>134343</v>
      </c>
      <c r="E97" s="567">
        <v>7</v>
      </c>
      <c r="F97" s="491" t="s">
        <v>41</v>
      </c>
      <c r="G97" s="492" t="s">
        <v>41</v>
      </c>
      <c r="H97" s="456"/>
      <c r="I97" s="493"/>
      <c r="J97" s="456">
        <v>52499</v>
      </c>
      <c r="K97" s="493">
        <v>48288</v>
      </c>
      <c r="L97" s="456">
        <v>13477</v>
      </c>
      <c r="M97" s="493">
        <v>13709</v>
      </c>
      <c r="N97" s="456">
        <v>53685</v>
      </c>
      <c r="O97" s="493">
        <v>50913</v>
      </c>
      <c r="P97" s="449">
        <f t="shared" si="51"/>
        <v>119661</v>
      </c>
      <c r="Q97" s="450">
        <f t="shared" si="52"/>
        <v>3988.7</v>
      </c>
      <c r="R97" s="451">
        <f t="shared" si="53"/>
        <v>112910</v>
      </c>
      <c r="S97" s="452">
        <f t="shared" si="54"/>
        <v>3763.6666666666665</v>
      </c>
      <c r="T97" s="456">
        <v>13203</v>
      </c>
      <c r="U97" s="493">
        <v>13881</v>
      </c>
      <c r="V97" s="449">
        <f t="shared" si="55"/>
        <v>119661</v>
      </c>
      <c r="W97" s="448">
        <f t="shared" si="56"/>
        <v>112910</v>
      </c>
      <c r="X97" s="456"/>
      <c r="Y97" s="493"/>
      <c r="Z97" s="456">
        <v>56225</v>
      </c>
      <c r="AA97" s="493">
        <v>54022</v>
      </c>
      <c r="AB97" s="456">
        <v>34706</v>
      </c>
      <c r="AC97" s="493">
        <v>39604</v>
      </c>
      <c r="AD97" s="456">
        <v>38596</v>
      </c>
      <c r="AE97" s="493">
        <v>48809</v>
      </c>
      <c r="AF97" s="449">
        <f t="shared" si="57"/>
        <v>129527</v>
      </c>
      <c r="AG97" s="450">
        <f t="shared" si="58"/>
        <v>143.91888888888889</v>
      </c>
      <c r="AH97" s="451">
        <f t="shared" si="59"/>
        <v>142435</v>
      </c>
      <c r="AI97" s="451">
        <f t="shared" si="60"/>
        <v>158.26111111111112</v>
      </c>
      <c r="AJ97" s="456">
        <v>0</v>
      </c>
      <c r="AK97" s="493">
        <v>0</v>
      </c>
      <c r="AL97" s="449">
        <f t="shared" si="61"/>
        <v>129527</v>
      </c>
      <c r="AM97" s="452">
        <f t="shared" si="62"/>
        <v>142435</v>
      </c>
      <c r="AN97" s="456"/>
      <c r="AO97" s="493"/>
      <c r="AP97" s="456"/>
      <c r="AQ97" s="493"/>
      <c r="AR97" s="456"/>
      <c r="AS97" s="493"/>
      <c r="AT97" s="456"/>
      <c r="AU97" s="493"/>
      <c r="AV97" s="449">
        <f t="shared" si="63"/>
        <v>0</v>
      </c>
      <c r="AW97" s="453">
        <f t="shared" si="64"/>
        <v>0</v>
      </c>
      <c r="AX97" s="451">
        <f t="shared" si="65"/>
        <v>0</v>
      </c>
      <c r="AY97" s="454">
        <f t="shared" si="66"/>
        <v>0</v>
      </c>
      <c r="AZ97" s="455">
        <f t="shared" si="67"/>
        <v>4132.6188888888883</v>
      </c>
      <c r="BA97" s="451">
        <f t="shared" si="68"/>
        <v>3921.9277777777775</v>
      </c>
    </row>
    <row r="98" spans="1:53">
      <c r="A98" s="563" t="s">
        <v>245</v>
      </c>
      <c r="B98" s="564" t="s">
        <v>323</v>
      </c>
      <c r="C98" s="572"/>
      <c r="D98" s="566">
        <v>134608</v>
      </c>
      <c r="E98" s="566">
        <v>7</v>
      </c>
      <c r="F98" s="491" t="s">
        <v>41</v>
      </c>
      <c r="G98" s="492" t="s">
        <v>41</v>
      </c>
      <c r="H98" s="456"/>
      <c r="I98" s="493"/>
      <c r="J98" s="456">
        <v>129720</v>
      </c>
      <c r="K98" s="493">
        <v>132017</v>
      </c>
      <c r="L98" s="456">
        <v>56608</v>
      </c>
      <c r="M98" s="493">
        <v>62131</v>
      </c>
      <c r="N98" s="456">
        <v>143840</v>
      </c>
      <c r="O98" s="493">
        <v>146582</v>
      </c>
      <c r="P98" s="449">
        <f t="shared" si="51"/>
        <v>330168</v>
      </c>
      <c r="Q98" s="450">
        <f t="shared" si="52"/>
        <v>11005.6</v>
      </c>
      <c r="R98" s="451">
        <f t="shared" si="53"/>
        <v>340730</v>
      </c>
      <c r="S98" s="452">
        <f t="shared" si="54"/>
        <v>11357.666666666666</v>
      </c>
      <c r="T98" s="456">
        <v>47208</v>
      </c>
      <c r="U98" s="493">
        <v>55499</v>
      </c>
      <c r="V98" s="449">
        <f t="shared" si="55"/>
        <v>330168</v>
      </c>
      <c r="W98" s="448">
        <f t="shared" si="56"/>
        <v>340730</v>
      </c>
      <c r="X98" s="456"/>
      <c r="Y98" s="493"/>
      <c r="Z98" s="456">
        <v>696028</v>
      </c>
      <c r="AA98" s="493">
        <v>731271</v>
      </c>
      <c r="AB98" s="456">
        <v>504941</v>
      </c>
      <c r="AC98" s="493">
        <v>541249</v>
      </c>
      <c r="AD98" s="456">
        <v>775836</v>
      </c>
      <c r="AE98" s="493">
        <v>764207</v>
      </c>
      <c r="AF98" s="449">
        <f t="shared" si="57"/>
        <v>1976805</v>
      </c>
      <c r="AG98" s="450">
        <f t="shared" si="58"/>
        <v>2196.4499999999998</v>
      </c>
      <c r="AH98" s="451">
        <f t="shared" si="59"/>
        <v>2036727</v>
      </c>
      <c r="AI98" s="451">
        <f t="shared" si="60"/>
        <v>2263.0300000000002</v>
      </c>
      <c r="AJ98" s="456">
        <v>16957</v>
      </c>
      <c r="AK98" s="493">
        <v>19307</v>
      </c>
      <c r="AL98" s="449">
        <f t="shared" si="61"/>
        <v>1976805</v>
      </c>
      <c r="AM98" s="452">
        <f t="shared" si="62"/>
        <v>2036727</v>
      </c>
      <c r="AN98" s="456"/>
      <c r="AO98" s="493"/>
      <c r="AP98" s="456"/>
      <c r="AQ98" s="493"/>
      <c r="AR98" s="456"/>
      <c r="AS98" s="493"/>
      <c r="AT98" s="456"/>
      <c r="AU98" s="493"/>
      <c r="AV98" s="449">
        <f t="shared" si="63"/>
        <v>0</v>
      </c>
      <c r="AW98" s="453">
        <f t="shared" si="64"/>
        <v>0</v>
      </c>
      <c r="AX98" s="451">
        <f t="shared" si="65"/>
        <v>0</v>
      </c>
      <c r="AY98" s="454">
        <f t="shared" si="66"/>
        <v>0</v>
      </c>
      <c r="AZ98" s="455">
        <f t="shared" si="67"/>
        <v>13202.05</v>
      </c>
      <c r="BA98" s="451">
        <f t="shared" si="68"/>
        <v>13620.696666666667</v>
      </c>
    </row>
    <row r="99" spans="1:53">
      <c r="A99" s="563" t="s">
        <v>245</v>
      </c>
      <c r="B99" s="568" t="s">
        <v>324</v>
      </c>
      <c r="C99" s="569"/>
      <c r="D99" s="566">
        <v>135717</v>
      </c>
      <c r="E99" s="566">
        <v>7</v>
      </c>
      <c r="F99" s="491" t="s">
        <v>41</v>
      </c>
      <c r="G99" s="492" t="s">
        <v>41</v>
      </c>
      <c r="H99" s="456"/>
      <c r="I99" s="493"/>
      <c r="J99" s="456">
        <v>612247</v>
      </c>
      <c r="K99" s="493">
        <v>593082</v>
      </c>
      <c r="L99" s="456">
        <v>263505</v>
      </c>
      <c r="M99" s="493">
        <v>259832</v>
      </c>
      <c r="N99" s="456">
        <v>637903</v>
      </c>
      <c r="O99" s="493">
        <v>603926</v>
      </c>
      <c r="P99" s="449">
        <f t="shared" si="51"/>
        <v>1513655</v>
      </c>
      <c r="Q99" s="450">
        <f t="shared" si="52"/>
        <v>50455.166666666664</v>
      </c>
      <c r="R99" s="451">
        <f t="shared" si="53"/>
        <v>1456840</v>
      </c>
      <c r="S99" s="452">
        <f t="shared" si="54"/>
        <v>48561.333333333336</v>
      </c>
      <c r="T99" s="456">
        <v>43212</v>
      </c>
      <c r="U99" s="493">
        <v>42954</v>
      </c>
      <c r="V99" s="449">
        <f t="shared" si="55"/>
        <v>1513655</v>
      </c>
      <c r="W99" s="448">
        <f t="shared" si="56"/>
        <v>1456840</v>
      </c>
      <c r="X99" s="456"/>
      <c r="Y99" s="493"/>
      <c r="Z99" s="456">
        <v>1036635</v>
      </c>
      <c r="AA99" s="493">
        <v>1286127</v>
      </c>
      <c r="AB99" s="456">
        <v>972658</v>
      </c>
      <c r="AC99" s="493">
        <v>1112401</v>
      </c>
      <c r="AD99" s="456">
        <v>1280836</v>
      </c>
      <c r="AE99" s="493">
        <v>1265353</v>
      </c>
      <c r="AF99" s="449">
        <f t="shared" si="57"/>
        <v>3290129</v>
      </c>
      <c r="AG99" s="450">
        <f t="shared" si="58"/>
        <v>3655.6988888888891</v>
      </c>
      <c r="AH99" s="451">
        <f t="shared" si="59"/>
        <v>3663881</v>
      </c>
      <c r="AI99" s="451">
        <f t="shared" si="60"/>
        <v>4070.9788888888888</v>
      </c>
      <c r="AJ99" s="456">
        <v>0</v>
      </c>
      <c r="AK99" s="493">
        <v>0</v>
      </c>
      <c r="AL99" s="449">
        <f t="shared" si="61"/>
        <v>3290129</v>
      </c>
      <c r="AM99" s="452">
        <f t="shared" si="62"/>
        <v>3663881</v>
      </c>
      <c r="AN99" s="456"/>
      <c r="AO99" s="493"/>
      <c r="AP99" s="456"/>
      <c r="AQ99" s="493"/>
      <c r="AR99" s="456"/>
      <c r="AS99" s="493"/>
      <c r="AT99" s="456"/>
      <c r="AU99" s="493"/>
      <c r="AV99" s="449">
        <f t="shared" si="63"/>
        <v>0</v>
      </c>
      <c r="AW99" s="453">
        <f t="shared" si="64"/>
        <v>0</v>
      </c>
      <c r="AX99" s="451">
        <f t="shared" si="65"/>
        <v>0</v>
      </c>
      <c r="AY99" s="454">
        <f t="shared" si="66"/>
        <v>0</v>
      </c>
      <c r="AZ99" s="455">
        <f t="shared" si="67"/>
        <v>54110.865555555552</v>
      </c>
      <c r="BA99" s="451">
        <f t="shared" si="68"/>
        <v>52632.312222222223</v>
      </c>
    </row>
    <row r="100" spans="1:53">
      <c r="A100" s="574" t="s">
        <v>245</v>
      </c>
      <c r="B100" s="568" t="s">
        <v>325</v>
      </c>
      <c r="C100" s="569"/>
      <c r="D100" s="575">
        <v>136233</v>
      </c>
      <c r="E100" s="566">
        <v>7</v>
      </c>
      <c r="F100" s="491" t="s">
        <v>41</v>
      </c>
      <c r="G100" s="492" t="s">
        <v>41</v>
      </c>
      <c r="H100" s="456"/>
      <c r="I100" s="493"/>
      <c r="J100" s="456">
        <v>56201</v>
      </c>
      <c r="K100" s="493">
        <v>54351</v>
      </c>
      <c r="L100" s="456">
        <v>21869</v>
      </c>
      <c r="M100" s="493">
        <v>22853</v>
      </c>
      <c r="N100" s="456">
        <v>57535</v>
      </c>
      <c r="O100" s="493">
        <v>50987</v>
      </c>
      <c r="P100" s="449">
        <f t="shared" si="51"/>
        <v>135605</v>
      </c>
      <c r="Q100" s="450">
        <f t="shared" si="52"/>
        <v>4520.166666666667</v>
      </c>
      <c r="R100" s="451">
        <f t="shared" si="53"/>
        <v>128191</v>
      </c>
      <c r="S100" s="452">
        <f t="shared" si="54"/>
        <v>4273.0333333333338</v>
      </c>
      <c r="T100" s="456">
        <v>10819</v>
      </c>
      <c r="U100" s="493">
        <v>12354</v>
      </c>
      <c r="V100" s="449">
        <f t="shared" si="55"/>
        <v>135605</v>
      </c>
      <c r="W100" s="448">
        <f t="shared" si="56"/>
        <v>128191</v>
      </c>
      <c r="X100" s="456"/>
      <c r="Y100" s="493"/>
      <c r="Z100" s="456">
        <v>89855</v>
      </c>
      <c r="AA100" s="493">
        <v>135077</v>
      </c>
      <c r="AB100" s="456">
        <v>38869</v>
      </c>
      <c r="AC100" s="493">
        <v>51528</v>
      </c>
      <c r="AD100" s="456">
        <v>119579</v>
      </c>
      <c r="AE100" s="493">
        <v>117697</v>
      </c>
      <c r="AF100" s="449">
        <f t="shared" si="57"/>
        <v>248303</v>
      </c>
      <c r="AG100" s="450">
        <f t="shared" si="58"/>
        <v>275.89222222222224</v>
      </c>
      <c r="AH100" s="451">
        <f t="shared" si="59"/>
        <v>304302</v>
      </c>
      <c r="AI100" s="451">
        <f t="shared" si="60"/>
        <v>338.11333333333334</v>
      </c>
      <c r="AJ100" s="456">
        <v>0</v>
      </c>
      <c r="AK100" s="493">
        <v>0</v>
      </c>
      <c r="AL100" s="449">
        <f t="shared" si="61"/>
        <v>248303</v>
      </c>
      <c r="AM100" s="452">
        <f t="shared" si="62"/>
        <v>304302</v>
      </c>
      <c r="AN100" s="456"/>
      <c r="AO100" s="493"/>
      <c r="AP100" s="456"/>
      <c r="AQ100" s="493"/>
      <c r="AR100" s="456"/>
      <c r="AS100" s="493"/>
      <c r="AT100" s="456"/>
      <c r="AU100" s="493"/>
      <c r="AV100" s="449">
        <f t="shared" si="63"/>
        <v>0</v>
      </c>
      <c r="AW100" s="453">
        <f t="shared" si="64"/>
        <v>0</v>
      </c>
      <c r="AX100" s="451">
        <f t="shared" si="65"/>
        <v>0</v>
      </c>
      <c r="AY100" s="454">
        <f t="shared" si="66"/>
        <v>0</v>
      </c>
      <c r="AZ100" s="455">
        <f t="shared" si="67"/>
        <v>4796.0588888888888</v>
      </c>
      <c r="BA100" s="451">
        <f t="shared" si="68"/>
        <v>4611.1466666666674</v>
      </c>
    </row>
    <row r="101" spans="1:53">
      <c r="A101" s="563" t="s">
        <v>245</v>
      </c>
      <c r="B101" s="564" t="s">
        <v>326</v>
      </c>
      <c r="C101" s="565"/>
      <c r="D101" s="566">
        <v>136358</v>
      </c>
      <c r="E101" s="566">
        <v>7</v>
      </c>
      <c r="F101" s="491" t="s">
        <v>41</v>
      </c>
      <c r="G101" s="492" t="s">
        <v>41</v>
      </c>
      <c r="H101" s="456"/>
      <c r="I101" s="493"/>
      <c r="J101" s="456">
        <v>227944</v>
      </c>
      <c r="K101" s="493">
        <v>222195</v>
      </c>
      <c r="L101" s="456">
        <v>91490</v>
      </c>
      <c r="M101" s="493">
        <v>95699</v>
      </c>
      <c r="N101" s="456">
        <v>240298</v>
      </c>
      <c r="O101" s="493">
        <v>241752</v>
      </c>
      <c r="P101" s="449">
        <f t="shared" si="51"/>
        <v>559732</v>
      </c>
      <c r="Q101" s="450">
        <f t="shared" si="52"/>
        <v>18657.733333333334</v>
      </c>
      <c r="R101" s="451">
        <f t="shared" si="53"/>
        <v>559646</v>
      </c>
      <c r="S101" s="452">
        <f t="shared" si="54"/>
        <v>18654.866666666665</v>
      </c>
      <c r="T101" s="456">
        <v>24074</v>
      </c>
      <c r="U101" s="493">
        <v>23176</v>
      </c>
      <c r="V101" s="449">
        <f t="shared" si="55"/>
        <v>559732</v>
      </c>
      <c r="W101" s="448">
        <f t="shared" si="56"/>
        <v>559646</v>
      </c>
      <c r="X101" s="456"/>
      <c r="Y101" s="493"/>
      <c r="Z101" s="456">
        <v>542660</v>
      </c>
      <c r="AA101" s="493">
        <v>516465</v>
      </c>
      <c r="AB101" s="456">
        <v>305288</v>
      </c>
      <c r="AC101" s="493">
        <v>284670</v>
      </c>
      <c r="AD101" s="456">
        <v>546377</v>
      </c>
      <c r="AE101" s="493">
        <v>526949</v>
      </c>
      <c r="AF101" s="449">
        <f t="shared" si="57"/>
        <v>1394325</v>
      </c>
      <c r="AG101" s="450">
        <f t="shared" si="58"/>
        <v>1549.25</v>
      </c>
      <c r="AH101" s="451">
        <f t="shared" si="59"/>
        <v>1328084</v>
      </c>
      <c r="AI101" s="451">
        <f t="shared" si="60"/>
        <v>1475.6488888888889</v>
      </c>
      <c r="AJ101" s="456">
        <v>3600</v>
      </c>
      <c r="AK101" s="493">
        <v>0</v>
      </c>
      <c r="AL101" s="449">
        <f t="shared" si="61"/>
        <v>1394325</v>
      </c>
      <c r="AM101" s="452">
        <f t="shared" si="62"/>
        <v>1328084</v>
      </c>
      <c r="AN101" s="456"/>
      <c r="AO101" s="493"/>
      <c r="AP101" s="456"/>
      <c r="AQ101" s="493"/>
      <c r="AR101" s="456"/>
      <c r="AS101" s="493"/>
      <c r="AT101" s="456"/>
      <c r="AU101" s="493"/>
      <c r="AV101" s="449">
        <f t="shared" si="63"/>
        <v>0</v>
      </c>
      <c r="AW101" s="453">
        <f t="shared" si="64"/>
        <v>0</v>
      </c>
      <c r="AX101" s="451">
        <f t="shared" si="65"/>
        <v>0</v>
      </c>
      <c r="AY101" s="454">
        <f t="shared" si="66"/>
        <v>0</v>
      </c>
      <c r="AZ101" s="455">
        <f t="shared" si="67"/>
        <v>20206.983333333334</v>
      </c>
      <c r="BA101" s="451">
        <f t="shared" si="68"/>
        <v>20130.515555555554</v>
      </c>
    </row>
    <row r="102" spans="1:53">
      <c r="A102" s="563" t="s">
        <v>245</v>
      </c>
      <c r="B102" s="564" t="s">
        <v>327</v>
      </c>
      <c r="C102" s="565"/>
      <c r="D102" s="566">
        <v>136473</v>
      </c>
      <c r="E102" s="567">
        <v>7</v>
      </c>
      <c r="F102" s="491" t="s">
        <v>41</v>
      </c>
      <c r="G102" s="492" t="s">
        <v>41</v>
      </c>
      <c r="H102" s="456"/>
      <c r="I102" s="493"/>
      <c r="J102" s="456">
        <v>91131</v>
      </c>
      <c r="K102" s="493">
        <v>81860</v>
      </c>
      <c r="L102" s="456">
        <v>32960</v>
      </c>
      <c r="M102" s="493">
        <v>30511</v>
      </c>
      <c r="N102" s="456">
        <v>89414</v>
      </c>
      <c r="O102" s="493">
        <v>81997</v>
      </c>
      <c r="P102" s="449">
        <f t="shared" si="51"/>
        <v>213505</v>
      </c>
      <c r="Q102" s="450">
        <f t="shared" si="52"/>
        <v>7116.833333333333</v>
      </c>
      <c r="R102" s="451">
        <f t="shared" si="53"/>
        <v>194368</v>
      </c>
      <c r="S102" s="452">
        <f t="shared" si="54"/>
        <v>6478.9333333333334</v>
      </c>
      <c r="T102" s="456">
        <v>25150</v>
      </c>
      <c r="U102" s="493">
        <v>22935</v>
      </c>
      <c r="V102" s="449">
        <f t="shared" si="55"/>
        <v>213505</v>
      </c>
      <c r="W102" s="448">
        <f t="shared" si="56"/>
        <v>194368</v>
      </c>
      <c r="X102" s="456"/>
      <c r="Y102" s="493"/>
      <c r="Z102" s="456">
        <v>288565</v>
      </c>
      <c r="AA102" s="493">
        <v>297005</v>
      </c>
      <c r="AB102" s="456">
        <v>168161</v>
      </c>
      <c r="AC102" s="493">
        <v>156156</v>
      </c>
      <c r="AD102" s="456">
        <v>293760</v>
      </c>
      <c r="AE102" s="493">
        <v>286915</v>
      </c>
      <c r="AF102" s="449">
        <f t="shared" si="57"/>
        <v>750486</v>
      </c>
      <c r="AG102" s="450">
        <f t="shared" si="58"/>
        <v>833.87333333333333</v>
      </c>
      <c r="AH102" s="451">
        <f t="shared" si="59"/>
        <v>740076</v>
      </c>
      <c r="AI102" s="451">
        <f t="shared" si="60"/>
        <v>822.30666666666662</v>
      </c>
      <c r="AJ102" s="456">
        <v>300</v>
      </c>
      <c r="AK102" s="493">
        <v>0</v>
      </c>
      <c r="AL102" s="449">
        <f t="shared" si="61"/>
        <v>750486</v>
      </c>
      <c r="AM102" s="452">
        <f t="shared" si="62"/>
        <v>740076</v>
      </c>
      <c r="AN102" s="456"/>
      <c r="AO102" s="493"/>
      <c r="AP102" s="456"/>
      <c r="AQ102" s="493"/>
      <c r="AR102" s="456"/>
      <c r="AS102" s="493"/>
      <c r="AT102" s="456"/>
      <c r="AU102" s="493"/>
      <c r="AV102" s="449">
        <f t="shared" si="63"/>
        <v>0</v>
      </c>
      <c r="AW102" s="453">
        <f t="shared" si="64"/>
        <v>0</v>
      </c>
      <c r="AX102" s="451">
        <f t="shared" si="65"/>
        <v>0</v>
      </c>
      <c r="AY102" s="454">
        <f t="shared" si="66"/>
        <v>0</v>
      </c>
      <c r="AZ102" s="455">
        <f t="shared" si="67"/>
        <v>7950.706666666666</v>
      </c>
      <c r="BA102" s="451">
        <f t="shared" si="68"/>
        <v>7301.24</v>
      </c>
    </row>
    <row r="103" spans="1:53">
      <c r="A103" s="563" t="s">
        <v>245</v>
      </c>
      <c r="B103" s="564" t="s">
        <v>328</v>
      </c>
      <c r="C103" s="565"/>
      <c r="D103" s="566">
        <v>136516</v>
      </c>
      <c r="E103" s="566">
        <v>7</v>
      </c>
      <c r="F103" s="491" t="s">
        <v>41</v>
      </c>
      <c r="G103" s="492" t="s">
        <v>41</v>
      </c>
      <c r="H103" s="456"/>
      <c r="I103" s="493"/>
      <c r="J103" s="456">
        <v>98120</v>
      </c>
      <c r="K103" s="493">
        <v>91347</v>
      </c>
      <c r="L103" s="456">
        <v>33025</v>
      </c>
      <c r="M103" s="493">
        <v>31414</v>
      </c>
      <c r="N103" s="456">
        <v>98063</v>
      </c>
      <c r="O103" s="493">
        <v>93794</v>
      </c>
      <c r="P103" s="449">
        <f t="shared" si="51"/>
        <v>229208</v>
      </c>
      <c r="Q103" s="450">
        <f t="shared" si="52"/>
        <v>7640.2666666666664</v>
      </c>
      <c r="R103" s="451">
        <f t="shared" si="53"/>
        <v>216555</v>
      </c>
      <c r="S103" s="452">
        <f t="shared" si="54"/>
        <v>7218.5</v>
      </c>
      <c r="T103" s="456">
        <v>33207</v>
      </c>
      <c r="U103" s="493">
        <v>34600</v>
      </c>
      <c r="V103" s="449">
        <f t="shared" si="55"/>
        <v>229208</v>
      </c>
      <c r="W103" s="448">
        <f t="shared" si="56"/>
        <v>216555</v>
      </c>
      <c r="X103" s="456"/>
      <c r="Y103" s="493"/>
      <c r="Z103" s="456">
        <v>26422</v>
      </c>
      <c r="AA103" s="493">
        <v>33882</v>
      </c>
      <c r="AB103" s="456">
        <v>13456</v>
      </c>
      <c r="AC103" s="493">
        <v>22002</v>
      </c>
      <c r="AD103" s="456">
        <v>29228</v>
      </c>
      <c r="AE103" s="493">
        <v>26050</v>
      </c>
      <c r="AF103" s="449">
        <f t="shared" si="57"/>
        <v>69106</v>
      </c>
      <c r="AG103" s="450">
        <f t="shared" si="58"/>
        <v>76.784444444444446</v>
      </c>
      <c r="AH103" s="451">
        <f t="shared" si="59"/>
        <v>81934</v>
      </c>
      <c r="AI103" s="451">
        <f t="shared" si="60"/>
        <v>91.037777777777777</v>
      </c>
      <c r="AJ103" s="456">
        <v>0</v>
      </c>
      <c r="AK103" s="493">
        <v>0</v>
      </c>
      <c r="AL103" s="449">
        <f t="shared" si="61"/>
        <v>69106</v>
      </c>
      <c r="AM103" s="452">
        <f t="shared" si="62"/>
        <v>81934</v>
      </c>
      <c r="AN103" s="456"/>
      <c r="AO103" s="493"/>
      <c r="AP103" s="456"/>
      <c r="AQ103" s="493"/>
      <c r="AR103" s="456"/>
      <c r="AS103" s="493"/>
      <c r="AT103" s="456"/>
      <c r="AU103" s="493"/>
      <c r="AV103" s="449">
        <f t="shared" si="63"/>
        <v>0</v>
      </c>
      <c r="AW103" s="453">
        <f t="shared" si="64"/>
        <v>0</v>
      </c>
      <c r="AX103" s="451">
        <f t="shared" si="65"/>
        <v>0</v>
      </c>
      <c r="AY103" s="454">
        <f t="shared" si="66"/>
        <v>0</v>
      </c>
      <c r="AZ103" s="455">
        <f t="shared" si="67"/>
        <v>7717.0511111111109</v>
      </c>
      <c r="BA103" s="451">
        <f t="shared" si="68"/>
        <v>7309.5377777777776</v>
      </c>
    </row>
    <row r="104" spans="1:53">
      <c r="A104" s="563" t="s">
        <v>245</v>
      </c>
      <c r="B104" s="564" t="s">
        <v>329</v>
      </c>
      <c r="C104" s="565"/>
      <c r="D104" s="566">
        <v>137096</v>
      </c>
      <c r="E104" s="567">
        <v>7</v>
      </c>
      <c r="F104" s="491" t="s">
        <v>41</v>
      </c>
      <c r="G104" s="492" t="s">
        <v>41</v>
      </c>
      <c r="H104" s="456"/>
      <c r="I104" s="493"/>
      <c r="J104" s="456">
        <v>128541</v>
      </c>
      <c r="K104" s="493">
        <v>124028</v>
      </c>
      <c r="L104" s="456">
        <v>54761</v>
      </c>
      <c r="M104" s="493">
        <v>53581</v>
      </c>
      <c r="N104" s="456">
        <v>139935</v>
      </c>
      <c r="O104" s="493">
        <v>135101</v>
      </c>
      <c r="P104" s="449">
        <f t="shared" si="51"/>
        <v>323237</v>
      </c>
      <c r="Q104" s="450">
        <f t="shared" si="52"/>
        <v>10774.566666666668</v>
      </c>
      <c r="R104" s="451">
        <f t="shared" si="53"/>
        <v>312710</v>
      </c>
      <c r="S104" s="452">
        <f t="shared" si="54"/>
        <v>10423.666666666666</v>
      </c>
      <c r="T104" s="456">
        <v>15690</v>
      </c>
      <c r="U104" s="493">
        <v>15516</v>
      </c>
      <c r="V104" s="449">
        <f t="shared" si="55"/>
        <v>323237</v>
      </c>
      <c r="W104" s="448">
        <f t="shared" si="56"/>
        <v>312710</v>
      </c>
      <c r="X104" s="456"/>
      <c r="Y104" s="493"/>
      <c r="Z104" s="456">
        <v>198498</v>
      </c>
      <c r="AA104" s="493">
        <v>199512</v>
      </c>
      <c r="AB104" s="456">
        <v>144360</v>
      </c>
      <c r="AC104" s="493">
        <v>142883</v>
      </c>
      <c r="AD104" s="456">
        <v>206828</v>
      </c>
      <c r="AE104" s="493">
        <v>267081</v>
      </c>
      <c r="AF104" s="449">
        <f t="shared" si="57"/>
        <v>549686</v>
      </c>
      <c r="AG104" s="450">
        <f t="shared" si="58"/>
        <v>610.76222222222225</v>
      </c>
      <c r="AH104" s="451">
        <f t="shared" si="59"/>
        <v>609476</v>
      </c>
      <c r="AI104" s="451">
        <f t="shared" si="60"/>
        <v>677.19555555555553</v>
      </c>
      <c r="AJ104" s="456">
        <v>3126</v>
      </c>
      <c r="AK104" s="493">
        <v>3666</v>
      </c>
      <c r="AL104" s="449">
        <f t="shared" si="61"/>
        <v>549686</v>
      </c>
      <c r="AM104" s="452">
        <f t="shared" si="62"/>
        <v>609476</v>
      </c>
      <c r="AN104" s="456"/>
      <c r="AO104" s="493"/>
      <c r="AP104" s="456"/>
      <c r="AQ104" s="493"/>
      <c r="AR104" s="456"/>
      <c r="AS104" s="493"/>
      <c r="AT104" s="456"/>
      <c r="AU104" s="493"/>
      <c r="AV104" s="449">
        <f t="shared" si="63"/>
        <v>0</v>
      </c>
      <c r="AW104" s="453">
        <f t="shared" si="64"/>
        <v>0</v>
      </c>
      <c r="AX104" s="451">
        <f t="shared" si="65"/>
        <v>0</v>
      </c>
      <c r="AY104" s="454">
        <f t="shared" si="66"/>
        <v>0</v>
      </c>
      <c r="AZ104" s="455">
        <f t="shared" si="67"/>
        <v>11385.328888888889</v>
      </c>
      <c r="BA104" s="451">
        <f t="shared" si="68"/>
        <v>11100.862222222222</v>
      </c>
    </row>
    <row r="105" spans="1:53">
      <c r="A105" s="563" t="s">
        <v>245</v>
      </c>
      <c r="B105" s="564" t="s">
        <v>330</v>
      </c>
      <c r="C105" s="565"/>
      <c r="D105" s="566">
        <v>137209</v>
      </c>
      <c r="E105" s="567">
        <v>7</v>
      </c>
      <c r="F105" s="491" t="s">
        <v>41</v>
      </c>
      <c r="G105" s="492" t="s">
        <v>41</v>
      </c>
      <c r="H105" s="456"/>
      <c r="I105" s="493"/>
      <c r="J105" s="456">
        <v>148690</v>
      </c>
      <c r="K105" s="493">
        <v>140599</v>
      </c>
      <c r="L105" s="456">
        <v>58806</v>
      </c>
      <c r="M105" s="493">
        <v>57678</v>
      </c>
      <c r="N105" s="456">
        <v>156106</v>
      </c>
      <c r="O105" s="493">
        <v>147834</v>
      </c>
      <c r="P105" s="449">
        <f t="shared" si="51"/>
        <v>363602</v>
      </c>
      <c r="Q105" s="450">
        <f t="shared" si="52"/>
        <v>12120.066666666668</v>
      </c>
      <c r="R105" s="451">
        <f t="shared" si="53"/>
        <v>346111</v>
      </c>
      <c r="S105" s="452">
        <f t="shared" si="54"/>
        <v>11537.033333333333</v>
      </c>
      <c r="T105" s="456">
        <v>9386</v>
      </c>
      <c r="U105" s="493">
        <v>10613</v>
      </c>
      <c r="V105" s="449">
        <f t="shared" si="55"/>
        <v>363602</v>
      </c>
      <c r="W105" s="448">
        <f t="shared" si="56"/>
        <v>346111</v>
      </c>
      <c r="X105" s="456"/>
      <c r="Y105" s="493"/>
      <c r="Z105" s="456">
        <v>480552</v>
      </c>
      <c r="AA105" s="493">
        <v>459501</v>
      </c>
      <c r="AB105" s="456">
        <v>296919</v>
      </c>
      <c r="AC105" s="493">
        <v>284434</v>
      </c>
      <c r="AD105" s="456">
        <v>485720</v>
      </c>
      <c r="AE105" s="493">
        <v>476727</v>
      </c>
      <c r="AF105" s="449">
        <f t="shared" si="57"/>
        <v>1263191</v>
      </c>
      <c r="AG105" s="450">
        <f t="shared" si="58"/>
        <v>1403.5455555555557</v>
      </c>
      <c r="AH105" s="451">
        <f t="shared" si="59"/>
        <v>1220662</v>
      </c>
      <c r="AI105" s="451">
        <f t="shared" si="60"/>
        <v>1356.2911111111111</v>
      </c>
      <c r="AJ105" s="456">
        <v>6840</v>
      </c>
      <c r="AK105" s="493">
        <v>4013</v>
      </c>
      <c r="AL105" s="449">
        <f t="shared" si="61"/>
        <v>1263191</v>
      </c>
      <c r="AM105" s="452">
        <f t="shared" si="62"/>
        <v>1220662</v>
      </c>
      <c r="AN105" s="456"/>
      <c r="AO105" s="493"/>
      <c r="AP105" s="456"/>
      <c r="AQ105" s="493"/>
      <c r="AR105" s="456"/>
      <c r="AS105" s="493"/>
      <c r="AT105" s="456"/>
      <c r="AU105" s="493"/>
      <c r="AV105" s="449">
        <f t="shared" si="63"/>
        <v>0</v>
      </c>
      <c r="AW105" s="453">
        <f t="shared" si="64"/>
        <v>0</v>
      </c>
      <c r="AX105" s="451">
        <f t="shared" si="65"/>
        <v>0</v>
      </c>
      <c r="AY105" s="454">
        <f t="shared" si="66"/>
        <v>0</v>
      </c>
      <c r="AZ105" s="455">
        <f t="shared" si="67"/>
        <v>13523.612222222224</v>
      </c>
      <c r="BA105" s="451">
        <f t="shared" si="68"/>
        <v>12893.324444444444</v>
      </c>
    </row>
    <row r="106" spans="1:53">
      <c r="A106" s="563" t="s">
        <v>245</v>
      </c>
      <c r="B106" s="564" t="s">
        <v>331</v>
      </c>
      <c r="C106" s="565"/>
      <c r="D106" s="566">
        <v>137281</v>
      </c>
      <c r="E106" s="566">
        <v>7</v>
      </c>
      <c r="F106" s="491" t="s">
        <v>41</v>
      </c>
      <c r="G106" s="492" t="s">
        <v>41</v>
      </c>
      <c r="H106" s="456"/>
      <c r="I106" s="493"/>
      <c r="J106" s="456">
        <v>56125</v>
      </c>
      <c r="K106" s="493">
        <v>55459</v>
      </c>
      <c r="L106" s="456">
        <v>20894</v>
      </c>
      <c r="M106" s="493">
        <v>20424</v>
      </c>
      <c r="N106" s="456">
        <v>59344</v>
      </c>
      <c r="O106" s="493">
        <v>58232</v>
      </c>
      <c r="P106" s="449">
        <f t="shared" si="51"/>
        <v>136363</v>
      </c>
      <c r="Q106" s="450">
        <f t="shared" si="52"/>
        <v>4545.4333333333334</v>
      </c>
      <c r="R106" s="451">
        <f t="shared" si="53"/>
        <v>134115</v>
      </c>
      <c r="S106" s="452">
        <f t="shared" si="54"/>
        <v>4470.5</v>
      </c>
      <c r="T106" s="456">
        <v>20198</v>
      </c>
      <c r="U106" s="493">
        <v>22539</v>
      </c>
      <c r="V106" s="449">
        <f t="shared" si="55"/>
        <v>136363</v>
      </c>
      <c r="W106" s="448">
        <f t="shared" si="56"/>
        <v>134115</v>
      </c>
      <c r="X106" s="456"/>
      <c r="Y106" s="493"/>
      <c r="Z106" s="456">
        <v>71582</v>
      </c>
      <c r="AA106" s="493">
        <v>80088</v>
      </c>
      <c r="AB106" s="456">
        <v>43779</v>
      </c>
      <c r="AC106" s="493">
        <v>38340</v>
      </c>
      <c r="AD106" s="456">
        <v>105666</v>
      </c>
      <c r="AE106" s="493">
        <v>75728</v>
      </c>
      <c r="AF106" s="449">
        <f t="shared" si="57"/>
        <v>221027</v>
      </c>
      <c r="AG106" s="450">
        <f t="shared" si="58"/>
        <v>245.58555555555554</v>
      </c>
      <c r="AH106" s="451">
        <f t="shared" si="59"/>
        <v>194156</v>
      </c>
      <c r="AI106" s="451">
        <f t="shared" si="60"/>
        <v>215.72888888888889</v>
      </c>
      <c r="AJ106" s="456">
        <v>0</v>
      </c>
      <c r="AK106" s="493">
        <v>0</v>
      </c>
      <c r="AL106" s="449">
        <f t="shared" si="61"/>
        <v>221027</v>
      </c>
      <c r="AM106" s="452">
        <f t="shared" si="62"/>
        <v>194156</v>
      </c>
      <c r="AN106" s="456"/>
      <c r="AO106" s="493"/>
      <c r="AP106" s="456"/>
      <c r="AQ106" s="493"/>
      <c r="AR106" s="456"/>
      <c r="AS106" s="493"/>
      <c r="AT106" s="456"/>
      <c r="AU106" s="493"/>
      <c r="AV106" s="449">
        <f t="shared" si="63"/>
        <v>0</v>
      </c>
      <c r="AW106" s="453">
        <f t="shared" si="64"/>
        <v>0</v>
      </c>
      <c r="AX106" s="451">
        <f t="shared" si="65"/>
        <v>0</v>
      </c>
      <c r="AY106" s="454">
        <f t="shared" si="66"/>
        <v>0</v>
      </c>
      <c r="AZ106" s="455">
        <f t="shared" si="67"/>
        <v>4791.0188888888888</v>
      </c>
      <c r="BA106" s="451">
        <f t="shared" si="68"/>
        <v>4686.2288888888888</v>
      </c>
    </row>
    <row r="107" spans="1:53">
      <c r="A107" s="563" t="s">
        <v>245</v>
      </c>
      <c r="B107" s="568" t="s">
        <v>332</v>
      </c>
      <c r="C107" s="569"/>
      <c r="D107" s="566">
        <v>137078</v>
      </c>
      <c r="E107" s="566">
        <v>7</v>
      </c>
      <c r="F107" s="491" t="s">
        <v>41</v>
      </c>
      <c r="G107" s="492" t="s">
        <v>41</v>
      </c>
      <c r="H107" s="456"/>
      <c r="I107" s="493"/>
      <c r="J107" s="456">
        <v>256407</v>
      </c>
      <c r="K107" s="493">
        <v>259243</v>
      </c>
      <c r="L107" s="456">
        <v>87945</v>
      </c>
      <c r="M107" s="493">
        <v>87666</v>
      </c>
      <c r="N107" s="456">
        <v>272956</v>
      </c>
      <c r="O107" s="493">
        <v>263336</v>
      </c>
      <c r="P107" s="449">
        <f t="shared" si="51"/>
        <v>617308</v>
      </c>
      <c r="Q107" s="450">
        <f t="shared" si="52"/>
        <v>20576.933333333334</v>
      </c>
      <c r="R107" s="451">
        <f t="shared" si="53"/>
        <v>610245</v>
      </c>
      <c r="S107" s="452">
        <f t="shared" si="54"/>
        <v>20341.5</v>
      </c>
      <c r="T107" s="456">
        <v>38713</v>
      </c>
      <c r="U107" s="493">
        <v>37922</v>
      </c>
      <c r="V107" s="449">
        <f t="shared" si="55"/>
        <v>617308</v>
      </c>
      <c r="W107" s="448">
        <f t="shared" si="56"/>
        <v>610245</v>
      </c>
      <c r="X107" s="456"/>
      <c r="Y107" s="493"/>
      <c r="Z107" s="456">
        <v>68235</v>
      </c>
      <c r="AA107" s="493">
        <v>63812</v>
      </c>
      <c r="AB107" s="456">
        <v>30004</v>
      </c>
      <c r="AC107" s="493">
        <v>27956</v>
      </c>
      <c r="AD107" s="456">
        <v>79782</v>
      </c>
      <c r="AE107" s="493">
        <v>50394</v>
      </c>
      <c r="AF107" s="449">
        <f t="shared" si="57"/>
        <v>178021</v>
      </c>
      <c r="AG107" s="450">
        <f t="shared" si="58"/>
        <v>197.80111111111111</v>
      </c>
      <c r="AH107" s="451">
        <f t="shared" si="59"/>
        <v>142162</v>
      </c>
      <c r="AI107" s="451">
        <f t="shared" si="60"/>
        <v>157.95777777777778</v>
      </c>
      <c r="AJ107" s="456">
        <v>0</v>
      </c>
      <c r="AK107" s="493">
        <v>0</v>
      </c>
      <c r="AL107" s="449">
        <f t="shared" si="61"/>
        <v>178021</v>
      </c>
      <c r="AM107" s="452">
        <f t="shared" si="62"/>
        <v>142162</v>
      </c>
      <c r="AN107" s="456"/>
      <c r="AO107" s="493"/>
      <c r="AP107" s="456"/>
      <c r="AQ107" s="493"/>
      <c r="AR107" s="456"/>
      <c r="AS107" s="493"/>
      <c r="AT107" s="456"/>
      <c r="AU107" s="493"/>
      <c r="AV107" s="449">
        <f t="shared" si="63"/>
        <v>0</v>
      </c>
      <c r="AW107" s="453">
        <f t="shared" si="64"/>
        <v>0</v>
      </c>
      <c r="AX107" s="451">
        <f t="shared" si="65"/>
        <v>0</v>
      </c>
      <c r="AY107" s="454">
        <f t="shared" si="66"/>
        <v>0</v>
      </c>
      <c r="AZ107" s="455">
        <f t="shared" si="67"/>
        <v>20774.734444444446</v>
      </c>
      <c r="BA107" s="451">
        <f t="shared" si="68"/>
        <v>20499.457777777778</v>
      </c>
    </row>
    <row r="108" spans="1:53">
      <c r="A108" s="563" t="s">
        <v>245</v>
      </c>
      <c r="B108" s="564" t="s">
        <v>333</v>
      </c>
      <c r="C108" s="565"/>
      <c r="D108" s="566">
        <v>135391</v>
      </c>
      <c r="E108" s="566">
        <v>7</v>
      </c>
      <c r="F108" s="491" t="s">
        <v>41</v>
      </c>
      <c r="G108" s="492" t="s">
        <v>41</v>
      </c>
      <c r="H108" s="456"/>
      <c r="I108" s="493"/>
      <c r="J108" s="456">
        <v>94765</v>
      </c>
      <c r="K108" s="493">
        <v>94868</v>
      </c>
      <c r="L108" s="456">
        <v>30275</v>
      </c>
      <c r="M108" s="493">
        <v>29945</v>
      </c>
      <c r="N108" s="456">
        <v>101317</v>
      </c>
      <c r="O108" s="493">
        <v>99308</v>
      </c>
      <c r="P108" s="449">
        <f t="shared" si="51"/>
        <v>226357</v>
      </c>
      <c r="Q108" s="450">
        <f t="shared" si="52"/>
        <v>7545.2333333333336</v>
      </c>
      <c r="R108" s="451">
        <f t="shared" si="53"/>
        <v>224121</v>
      </c>
      <c r="S108" s="452">
        <f t="shared" si="54"/>
        <v>7470.7</v>
      </c>
      <c r="T108" s="456">
        <v>19071</v>
      </c>
      <c r="U108" s="493">
        <v>22271</v>
      </c>
      <c r="V108" s="449">
        <f t="shared" si="55"/>
        <v>226357</v>
      </c>
      <c r="W108" s="448">
        <f t="shared" si="56"/>
        <v>224121</v>
      </c>
      <c r="X108" s="456"/>
      <c r="Y108" s="493"/>
      <c r="Z108" s="456">
        <v>0</v>
      </c>
      <c r="AA108" s="493">
        <v>0</v>
      </c>
      <c r="AB108" s="456">
        <v>0</v>
      </c>
      <c r="AC108" s="493">
        <v>0</v>
      </c>
      <c r="AD108" s="456">
        <v>0</v>
      </c>
      <c r="AE108" s="493">
        <v>0</v>
      </c>
      <c r="AF108" s="449">
        <f t="shared" si="57"/>
        <v>0</v>
      </c>
      <c r="AG108" s="450">
        <f t="shared" si="58"/>
        <v>0</v>
      </c>
      <c r="AH108" s="451">
        <f t="shared" si="59"/>
        <v>0</v>
      </c>
      <c r="AI108" s="451">
        <f t="shared" si="60"/>
        <v>0</v>
      </c>
      <c r="AJ108" s="456">
        <v>0</v>
      </c>
      <c r="AK108" s="493">
        <v>0</v>
      </c>
      <c r="AL108" s="449">
        <f t="shared" si="61"/>
        <v>0</v>
      </c>
      <c r="AM108" s="452">
        <f t="shared" si="62"/>
        <v>0</v>
      </c>
      <c r="AN108" s="456"/>
      <c r="AO108" s="493"/>
      <c r="AP108" s="456"/>
      <c r="AQ108" s="493"/>
      <c r="AR108" s="456"/>
      <c r="AS108" s="493"/>
      <c r="AT108" s="456"/>
      <c r="AU108" s="493"/>
      <c r="AV108" s="449">
        <f t="shared" si="63"/>
        <v>0</v>
      </c>
      <c r="AW108" s="453">
        <f t="shared" si="64"/>
        <v>0</v>
      </c>
      <c r="AX108" s="451">
        <f t="shared" si="65"/>
        <v>0</v>
      </c>
      <c r="AY108" s="454">
        <f t="shared" si="66"/>
        <v>0</v>
      </c>
      <c r="AZ108" s="455">
        <f t="shared" si="67"/>
        <v>7545.2333333333336</v>
      </c>
      <c r="BA108" s="451">
        <f t="shared" si="68"/>
        <v>7470.7</v>
      </c>
    </row>
    <row r="109" spans="1:53">
      <c r="A109" s="563" t="s">
        <v>245</v>
      </c>
      <c r="B109" s="564" t="s">
        <v>334</v>
      </c>
      <c r="C109" s="576" t="s">
        <v>345</v>
      </c>
      <c r="D109" s="571">
        <v>132851</v>
      </c>
      <c r="E109" s="577">
        <v>7</v>
      </c>
      <c r="F109" s="491" t="s">
        <v>41</v>
      </c>
      <c r="G109" s="492" t="s">
        <v>41</v>
      </c>
      <c r="H109" s="456"/>
      <c r="I109" s="493"/>
      <c r="J109" s="456">
        <v>69938</v>
      </c>
      <c r="K109" s="493">
        <v>71601</v>
      </c>
      <c r="L109" s="456">
        <v>23187</v>
      </c>
      <c r="M109" s="493">
        <v>23846</v>
      </c>
      <c r="N109" s="456">
        <v>72954</v>
      </c>
      <c r="O109" s="493">
        <v>67274</v>
      </c>
      <c r="P109" s="449">
        <f t="shared" si="51"/>
        <v>166079</v>
      </c>
      <c r="Q109" s="450">
        <f t="shared" si="52"/>
        <v>5535.9666666666662</v>
      </c>
      <c r="R109" s="451">
        <f t="shared" si="53"/>
        <v>162721</v>
      </c>
      <c r="S109" s="452">
        <f t="shared" si="54"/>
        <v>5424.0333333333338</v>
      </c>
      <c r="T109" s="456">
        <v>14897</v>
      </c>
      <c r="U109" s="493">
        <v>16442</v>
      </c>
      <c r="V109" s="449">
        <f t="shared" si="55"/>
        <v>166079</v>
      </c>
      <c r="W109" s="448">
        <f t="shared" si="56"/>
        <v>162721</v>
      </c>
      <c r="X109" s="456"/>
      <c r="Y109" s="493"/>
      <c r="Z109" s="456">
        <v>73277</v>
      </c>
      <c r="AA109" s="493">
        <v>68992</v>
      </c>
      <c r="AB109" s="456">
        <v>44293</v>
      </c>
      <c r="AC109" s="493">
        <v>35499</v>
      </c>
      <c r="AD109" s="456">
        <v>59116</v>
      </c>
      <c r="AE109" s="493">
        <v>80553</v>
      </c>
      <c r="AF109" s="449">
        <f t="shared" si="57"/>
        <v>176686</v>
      </c>
      <c r="AG109" s="450">
        <f t="shared" si="58"/>
        <v>196.31777777777779</v>
      </c>
      <c r="AH109" s="451">
        <f t="shared" si="59"/>
        <v>185044</v>
      </c>
      <c r="AI109" s="451">
        <f t="shared" si="60"/>
        <v>205.60444444444445</v>
      </c>
      <c r="AJ109" s="456">
        <v>2820</v>
      </c>
      <c r="AK109" s="493">
        <v>5310</v>
      </c>
      <c r="AL109" s="449">
        <f t="shared" si="61"/>
        <v>176686</v>
      </c>
      <c r="AM109" s="452">
        <f t="shared" si="62"/>
        <v>185044</v>
      </c>
      <c r="AN109" s="456"/>
      <c r="AO109" s="493"/>
      <c r="AP109" s="456"/>
      <c r="AQ109" s="493"/>
      <c r="AR109" s="456"/>
      <c r="AS109" s="493"/>
      <c r="AT109" s="456"/>
      <c r="AU109" s="493"/>
      <c r="AV109" s="449">
        <f t="shared" si="63"/>
        <v>0</v>
      </c>
      <c r="AW109" s="453">
        <f t="shared" si="64"/>
        <v>0</v>
      </c>
      <c r="AX109" s="451">
        <f t="shared" si="65"/>
        <v>0</v>
      </c>
      <c r="AY109" s="454">
        <f t="shared" si="66"/>
        <v>0</v>
      </c>
      <c r="AZ109" s="455">
        <f t="shared" si="67"/>
        <v>5732.2844444444436</v>
      </c>
      <c r="BA109" s="451">
        <f t="shared" si="68"/>
        <v>5629.637777777778</v>
      </c>
    </row>
    <row r="110" spans="1:53">
      <c r="A110" s="563" t="s">
        <v>245</v>
      </c>
      <c r="B110" s="564" t="s">
        <v>335</v>
      </c>
      <c r="C110" s="569" t="s">
        <v>317</v>
      </c>
      <c r="D110" s="566">
        <v>132693</v>
      </c>
      <c r="E110" s="566">
        <v>8</v>
      </c>
      <c r="F110" s="491" t="s">
        <v>41</v>
      </c>
      <c r="G110" s="492" t="s">
        <v>41</v>
      </c>
      <c r="H110" s="456"/>
      <c r="I110" s="493"/>
      <c r="J110" s="456">
        <v>133258</v>
      </c>
      <c r="K110" s="493">
        <v>126412</v>
      </c>
      <c r="L110" s="456">
        <v>46701</v>
      </c>
      <c r="M110" s="493">
        <v>42722</v>
      </c>
      <c r="N110" s="456">
        <v>136976</v>
      </c>
      <c r="O110" s="493">
        <v>135242</v>
      </c>
      <c r="P110" s="449">
        <f t="shared" si="51"/>
        <v>316935</v>
      </c>
      <c r="Q110" s="450">
        <f t="shared" si="52"/>
        <v>10564.5</v>
      </c>
      <c r="R110" s="451">
        <f t="shared" si="53"/>
        <v>304376</v>
      </c>
      <c r="S110" s="452">
        <f t="shared" si="54"/>
        <v>10145.866666666667</v>
      </c>
      <c r="T110" s="456">
        <v>53200</v>
      </c>
      <c r="U110" s="493">
        <v>49607</v>
      </c>
      <c r="V110" s="449">
        <f t="shared" si="55"/>
        <v>316935</v>
      </c>
      <c r="W110" s="448">
        <f t="shared" si="56"/>
        <v>304376</v>
      </c>
      <c r="X110" s="456"/>
      <c r="Y110" s="493"/>
      <c r="Z110" s="456">
        <v>255828</v>
      </c>
      <c r="AA110" s="493">
        <v>280902</v>
      </c>
      <c r="AB110" s="456">
        <v>63134</v>
      </c>
      <c r="AC110" s="493">
        <v>34806</v>
      </c>
      <c r="AD110" s="456">
        <v>347115</v>
      </c>
      <c r="AE110" s="493">
        <v>157443</v>
      </c>
      <c r="AF110" s="449">
        <f t="shared" si="57"/>
        <v>666077</v>
      </c>
      <c r="AG110" s="450">
        <f t="shared" si="58"/>
        <v>740.08555555555552</v>
      </c>
      <c r="AH110" s="451">
        <f t="shared" si="59"/>
        <v>473151</v>
      </c>
      <c r="AI110" s="451">
        <f t="shared" si="60"/>
        <v>525.72333333333336</v>
      </c>
      <c r="AJ110" s="456">
        <v>58233</v>
      </c>
      <c r="AK110" s="493">
        <v>37522</v>
      </c>
      <c r="AL110" s="449">
        <f t="shared" si="61"/>
        <v>666077</v>
      </c>
      <c r="AM110" s="452">
        <f t="shared" si="62"/>
        <v>473151</v>
      </c>
      <c r="AN110" s="456"/>
      <c r="AO110" s="493"/>
      <c r="AP110" s="456"/>
      <c r="AQ110" s="493"/>
      <c r="AR110" s="456"/>
      <c r="AS110" s="493"/>
      <c r="AT110" s="456"/>
      <c r="AU110" s="493"/>
      <c r="AV110" s="449">
        <f t="shared" si="63"/>
        <v>0</v>
      </c>
      <c r="AW110" s="453">
        <f t="shared" si="64"/>
        <v>0</v>
      </c>
      <c r="AX110" s="451">
        <f t="shared" si="65"/>
        <v>0</v>
      </c>
      <c r="AY110" s="454">
        <f t="shared" si="66"/>
        <v>0</v>
      </c>
      <c r="AZ110" s="455">
        <f t="shared" si="67"/>
        <v>11304.585555555555</v>
      </c>
      <c r="BA110" s="451">
        <f t="shared" si="68"/>
        <v>10671.59</v>
      </c>
    </row>
    <row r="111" spans="1:53">
      <c r="A111" s="563" t="s">
        <v>245</v>
      </c>
      <c r="B111" s="564" t="s">
        <v>336</v>
      </c>
      <c r="C111" s="570"/>
      <c r="D111" s="566">
        <v>134495</v>
      </c>
      <c r="E111" s="566">
        <v>8</v>
      </c>
      <c r="F111" s="491" t="s">
        <v>41</v>
      </c>
      <c r="G111" s="492" t="s">
        <v>41</v>
      </c>
      <c r="H111" s="456"/>
      <c r="I111" s="493"/>
      <c r="J111" s="456">
        <v>232883</v>
      </c>
      <c r="K111" s="493">
        <v>230530</v>
      </c>
      <c r="L111" s="456">
        <v>82337</v>
      </c>
      <c r="M111" s="493">
        <v>82496</v>
      </c>
      <c r="N111" s="456">
        <v>243820</v>
      </c>
      <c r="O111" s="493">
        <v>238404</v>
      </c>
      <c r="P111" s="449">
        <f t="shared" si="51"/>
        <v>559040</v>
      </c>
      <c r="Q111" s="450">
        <f t="shared" si="52"/>
        <v>18634.666666666668</v>
      </c>
      <c r="R111" s="451">
        <f t="shared" si="53"/>
        <v>551430</v>
      </c>
      <c r="S111" s="452">
        <f t="shared" si="54"/>
        <v>18381</v>
      </c>
      <c r="T111" s="456">
        <v>24491</v>
      </c>
      <c r="U111" s="493">
        <v>29835</v>
      </c>
      <c r="V111" s="449">
        <f t="shared" si="55"/>
        <v>559040</v>
      </c>
      <c r="W111" s="448">
        <f t="shared" si="56"/>
        <v>551430</v>
      </c>
      <c r="X111" s="456"/>
      <c r="Y111" s="493"/>
      <c r="Z111" s="456">
        <v>652925</v>
      </c>
      <c r="AA111" s="493">
        <v>739004</v>
      </c>
      <c r="AB111" s="456">
        <v>159530</v>
      </c>
      <c r="AC111" s="493">
        <v>143088</v>
      </c>
      <c r="AD111" s="456">
        <v>727808</v>
      </c>
      <c r="AE111" s="493">
        <v>807136</v>
      </c>
      <c r="AF111" s="449">
        <f t="shared" si="57"/>
        <v>1540263</v>
      </c>
      <c r="AG111" s="450">
        <f t="shared" si="58"/>
        <v>1711.4033333333334</v>
      </c>
      <c r="AH111" s="451">
        <f t="shared" si="59"/>
        <v>1689228</v>
      </c>
      <c r="AI111" s="451">
        <f t="shared" si="60"/>
        <v>1876.92</v>
      </c>
      <c r="AJ111" s="456">
        <v>0</v>
      </c>
      <c r="AK111" s="493">
        <v>0</v>
      </c>
      <c r="AL111" s="449">
        <f t="shared" si="61"/>
        <v>1540263</v>
      </c>
      <c r="AM111" s="452">
        <f t="shared" si="62"/>
        <v>1689228</v>
      </c>
      <c r="AN111" s="456"/>
      <c r="AO111" s="493"/>
      <c r="AP111" s="456"/>
      <c r="AQ111" s="493"/>
      <c r="AR111" s="456"/>
      <c r="AS111" s="493"/>
      <c r="AT111" s="456"/>
      <c r="AU111" s="493"/>
      <c r="AV111" s="449">
        <f t="shared" si="63"/>
        <v>0</v>
      </c>
      <c r="AW111" s="453">
        <f t="shared" si="64"/>
        <v>0</v>
      </c>
      <c r="AX111" s="451">
        <f t="shared" si="65"/>
        <v>0</v>
      </c>
      <c r="AY111" s="454">
        <f t="shared" si="66"/>
        <v>0</v>
      </c>
      <c r="AZ111" s="455">
        <f t="shared" si="67"/>
        <v>20346.07</v>
      </c>
      <c r="BA111" s="451">
        <f t="shared" si="68"/>
        <v>20257.919999999998</v>
      </c>
    </row>
    <row r="112" spans="1:53">
      <c r="A112" s="574" t="s">
        <v>245</v>
      </c>
      <c r="B112" s="564" t="s">
        <v>346</v>
      </c>
      <c r="C112" s="570"/>
      <c r="D112" s="566">
        <v>136400</v>
      </c>
      <c r="E112" s="566">
        <v>8</v>
      </c>
      <c r="F112" s="491" t="s">
        <v>41</v>
      </c>
      <c r="G112" s="492" t="s">
        <v>41</v>
      </c>
      <c r="H112" s="456"/>
      <c r="I112" s="493"/>
      <c r="J112" s="456">
        <v>86294</v>
      </c>
      <c r="K112" s="493">
        <v>93520</v>
      </c>
      <c r="L112" s="456">
        <v>26116</v>
      </c>
      <c r="M112" s="493">
        <v>28196</v>
      </c>
      <c r="N112" s="456">
        <v>100757</v>
      </c>
      <c r="O112" s="493">
        <v>100624</v>
      </c>
      <c r="P112" s="449">
        <f t="shared" si="51"/>
        <v>213167</v>
      </c>
      <c r="Q112" s="450">
        <f t="shared" si="52"/>
        <v>7105.5666666666666</v>
      </c>
      <c r="R112" s="451">
        <f t="shared" si="53"/>
        <v>222340</v>
      </c>
      <c r="S112" s="452">
        <f t="shared" si="54"/>
        <v>7411.333333333333</v>
      </c>
      <c r="T112" s="456">
        <v>21267</v>
      </c>
      <c r="U112" s="493">
        <v>23423</v>
      </c>
      <c r="V112" s="449">
        <f t="shared" si="55"/>
        <v>213167</v>
      </c>
      <c r="W112" s="448">
        <f t="shared" si="56"/>
        <v>222340</v>
      </c>
      <c r="X112" s="456"/>
      <c r="Y112" s="493"/>
      <c r="Z112" s="456">
        <v>139631</v>
      </c>
      <c r="AA112" s="493">
        <v>167173</v>
      </c>
      <c r="AB112" s="456">
        <v>72383</v>
      </c>
      <c r="AC112" s="493">
        <v>80330</v>
      </c>
      <c r="AD112" s="456">
        <v>127716</v>
      </c>
      <c r="AE112" s="493">
        <v>132546</v>
      </c>
      <c r="AF112" s="449">
        <f t="shared" si="57"/>
        <v>339730</v>
      </c>
      <c r="AG112" s="450">
        <f t="shared" si="58"/>
        <v>377.47777777777776</v>
      </c>
      <c r="AH112" s="451">
        <f t="shared" si="59"/>
        <v>380049</v>
      </c>
      <c r="AI112" s="451">
        <f t="shared" si="60"/>
        <v>422.27666666666664</v>
      </c>
      <c r="AJ112" s="456">
        <v>90</v>
      </c>
      <c r="AK112" s="493">
        <v>445</v>
      </c>
      <c r="AL112" s="449">
        <f t="shared" si="61"/>
        <v>339730</v>
      </c>
      <c r="AM112" s="452">
        <f t="shared" si="62"/>
        <v>380049</v>
      </c>
      <c r="AN112" s="456"/>
      <c r="AO112" s="493"/>
      <c r="AP112" s="456"/>
      <c r="AQ112" s="493"/>
      <c r="AR112" s="456"/>
      <c r="AS112" s="493"/>
      <c r="AT112" s="456"/>
      <c r="AU112" s="493"/>
      <c r="AV112" s="449">
        <f t="shared" si="63"/>
        <v>0</v>
      </c>
      <c r="AW112" s="453">
        <f t="shared" si="64"/>
        <v>0</v>
      </c>
      <c r="AX112" s="451">
        <f t="shared" si="65"/>
        <v>0</v>
      </c>
      <c r="AY112" s="454">
        <f t="shared" si="66"/>
        <v>0</v>
      </c>
      <c r="AZ112" s="455">
        <f t="shared" si="67"/>
        <v>7483.0444444444447</v>
      </c>
      <c r="BA112" s="451">
        <f t="shared" si="68"/>
        <v>7833.61</v>
      </c>
    </row>
    <row r="113" spans="1:53">
      <c r="A113" s="563" t="s">
        <v>245</v>
      </c>
      <c r="B113" s="564" t="s">
        <v>337</v>
      </c>
      <c r="C113" s="570"/>
      <c r="D113" s="566">
        <v>137759</v>
      </c>
      <c r="E113" s="566">
        <v>8</v>
      </c>
      <c r="F113" s="491" t="s">
        <v>41</v>
      </c>
      <c r="G113" s="492" t="s">
        <v>41</v>
      </c>
      <c r="H113" s="456"/>
      <c r="I113" s="493"/>
      <c r="J113" s="456">
        <v>112724</v>
      </c>
      <c r="K113" s="493">
        <v>108414</v>
      </c>
      <c r="L113" s="456">
        <v>49783</v>
      </c>
      <c r="M113" s="493">
        <v>45031</v>
      </c>
      <c r="N113" s="456">
        <v>123546</v>
      </c>
      <c r="O113" s="493">
        <v>117184</v>
      </c>
      <c r="P113" s="449">
        <f t="shared" si="51"/>
        <v>286053</v>
      </c>
      <c r="Q113" s="450">
        <f t="shared" si="52"/>
        <v>9535.1</v>
      </c>
      <c r="R113" s="451">
        <f t="shared" si="53"/>
        <v>270629</v>
      </c>
      <c r="S113" s="452">
        <f t="shared" si="54"/>
        <v>9020.9666666666672</v>
      </c>
      <c r="T113" s="456">
        <v>7028</v>
      </c>
      <c r="U113" s="493">
        <v>6545</v>
      </c>
      <c r="V113" s="449">
        <f t="shared" si="55"/>
        <v>286053</v>
      </c>
      <c r="W113" s="448">
        <f t="shared" si="56"/>
        <v>270629</v>
      </c>
      <c r="X113" s="456"/>
      <c r="Y113" s="493"/>
      <c r="Z113" s="456">
        <v>180639</v>
      </c>
      <c r="AA113" s="493">
        <v>134840</v>
      </c>
      <c r="AB113" s="456">
        <v>32052</v>
      </c>
      <c r="AC113" s="493">
        <v>43398</v>
      </c>
      <c r="AD113" s="456">
        <v>162652</v>
      </c>
      <c r="AE113" s="493">
        <v>141124</v>
      </c>
      <c r="AF113" s="449">
        <f t="shared" si="57"/>
        <v>375343</v>
      </c>
      <c r="AG113" s="450">
        <f t="shared" si="58"/>
        <v>417.04777777777775</v>
      </c>
      <c r="AH113" s="451">
        <f t="shared" si="59"/>
        <v>319362</v>
      </c>
      <c r="AI113" s="451">
        <f t="shared" si="60"/>
        <v>354.84666666666669</v>
      </c>
      <c r="AJ113" s="456">
        <v>0</v>
      </c>
      <c r="AK113" s="493">
        <v>0</v>
      </c>
      <c r="AL113" s="449">
        <f t="shared" si="61"/>
        <v>375343</v>
      </c>
      <c r="AM113" s="452">
        <f t="shared" si="62"/>
        <v>319362</v>
      </c>
      <c r="AN113" s="456"/>
      <c r="AO113" s="493"/>
      <c r="AP113" s="456"/>
      <c r="AQ113" s="493"/>
      <c r="AR113" s="456"/>
      <c r="AS113" s="493"/>
      <c r="AT113" s="456"/>
      <c r="AU113" s="493"/>
      <c r="AV113" s="449">
        <f t="shared" si="63"/>
        <v>0</v>
      </c>
      <c r="AW113" s="453">
        <f t="shared" si="64"/>
        <v>0</v>
      </c>
      <c r="AX113" s="451">
        <f t="shared" si="65"/>
        <v>0</v>
      </c>
      <c r="AY113" s="454">
        <f t="shared" si="66"/>
        <v>0</v>
      </c>
      <c r="AZ113" s="455">
        <f t="shared" si="67"/>
        <v>9952.1477777777782</v>
      </c>
      <c r="BA113" s="451">
        <f t="shared" si="68"/>
        <v>9375.8133333333335</v>
      </c>
    </row>
    <row r="114" spans="1:53">
      <c r="A114" s="563" t="s">
        <v>245</v>
      </c>
      <c r="B114" s="564" t="s">
        <v>338</v>
      </c>
      <c r="C114" s="576" t="s">
        <v>345</v>
      </c>
      <c r="D114" s="566">
        <v>138187</v>
      </c>
      <c r="E114" s="573">
        <v>7</v>
      </c>
      <c r="F114" s="491" t="s">
        <v>41</v>
      </c>
      <c r="G114" s="492" t="s">
        <v>41</v>
      </c>
      <c r="H114" s="456"/>
      <c r="I114" s="493"/>
      <c r="J114" s="456">
        <v>348545</v>
      </c>
      <c r="K114" s="493">
        <v>351731</v>
      </c>
      <c r="L114" s="456">
        <v>157519</v>
      </c>
      <c r="M114" s="493">
        <v>156432</v>
      </c>
      <c r="N114" s="456">
        <v>383334</v>
      </c>
      <c r="O114" s="493">
        <v>386381</v>
      </c>
      <c r="P114" s="449">
        <f t="shared" si="51"/>
        <v>889398</v>
      </c>
      <c r="Q114" s="450">
        <f t="shared" si="52"/>
        <v>29646.6</v>
      </c>
      <c r="R114" s="451">
        <f t="shared" si="53"/>
        <v>894544</v>
      </c>
      <c r="S114" s="452">
        <f t="shared" si="54"/>
        <v>29818.133333333335</v>
      </c>
      <c r="T114" s="456">
        <v>34125</v>
      </c>
      <c r="U114" s="493">
        <v>38054</v>
      </c>
      <c r="V114" s="449">
        <f t="shared" si="55"/>
        <v>889398</v>
      </c>
      <c r="W114" s="448">
        <f t="shared" si="56"/>
        <v>894544</v>
      </c>
      <c r="X114" s="456"/>
      <c r="Y114" s="493"/>
      <c r="Z114" s="456">
        <v>137435</v>
      </c>
      <c r="AA114" s="493">
        <v>125458</v>
      </c>
      <c r="AB114" s="456">
        <v>55834</v>
      </c>
      <c r="AC114" s="493">
        <v>66883</v>
      </c>
      <c r="AD114" s="456">
        <v>51221</v>
      </c>
      <c r="AE114" s="493">
        <v>69339</v>
      </c>
      <c r="AF114" s="449">
        <f t="shared" si="57"/>
        <v>244490</v>
      </c>
      <c r="AG114" s="450">
        <f t="shared" si="58"/>
        <v>271.65555555555557</v>
      </c>
      <c r="AH114" s="451">
        <f t="shared" si="59"/>
        <v>261680</v>
      </c>
      <c r="AI114" s="451">
        <f t="shared" si="60"/>
        <v>290.75555555555553</v>
      </c>
      <c r="AJ114" s="456">
        <v>0</v>
      </c>
      <c r="AK114" s="493">
        <v>0</v>
      </c>
      <c r="AL114" s="449">
        <f t="shared" si="61"/>
        <v>244490</v>
      </c>
      <c r="AM114" s="452">
        <f t="shared" si="62"/>
        <v>261680</v>
      </c>
      <c r="AN114" s="456"/>
      <c r="AO114" s="493"/>
      <c r="AP114" s="456"/>
      <c r="AQ114" s="493"/>
      <c r="AR114" s="456"/>
      <c r="AS114" s="493"/>
      <c r="AT114" s="456"/>
      <c r="AU114" s="493"/>
      <c r="AV114" s="449">
        <f t="shared" si="63"/>
        <v>0</v>
      </c>
      <c r="AW114" s="453">
        <f t="shared" si="64"/>
        <v>0</v>
      </c>
      <c r="AX114" s="451">
        <f t="shared" si="65"/>
        <v>0</v>
      </c>
      <c r="AY114" s="454">
        <f t="shared" si="66"/>
        <v>0</v>
      </c>
      <c r="AZ114" s="455">
        <f t="shared" si="67"/>
        <v>29918.255555555555</v>
      </c>
      <c r="BA114" s="451">
        <f t="shared" si="68"/>
        <v>30108.888888888891</v>
      </c>
    </row>
    <row r="115" spans="1:53">
      <c r="A115" s="563" t="s">
        <v>245</v>
      </c>
      <c r="B115" s="564" t="s">
        <v>339</v>
      </c>
      <c r="C115" s="570" t="s">
        <v>347</v>
      </c>
      <c r="D115" s="566">
        <v>135160</v>
      </c>
      <c r="E115" s="566">
        <v>9</v>
      </c>
      <c r="F115" s="491" t="s">
        <v>41</v>
      </c>
      <c r="G115" s="492" t="s">
        <v>41</v>
      </c>
      <c r="H115" s="456"/>
      <c r="I115" s="493"/>
      <c r="J115" s="456">
        <v>22510</v>
      </c>
      <c r="K115" s="493">
        <v>20165</v>
      </c>
      <c r="L115" s="456">
        <v>8554</v>
      </c>
      <c r="M115" s="493">
        <v>8312</v>
      </c>
      <c r="N115" s="456">
        <v>22328</v>
      </c>
      <c r="O115" s="493">
        <v>21586</v>
      </c>
      <c r="P115" s="449">
        <f t="shared" si="51"/>
        <v>53392</v>
      </c>
      <c r="Q115" s="450">
        <f t="shared" si="52"/>
        <v>1779.7333333333333</v>
      </c>
      <c r="R115" s="451">
        <f t="shared" si="53"/>
        <v>50063</v>
      </c>
      <c r="S115" s="452">
        <f t="shared" si="54"/>
        <v>1668.7666666666667</v>
      </c>
      <c r="T115" s="456">
        <v>11606</v>
      </c>
      <c r="U115" s="493">
        <v>13042</v>
      </c>
      <c r="V115" s="449">
        <f t="shared" si="55"/>
        <v>53392</v>
      </c>
      <c r="W115" s="448">
        <f t="shared" si="56"/>
        <v>50063</v>
      </c>
      <c r="X115" s="456"/>
      <c r="Y115" s="493"/>
      <c r="Z115" s="456">
        <v>69944</v>
      </c>
      <c r="AA115" s="493">
        <v>81314</v>
      </c>
      <c r="AB115" s="456">
        <v>53104</v>
      </c>
      <c r="AC115" s="493">
        <v>53049</v>
      </c>
      <c r="AD115" s="456">
        <v>88126</v>
      </c>
      <c r="AE115" s="493">
        <v>94578</v>
      </c>
      <c r="AF115" s="449">
        <f t="shared" si="57"/>
        <v>211174</v>
      </c>
      <c r="AG115" s="450">
        <f t="shared" si="58"/>
        <v>234.63777777777779</v>
      </c>
      <c r="AH115" s="451">
        <f t="shared" si="59"/>
        <v>228941</v>
      </c>
      <c r="AI115" s="451">
        <f t="shared" si="60"/>
        <v>254.37888888888889</v>
      </c>
      <c r="AJ115" s="456">
        <v>8795</v>
      </c>
      <c r="AK115" s="493">
        <v>12417</v>
      </c>
      <c r="AL115" s="449">
        <f t="shared" si="61"/>
        <v>211174</v>
      </c>
      <c r="AM115" s="452">
        <f t="shared" si="62"/>
        <v>228941</v>
      </c>
      <c r="AN115" s="456"/>
      <c r="AO115" s="493"/>
      <c r="AP115" s="456"/>
      <c r="AQ115" s="493"/>
      <c r="AR115" s="456"/>
      <c r="AS115" s="493"/>
      <c r="AT115" s="456"/>
      <c r="AU115" s="493"/>
      <c r="AV115" s="449">
        <f t="shared" si="63"/>
        <v>0</v>
      </c>
      <c r="AW115" s="453">
        <f t="shared" si="64"/>
        <v>0</v>
      </c>
      <c r="AX115" s="451">
        <f t="shared" si="65"/>
        <v>0</v>
      </c>
      <c r="AY115" s="454">
        <f t="shared" si="66"/>
        <v>0</v>
      </c>
      <c r="AZ115" s="455">
        <f t="shared" si="67"/>
        <v>2014.3711111111111</v>
      </c>
      <c r="BA115" s="451">
        <f t="shared" si="68"/>
        <v>1923.1455555555556</v>
      </c>
    </row>
    <row r="116" spans="1:53">
      <c r="A116" s="563" t="s">
        <v>245</v>
      </c>
      <c r="B116" s="564" t="s">
        <v>340</v>
      </c>
      <c r="C116" s="569" t="s">
        <v>317</v>
      </c>
      <c r="D116" s="566">
        <v>135188</v>
      </c>
      <c r="E116" s="566">
        <v>9</v>
      </c>
      <c r="F116" s="491" t="s">
        <v>41</v>
      </c>
      <c r="G116" s="492" t="s">
        <v>41</v>
      </c>
      <c r="H116" s="456"/>
      <c r="I116" s="493"/>
      <c r="J116" s="456">
        <v>34405</v>
      </c>
      <c r="K116" s="493">
        <v>34488</v>
      </c>
      <c r="L116" s="456">
        <v>11630</v>
      </c>
      <c r="M116" s="493">
        <v>12581</v>
      </c>
      <c r="N116" s="456">
        <v>37474</v>
      </c>
      <c r="O116" s="493">
        <v>38919</v>
      </c>
      <c r="P116" s="449">
        <f t="shared" si="51"/>
        <v>83509</v>
      </c>
      <c r="Q116" s="450">
        <f t="shared" si="52"/>
        <v>2783.6333333333332</v>
      </c>
      <c r="R116" s="451">
        <f t="shared" si="53"/>
        <v>85988</v>
      </c>
      <c r="S116" s="452">
        <f t="shared" si="54"/>
        <v>2866.2666666666669</v>
      </c>
      <c r="T116" s="456">
        <v>8037</v>
      </c>
      <c r="U116" s="493">
        <v>9386</v>
      </c>
      <c r="V116" s="449">
        <f t="shared" si="55"/>
        <v>83509</v>
      </c>
      <c r="W116" s="448">
        <f t="shared" si="56"/>
        <v>85988</v>
      </c>
      <c r="X116" s="456"/>
      <c r="Y116" s="493"/>
      <c r="Z116" s="456">
        <v>972</v>
      </c>
      <c r="AA116" s="493">
        <v>904</v>
      </c>
      <c r="AB116" s="456">
        <v>0</v>
      </c>
      <c r="AC116" s="493">
        <v>0</v>
      </c>
      <c r="AD116" s="456">
        <v>750</v>
      </c>
      <c r="AE116" s="493">
        <v>634</v>
      </c>
      <c r="AF116" s="449">
        <f t="shared" si="57"/>
        <v>1722</v>
      </c>
      <c r="AG116" s="450">
        <f t="shared" si="58"/>
        <v>1.9133333333333333</v>
      </c>
      <c r="AH116" s="451">
        <f t="shared" si="59"/>
        <v>1538</v>
      </c>
      <c r="AI116" s="451">
        <f t="shared" si="60"/>
        <v>1.7088888888888889</v>
      </c>
      <c r="AJ116" s="456">
        <v>0</v>
      </c>
      <c r="AK116" s="493">
        <v>0</v>
      </c>
      <c r="AL116" s="449">
        <f t="shared" si="61"/>
        <v>1722</v>
      </c>
      <c r="AM116" s="452">
        <f t="shared" si="62"/>
        <v>1538</v>
      </c>
      <c r="AN116" s="456"/>
      <c r="AO116" s="493"/>
      <c r="AP116" s="456"/>
      <c r="AQ116" s="493"/>
      <c r="AR116" s="456"/>
      <c r="AS116" s="493"/>
      <c r="AT116" s="456"/>
      <c r="AU116" s="493"/>
      <c r="AV116" s="449">
        <f t="shared" si="63"/>
        <v>0</v>
      </c>
      <c r="AW116" s="453">
        <f t="shared" si="64"/>
        <v>0</v>
      </c>
      <c r="AX116" s="451">
        <f t="shared" si="65"/>
        <v>0</v>
      </c>
      <c r="AY116" s="454">
        <f t="shared" si="66"/>
        <v>0</v>
      </c>
      <c r="AZ116" s="455">
        <f t="shared" si="67"/>
        <v>2785.5466666666666</v>
      </c>
      <c r="BA116" s="451">
        <f t="shared" si="68"/>
        <v>2867.9755555555557</v>
      </c>
    </row>
    <row r="117" spans="1:53">
      <c r="A117" s="563" t="s">
        <v>245</v>
      </c>
      <c r="B117" s="564" t="s">
        <v>341</v>
      </c>
      <c r="C117" s="569" t="s">
        <v>317</v>
      </c>
      <c r="D117" s="566">
        <v>137315</v>
      </c>
      <c r="E117" s="566">
        <v>9</v>
      </c>
      <c r="F117" s="491" t="s">
        <v>41</v>
      </c>
      <c r="G117" s="492" t="s">
        <v>41</v>
      </c>
      <c r="H117" s="456"/>
      <c r="I117" s="493"/>
      <c r="J117" s="456">
        <v>18877</v>
      </c>
      <c r="K117" s="493">
        <v>19280</v>
      </c>
      <c r="L117" s="456">
        <v>6158</v>
      </c>
      <c r="M117" s="493">
        <v>5827</v>
      </c>
      <c r="N117" s="456">
        <v>21664</v>
      </c>
      <c r="O117" s="493">
        <v>20766</v>
      </c>
      <c r="P117" s="449">
        <f t="shared" si="51"/>
        <v>46699</v>
      </c>
      <c r="Q117" s="450">
        <f t="shared" si="52"/>
        <v>1556.6333333333334</v>
      </c>
      <c r="R117" s="451">
        <f t="shared" si="53"/>
        <v>45873</v>
      </c>
      <c r="S117" s="452">
        <f t="shared" si="54"/>
        <v>1529.1</v>
      </c>
      <c r="T117" s="456">
        <v>5632</v>
      </c>
      <c r="U117" s="493">
        <v>5961</v>
      </c>
      <c r="V117" s="449">
        <f t="shared" si="55"/>
        <v>46699</v>
      </c>
      <c r="W117" s="448">
        <f t="shared" si="56"/>
        <v>45873</v>
      </c>
      <c r="X117" s="456"/>
      <c r="Y117" s="493"/>
      <c r="Z117" s="456">
        <v>233510</v>
      </c>
      <c r="AA117" s="493">
        <v>231671</v>
      </c>
      <c r="AB117" s="456">
        <v>109386</v>
      </c>
      <c r="AC117" s="493">
        <v>104101</v>
      </c>
      <c r="AD117" s="456">
        <v>277688</v>
      </c>
      <c r="AE117" s="493">
        <v>272714</v>
      </c>
      <c r="AF117" s="449">
        <f t="shared" si="57"/>
        <v>620584</v>
      </c>
      <c r="AG117" s="450">
        <f t="shared" si="58"/>
        <v>689.53777777777782</v>
      </c>
      <c r="AH117" s="451">
        <f t="shared" si="59"/>
        <v>608486</v>
      </c>
      <c r="AI117" s="451">
        <f t="shared" si="60"/>
        <v>676.09555555555551</v>
      </c>
      <c r="AJ117" s="456">
        <v>59201</v>
      </c>
      <c r="AK117" s="493">
        <v>59870</v>
      </c>
      <c r="AL117" s="449">
        <f t="shared" si="61"/>
        <v>620584</v>
      </c>
      <c r="AM117" s="452">
        <f t="shared" si="62"/>
        <v>608486</v>
      </c>
      <c r="AN117" s="456"/>
      <c r="AO117" s="493"/>
      <c r="AP117" s="456"/>
      <c r="AQ117" s="493"/>
      <c r="AR117" s="456"/>
      <c r="AS117" s="493"/>
      <c r="AT117" s="456"/>
      <c r="AU117" s="493"/>
      <c r="AV117" s="449">
        <f t="shared" si="63"/>
        <v>0</v>
      </c>
      <c r="AW117" s="453">
        <f t="shared" si="64"/>
        <v>0</v>
      </c>
      <c r="AX117" s="451">
        <f t="shared" si="65"/>
        <v>0</v>
      </c>
      <c r="AY117" s="454">
        <f t="shared" si="66"/>
        <v>0</v>
      </c>
      <c r="AZ117" s="455">
        <f t="shared" si="67"/>
        <v>2246.1711111111113</v>
      </c>
      <c r="BA117" s="451">
        <f t="shared" si="68"/>
        <v>2205.1955555555555</v>
      </c>
    </row>
    <row r="118" spans="1:53">
      <c r="A118" s="563" t="s">
        <v>245</v>
      </c>
      <c r="B118" s="568" t="s">
        <v>342</v>
      </c>
      <c r="C118" s="569"/>
      <c r="D118" s="566">
        <v>133960</v>
      </c>
      <c r="E118" s="566">
        <v>10</v>
      </c>
      <c r="F118" s="491" t="s">
        <v>41</v>
      </c>
      <c r="G118" s="492" t="s">
        <v>41</v>
      </c>
      <c r="H118" s="456"/>
      <c r="I118" s="493"/>
      <c r="J118" s="456">
        <v>8930</v>
      </c>
      <c r="K118" s="493">
        <v>8179</v>
      </c>
      <c r="L118" s="456">
        <v>2890</v>
      </c>
      <c r="M118" s="493">
        <v>2984</v>
      </c>
      <c r="N118" s="456">
        <v>9193</v>
      </c>
      <c r="O118" s="493">
        <v>9083</v>
      </c>
      <c r="P118" s="449">
        <f t="shared" si="51"/>
        <v>21013</v>
      </c>
      <c r="Q118" s="450">
        <f t="shared" si="52"/>
        <v>700.43333333333328</v>
      </c>
      <c r="R118" s="451">
        <f t="shared" si="53"/>
        <v>20246</v>
      </c>
      <c r="S118" s="452">
        <f t="shared" si="54"/>
        <v>674.86666666666667</v>
      </c>
      <c r="T118" s="456">
        <v>1268</v>
      </c>
      <c r="U118" s="493">
        <v>1296</v>
      </c>
      <c r="V118" s="449">
        <f t="shared" si="55"/>
        <v>21013</v>
      </c>
      <c r="W118" s="448">
        <f t="shared" si="56"/>
        <v>20246</v>
      </c>
      <c r="X118" s="456"/>
      <c r="Y118" s="493"/>
      <c r="Z118" s="456">
        <v>5880</v>
      </c>
      <c r="AA118" s="493">
        <v>12642</v>
      </c>
      <c r="AB118" s="456">
        <v>5279</v>
      </c>
      <c r="AC118" s="493">
        <v>6406</v>
      </c>
      <c r="AD118" s="456">
        <v>10355</v>
      </c>
      <c r="AE118" s="493">
        <v>15156</v>
      </c>
      <c r="AF118" s="449">
        <f t="shared" si="57"/>
        <v>21514</v>
      </c>
      <c r="AG118" s="450">
        <f t="shared" si="58"/>
        <v>23.904444444444444</v>
      </c>
      <c r="AH118" s="451">
        <f t="shared" si="59"/>
        <v>34204</v>
      </c>
      <c r="AI118" s="451">
        <f t="shared" si="60"/>
        <v>38.004444444444445</v>
      </c>
      <c r="AJ118" s="456">
        <v>0</v>
      </c>
      <c r="AK118" s="493">
        <v>0</v>
      </c>
      <c r="AL118" s="449">
        <f t="shared" si="61"/>
        <v>21514</v>
      </c>
      <c r="AM118" s="452">
        <f t="shared" si="62"/>
        <v>34204</v>
      </c>
      <c r="AN118" s="456"/>
      <c r="AO118" s="493"/>
      <c r="AP118" s="456"/>
      <c r="AQ118" s="493"/>
      <c r="AR118" s="456"/>
      <c r="AS118" s="493"/>
      <c r="AT118" s="456"/>
      <c r="AU118" s="493"/>
      <c r="AV118" s="449">
        <f t="shared" si="63"/>
        <v>0</v>
      </c>
      <c r="AW118" s="453">
        <f t="shared" si="64"/>
        <v>0</v>
      </c>
      <c r="AX118" s="451">
        <f t="shared" si="65"/>
        <v>0</v>
      </c>
      <c r="AY118" s="454">
        <f t="shared" si="66"/>
        <v>0</v>
      </c>
      <c r="AZ118" s="455">
        <f t="shared" si="67"/>
        <v>724.33777777777777</v>
      </c>
      <c r="BA118" s="451">
        <f t="shared" si="68"/>
        <v>712.87111111111108</v>
      </c>
    </row>
    <row r="119" spans="1:53">
      <c r="A119" s="563" t="s">
        <v>245</v>
      </c>
      <c r="B119" s="568" t="s">
        <v>343</v>
      </c>
      <c r="C119" s="569"/>
      <c r="D119" s="566">
        <v>136145</v>
      </c>
      <c r="E119" s="566">
        <v>10</v>
      </c>
      <c r="F119" s="491" t="s">
        <v>41</v>
      </c>
      <c r="G119" s="492" t="s">
        <v>41</v>
      </c>
      <c r="H119" s="456"/>
      <c r="I119" s="493"/>
      <c r="J119" s="456">
        <v>8398</v>
      </c>
      <c r="K119" s="493">
        <v>8579</v>
      </c>
      <c r="L119" s="456">
        <v>2795</v>
      </c>
      <c r="M119" s="493">
        <v>3067</v>
      </c>
      <c r="N119" s="456">
        <v>10084</v>
      </c>
      <c r="O119" s="493">
        <v>9358</v>
      </c>
      <c r="P119" s="449">
        <f t="shared" si="51"/>
        <v>21277</v>
      </c>
      <c r="Q119" s="450">
        <f t="shared" si="52"/>
        <v>709.23333333333335</v>
      </c>
      <c r="R119" s="451">
        <f t="shared" si="53"/>
        <v>21004</v>
      </c>
      <c r="S119" s="452">
        <f t="shared" si="54"/>
        <v>700.13333333333333</v>
      </c>
      <c r="T119" s="456">
        <v>4292</v>
      </c>
      <c r="U119" s="493">
        <v>4984</v>
      </c>
      <c r="V119" s="449">
        <f t="shared" si="55"/>
        <v>21277</v>
      </c>
      <c r="W119" s="448">
        <f t="shared" si="56"/>
        <v>21004</v>
      </c>
      <c r="X119" s="456"/>
      <c r="Y119" s="493"/>
      <c r="Z119" s="456">
        <v>39520</v>
      </c>
      <c r="AA119" s="493">
        <v>41802</v>
      </c>
      <c r="AB119" s="456">
        <v>14385</v>
      </c>
      <c r="AC119" s="493">
        <v>14160</v>
      </c>
      <c r="AD119" s="456">
        <v>28734</v>
      </c>
      <c r="AE119" s="493">
        <v>50642</v>
      </c>
      <c r="AF119" s="449">
        <f t="shared" si="57"/>
        <v>82639</v>
      </c>
      <c r="AG119" s="450">
        <f t="shared" si="58"/>
        <v>91.821111111111108</v>
      </c>
      <c r="AH119" s="451">
        <f t="shared" si="59"/>
        <v>106604</v>
      </c>
      <c r="AI119" s="451">
        <f t="shared" si="60"/>
        <v>118.44888888888889</v>
      </c>
      <c r="AJ119" s="456">
        <v>0</v>
      </c>
      <c r="AK119" s="493">
        <v>0</v>
      </c>
      <c r="AL119" s="449">
        <f t="shared" si="61"/>
        <v>82639</v>
      </c>
      <c r="AM119" s="452">
        <f t="shared" si="62"/>
        <v>106604</v>
      </c>
      <c r="AN119" s="456"/>
      <c r="AO119" s="493"/>
      <c r="AP119" s="456"/>
      <c r="AQ119" s="493"/>
      <c r="AR119" s="456"/>
      <c r="AS119" s="493"/>
      <c r="AT119" s="456"/>
      <c r="AU119" s="493"/>
      <c r="AV119" s="449">
        <f t="shared" si="63"/>
        <v>0</v>
      </c>
      <c r="AW119" s="453">
        <f t="shared" si="64"/>
        <v>0</v>
      </c>
      <c r="AX119" s="451">
        <f t="shared" si="65"/>
        <v>0</v>
      </c>
      <c r="AY119" s="454">
        <f t="shared" si="66"/>
        <v>0</v>
      </c>
      <c r="AZ119" s="455">
        <f t="shared" si="67"/>
        <v>801.05444444444447</v>
      </c>
      <c r="BA119" s="451">
        <f t="shared" si="68"/>
        <v>818.58222222222219</v>
      </c>
    </row>
    <row r="120" spans="1:53">
      <c r="A120" s="544" t="s">
        <v>142</v>
      </c>
      <c r="B120" s="545" t="s">
        <v>280</v>
      </c>
      <c r="C120" s="546"/>
      <c r="D120" s="547">
        <v>139940</v>
      </c>
      <c r="E120" s="548">
        <v>1</v>
      </c>
      <c r="F120" s="491" t="s">
        <v>41</v>
      </c>
      <c r="G120" s="492" t="s">
        <v>41</v>
      </c>
      <c r="H120" s="456"/>
      <c r="I120" s="493"/>
      <c r="J120" s="456">
        <v>287654.5</v>
      </c>
      <c r="K120" s="493">
        <v>289080.5</v>
      </c>
      <c r="L120" s="456">
        <v>66425</v>
      </c>
      <c r="M120" s="493">
        <v>67683</v>
      </c>
      <c r="N120" s="456">
        <v>311306.5</v>
      </c>
      <c r="O120" s="493">
        <v>310230.5</v>
      </c>
      <c r="P120" s="449">
        <f t="shared" si="51"/>
        <v>665386</v>
      </c>
      <c r="Q120" s="450">
        <f t="shared" si="52"/>
        <v>22179.533333333333</v>
      </c>
      <c r="R120" s="451">
        <f t="shared" si="53"/>
        <v>666994</v>
      </c>
      <c r="S120" s="452">
        <f t="shared" si="54"/>
        <v>22233.133333333335</v>
      </c>
      <c r="T120" s="456">
        <v>2676</v>
      </c>
      <c r="U120" s="493">
        <v>3088</v>
      </c>
      <c r="V120" s="449">
        <f t="shared" si="55"/>
        <v>665386</v>
      </c>
      <c r="W120" s="448">
        <f t="shared" si="56"/>
        <v>666994</v>
      </c>
      <c r="X120" s="456"/>
      <c r="Y120" s="493"/>
      <c r="Z120" s="456"/>
      <c r="AA120" s="493"/>
      <c r="AB120" s="456"/>
      <c r="AC120" s="493"/>
      <c r="AD120" s="456"/>
      <c r="AE120" s="493"/>
      <c r="AF120" s="449">
        <f t="shared" si="57"/>
        <v>0</v>
      </c>
      <c r="AG120" s="450">
        <f t="shared" si="58"/>
        <v>0</v>
      </c>
      <c r="AH120" s="451">
        <f t="shared" si="59"/>
        <v>0</v>
      </c>
      <c r="AI120" s="451">
        <f t="shared" si="60"/>
        <v>0</v>
      </c>
      <c r="AJ120" s="456"/>
      <c r="AK120" s="493"/>
      <c r="AL120" s="449">
        <f t="shared" si="61"/>
        <v>0</v>
      </c>
      <c r="AM120" s="452">
        <f t="shared" si="62"/>
        <v>0</v>
      </c>
      <c r="AN120" s="456"/>
      <c r="AO120" s="493"/>
      <c r="AP120" s="456">
        <v>87414</v>
      </c>
      <c r="AQ120" s="493">
        <v>88486</v>
      </c>
      <c r="AR120" s="456">
        <v>49024</v>
      </c>
      <c r="AS120" s="493">
        <v>48777</v>
      </c>
      <c r="AT120" s="456">
        <v>92295</v>
      </c>
      <c r="AU120" s="493">
        <v>90132</v>
      </c>
      <c r="AV120" s="449">
        <f t="shared" si="63"/>
        <v>228733</v>
      </c>
      <c r="AW120" s="453">
        <f t="shared" si="64"/>
        <v>9530.5416666666661</v>
      </c>
      <c r="AX120" s="451">
        <f t="shared" si="65"/>
        <v>227395</v>
      </c>
      <c r="AY120" s="454">
        <f t="shared" si="66"/>
        <v>9474.7916666666661</v>
      </c>
      <c r="AZ120" s="455">
        <f t="shared" si="67"/>
        <v>31710.074999999997</v>
      </c>
      <c r="BA120" s="451">
        <f t="shared" si="68"/>
        <v>31707.925000000003</v>
      </c>
    </row>
    <row r="121" spans="1:53">
      <c r="A121" s="544" t="s">
        <v>142</v>
      </c>
      <c r="B121" s="545" t="s">
        <v>281</v>
      </c>
      <c r="C121" s="546"/>
      <c r="D121" s="547">
        <v>139959</v>
      </c>
      <c r="E121" s="548">
        <v>1</v>
      </c>
      <c r="F121" s="491" t="s">
        <v>41</v>
      </c>
      <c r="G121" s="492" t="s">
        <v>41</v>
      </c>
      <c r="H121" s="456"/>
      <c r="I121" s="493"/>
      <c r="J121" s="456">
        <v>344464.5</v>
      </c>
      <c r="K121" s="493">
        <v>354588.5</v>
      </c>
      <c r="L121" s="456">
        <v>50672</v>
      </c>
      <c r="M121" s="493">
        <v>54676</v>
      </c>
      <c r="N121" s="456">
        <v>365947</v>
      </c>
      <c r="O121" s="493">
        <v>365990</v>
      </c>
      <c r="P121" s="449">
        <f t="shared" si="51"/>
        <v>761083.5</v>
      </c>
      <c r="Q121" s="450">
        <f t="shared" si="52"/>
        <v>25369.45</v>
      </c>
      <c r="R121" s="451">
        <f t="shared" si="53"/>
        <v>775254.5</v>
      </c>
      <c r="S121" s="452">
        <f t="shared" si="54"/>
        <v>25841.816666666666</v>
      </c>
      <c r="T121" s="456">
        <v>523</v>
      </c>
      <c r="U121" s="493">
        <v>512</v>
      </c>
      <c r="V121" s="449">
        <f t="shared" si="55"/>
        <v>761083.5</v>
      </c>
      <c r="W121" s="448">
        <f t="shared" si="56"/>
        <v>775254.5</v>
      </c>
      <c r="X121" s="456"/>
      <c r="Y121" s="493"/>
      <c r="Z121" s="456"/>
      <c r="AA121" s="493"/>
      <c r="AB121" s="456"/>
      <c r="AC121" s="493"/>
      <c r="AD121" s="456"/>
      <c r="AE121" s="493"/>
      <c r="AF121" s="449">
        <f t="shared" si="57"/>
        <v>0</v>
      </c>
      <c r="AG121" s="450">
        <f t="shared" si="58"/>
        <v>0</v>
      </c>
      <c r="AH121" s="451">
        <f t="shared" si="59"/>
        <v>0</v>
      </c>
      <c r="AI121" s="451">
        <f t="shared" si="60"/>
        <v>0</v>
      </c>
      <c r="AJ121" s="456"/>
      <c r="AK121" s="493"/>
      <c r="AL121" s="449">
        <f t="shared" si="61"/>
        <v>0</v>
      </c>
      <c r="AM121" s="452">
        <f t="shared" si="62"/>
        <v>0</v>
      </c>
      <c r="AN121" s="456"/>
      <c r="AO121" s="493"/>
      <c r="AP121" s="456">
        <v>102794</v>
      </c>
      <c r="AQ121" s="493">
        <v>102207</v>
      </c>
      <c r="AR121" s="456">
        <v>38585</v>
      </c>
      <c r="AS121" s="493">
        <v>40915.199999999997</v>
      </c>
      <c r="AT121" s="456">
        <v>103118</v>
      </c>
      <c r="AU121" s="493">
        <v>108858</v>
      </c>
      <c r="AV121" s="449">
        <f t="shared" si="63"/>
        <v>244497</v>
      </c>
      <c r="AW121" s="453">
        <f t="shared" si="64"/>
        <v>10187.375</v>
      </c>
      <c r="AX121" s="451">
        <f t="shared" si="65"/>
        <v>251980.2</v>
      </c>
      <c r="AY121" s="454">
        <f t="shared" si="66"/>
        <v>10499.175000000001</v>
      </c>
      <c r="AZ121" s="455">
        <f t="shared" si="67"/>
        <v>35556.824999999997</v>
      </c>
      <c r="BA121" s="451">
        <f t="shared" si="68"/>
        <v>36340.991666666669</v>
      </c>
    </row>
    <row r="122" spans="1:53">
      <c r="A122" s="544" t="s">
        <v>142</v>
      </c>
      <c r="B122" s="545" t="s">
        <v>282</v>
      </c>
      <c r="C122" s="546"/>
      <c r="D122" s="547">
        <v>139755</v>
      </c>
      <c r="E122" s="548">
        <v>2</v>
      </c>
      <c r="F122" s="491" t="s">
        <v>41</v>
      </c>
      <c r="G122" s="492" t="s">
        <v>41</v>
      </c>
      <c r="H122" s="456"/>
      <c r="I122" s="493"/>
      <c r="J122" s="456">
        <v>184907</v>
      </c>
      <c r="K122" s="493">
        <v>185478.33</v>
      </c>
      <c r="L122" s="456">
        <v>43398</v>
      </c>
      <c r="M122" s="493">
        <v>43114</v>
      </c>
      <c r="N122" s="456">
        <v>200546</v>
      </c>
      <c r="O122" s="493">
        <v>205026.66</v>
      </c>
      <c r="P122" s="449">
        <f t="shared" si="51"/>
        <v>428851</v>
      </c>
      <c r="Q122" s="450">
        <f t="shared" si="52"/>
        <v>14295.033333333333</v>
      </c>
      <c r="R122" s="451">
        <f t="shared" si="53"/>
        <v>433618.99</v>
      </c>
      <c r="S122" s="452">
        <f t="shared" si="54"/>
        <v>14453.966333333334</v>
      </c>
      <c r="T122" s="456">
        <v>3198</v>
      </c>
      <c r="U122" s="493">
        <v>3637</v>
      </c>
      <c r="V122" s="449">
        <f t="shared" si="55"/>
        <v>428851</v>
      </c>
      <c r="W122" s="448">
        <f t="shared" si="56"/>
        <v>433618.99</v>
      </c>
      <c r="X122" s="456"/>
      <c r="Y122" s="493"/>
      <c r="Z122" s="456"/>
      <c r="AA122" s="493"/>
      <c r="AB122" s="456"/>
      <c r="AC122" s="493"/>
      <c r="AD122" s="456"/>
      <c r="AE122" s="493"/>
      <c r="AF122" s="449">
        <f t="shared" si="57"/>
        <v>0</v>
      </c>
      <c r="AG122" s="450">
        <f t="shared" si="58"/>
        <v>0</v>
      </c>
      <c r="AH122" s="451">
        <f t="shared" si="59"/>
        <v>0</v>
      </c>
      <c r="AI122" s="451">
        <f t="shared" si="60"/>
        <v>0</v>
      </c>
      <c r="AJ122" s="456"/>
      <c r="AK122" s="493"/>
      <c r="AL122" s="449">
        <f t="shared" si="61"/>
        <v>0</v>
      </c>
      <c r="AM122" s="452">
        <f t="shared" si="62"/>
        <v>0</v>
      </c>
      <c r="AN122" s="456"/>
      <c r="AO122" s="493"/>
      <c r="AP122" s="456">
        <v>92829</v>
      </c>
      <c r="AQ122" s="493">
        <v>104184.14</v>
      </c>
      <c r="AR122" s="456">
        <v>42775</v>
      </c>
      <c r="AS122" s="493">
        <v>46005</v>
      </c>
      <c r="AT122" s="456">
        <v>107142</v>
      </c>
      <c r="AU122" s="493">
        <v>112239</v>
      </c>
      <c r="AV122" s="449">
        <f t="shared" si="63"/>
        <v>242746</v>
      </c>
      <c r="AW122" s="453">
        <f t="shared" si="64"/>
        <v>10114.416666666666</v>
      </c>
      <c r="AX122" s="451">
        <f t="shared" si="65"/>
        <v>262428.14</v>
      </c>
      <c r="AY122" s="454">
        <f t="shared" si="66"/>
        <v>10934.505833333335</v>
      </c>
      <c r="AZ122" s="455">
        <f t="shared" si="67"/>
        <v>24409.449999999997</v>
      </c>
      <c r="BA122" s="451">
        <f t="shared" si="68"/>
        <v>25388.472166666666</v>
      </c>
    </row>
    <row r="123" spans="1:53">
      <c r="A123" s="544" t="s">
        <v>142</v>
      </c>
      <c r="B123" s="545" t="s">
        <v>283</v>
      </c>
      <c r="C123" s="546"/>
      <c r="D123" s="547">
        <v>139931</v>
      </c>
      <c r="E123" s="548">
        <v>3</v>
      </c>
      <c r="F123" s="491" t="s">
        <v>41</v>
      </c>
      <c r="G123" s="492" t="s">
        <v>41</v>
      </c>
      <c r="H123" s="456"/>
      <c r="I123" s="493"/>
      <c r="J123" s="456">
        <v>219069</v>
      </c>
      <c r="K123" s="493">
        <v>218486</v>
      </c>
      <c r="L123" s="456">
        <v>57381</v>
      </c>
      <c r="M123" s="493">
        <v>57466</v>
      </c>
      <c r="N123" s="456">
        <v>237835</v>
      </c>
      <c r="O123" s="493">
        <v>238084</v>
      </c>
      <c r="P123" s="449">
        <f t="shared" si="51"/>
        <v>514285</v>
      </c>
      <c r="Q123" s="450">
        <f t="shared" si="52"/>
        <v>17142.833333333332</v>
      </c>
      <c r="R123" s="451">
        <f t="shared" si="53"/>
        <v>514036</v>
      </c>
      <c r="S123" s="452">
        <f t="shared" si="54"/>
        <v>17134.533333333333</v>
      </c>
      <c r="T123" s="456">
        <v>2238</v>
      </c>
      <c r="U123" s="493">
        <v>2946</v>
      </c>
      <c r="V123" s="449">
        <f t="shared" si="55"/>
        <v>514285</v>
      </c>
      <c r="W123" s="448">
        <f t="shared" si="56"/>
        <v>514036</v>
      </c>
      <c r="X123" s="456"/>
      <c r="Y123" s="493"/>
      <c r="Z123" s="456"/>
      <c r="AA123" s="493"/>
      <c r="AB123" s="456"/>
      <c r="AC123" s="493"/>
      <c r="AD123" s="456"/>
      <c r="AE123" s="493"/>
      <c r="AF123" s="449">
        <f t="shared" si="57"/>
        <v>0</v>
      </c>
      <c r="AG123" s="450">
        <f t="shared" si="58"/>
        <v>0</v>
      </c>
      <c r="AH123" s="451">
        <f t="shared" si="59"/>
        <v>0</v>
      </c>
      <c r="AI123" s="451">
        <f t="shared" si="60"/>
        <v>0</v>
      </c>
      <c r="AJ123" s="456"/>
      <c r="AK123" s="493"/>
      <c r="AL123" s="449">
        <f t="shared" si="61"/>
        <v>0</v>
      </c>
      <c r="AM123" s="452">
        <f t="shared" si="62"/>
        <v>0</v>
      </c>
      <c r="AN123" s="456"/>
      <c r="AO123" s="493"/>
      <c r="AP123" s="456">
        <v>16567</v>
      </c>
      <c r="AQ123" s="493">
        <v>16110</v>
      </c>
      <c r="AR123" s="456">
        <v>10597</v>
      </c>
      <c r="AS123" s="493">
        <v>10390</v>
      </c>
      <c r="AT123" s="456">
        <v>17458</v>
      </c>
      <c r="AU123" s="493">
        <v>17301</v>
      </c>
      <c r="AV123" s="449">
        <f t="shared" si="63"/>
        <v>44622</v>
      </c>
      <c r="AW123" s="453">
        <f t="shared" si="64"/>
        <v>1859.25</v>
      </c>
      <c r="AX123" s="451">
        <f t="shared" si="65"/>
        <v>43801</v>
      </c>
      <c r="AY123" s="454">
        <f t="shared" si="66"/>
        <v>1825.0416666666667</v>
      </c>
      <c r="AZ123" s="455">
        <f t="shared" si="67"/>
        <v>19002.083333333332</v>
      </c>
      <c r="BA123" s="451">
        <f t="shared" si="68"/>
        <v>18959.575000000001</v>
      </c>
    </row>
    <row r="124" spans="1:53">
      <c r="A124" s="544" t="s">
        <v>142</v>
      </c>
      <c r="B124" s="545" t="s">
        <v>284</v>
      </c>
      <c r="C124" s="549"/>
      <c r="D124" s="547">
        <v>140164</v>
      </c>
      <c r="E124" s="550">
        <v>3</v>
      </c>
      <c r="F124" s="491" t="s">
        <v>41</v>
      </c>
      <c r="G124" s="492" t="s">
        <v>41</v>
      </c>
      <c r="H124" s="456"/>
      <c r="I124" s="493"/>
      <c r="J124" s="537">
        <v>322936</v>
      </c>
      <c r="K124" s="562">
        <v>338269</v>
      </c>
      <c r="L124" s="537">
        <v>75000</v>
      </c>
      <c r="M124" s="562">
        <v>78439</v>
      </c>
      <c r="N124" s="537">
        <v>315470</v>
      </c>
      <c r="O124" s="493">
        <v>371171</v>
      </c>
      <c r="P124" s="449">
        <f t="shared" si="51"/>
        <v>713406</v>
      </c>
      <c r="Q124" s="450">
        <f t="shared" si="52"/>
        <v>23780.2</v>
      </c>
      <c r="R124" s="451">
        <f t="shared" si="53"/>
        <v>787879</v>
      </c>
      <c r="S124" s="452">
        <f t="shared" si="54"/>
        <v>26262.633333333335</v>
      </c>
      <c r="T124" s="537">
        <v>6504</v>
      </c>
      <c r="U124" s="493">
        <v>7615</v>
      </c>
      <c r="V124" s="449">
        <f t="shared" si="55"/>
        <v>713406</v>
      </c>
      <c r="W124" s="448">
        <f t="shared" si="56"/>
        <v>787879</v>
      </c>
      <c r="X124" s="456"/>
      <c r="Y124" s="493"/>
      <c r="Z124" s="456"/>
      <c r="AA124" s="493"/>
      <c r="AB124" s="456"/>
      <c r="AC124" s="493"/>
      <c r="AD124" s="456"/>
      <c r="AE124" s="493"/>
      <c r="AF124" s="449">
        <f t="shared" si="57"/>
        <v>0</v>
      </c>
      <c r="AG124" s="450">
        <f t="shared" si="58"/>
        <v>0</v>
      </c>
      <c r="AH124" s="451">
        <f t="shared" si="59"/>
        <v>0</v>
      </c>
      <c r="AI124" s="451">
        <f t="shared" si="60"/>
        <v>0</v>
      </c>
      <c r="AJ124" s="456"/>
      <c r="AK124" s="493"/>
      <c r="AL124" s="449">
        <f t="shared" si="61"/>
        <v>0</v>
      </c>
      <c r="AM124" s="452">
        <f t="shared" si="62"/>
        <v>0</v>
      </c>
      <c r="AN124" s="456"/>
      <c r="AO124" s="493"/>
      <c r="AP124" s="537">
        <v>18851</v>
      </c>
      <c r="AQ124" s="562">
        <v>19225</v>
      </c>
      <c r="AR124" s="537">
        <v>13074</v>
      </c>
      <c r="AS124" s="562">
        <v>12942</v>
      </c>
      <c r="AT124" s="537">
        <v>20757.5</v>
      </c>
      <c r="AU124" s="562">
        <v>19794</v>
      </c>
      <c r="AV124" s="449">
        <f t="shared" si="63"/>
        <v>52682.5</v>
      </c>
      <c r="AW124" s="453">
        <f t="shared" si="64"/>
        <v>2195.1041666666665</v>
      </c>
      <c r="AX124" s="451">
        <f t="shared" si="65"/>
        <v>51961</v>
      </c>
      <c r="AY124" s="454">
        <f t="shared" si="66"/>
        <v>2165.0416666666665</v>
      </c>
      <c r="AZ124" s="455">
        <f t="shared" si="67"/>
        <v>25975.304166666669</v>
      </c>
      <c r="BA124" s="451">
        <f t="shared" si="68"/>
        <v>28427.675000000003</v>
      </c>
    </row>
    <row r="125" spans="1:53">
      <c r="A125" s="544" t="s">
        <v>142</v>
      </c>
      <c r="B125" s="545" t="s">
        <v>285</v>
      </c>
      <c r="C125" s="546"/>
      <c r="D125" s="547">
        <v>141334</v>
      </c>
      <c r="E125" s="548">
        <v>3</v>
      </c>
      <c r="F125" s="491" t="s">
        <v>41</v>
      </c>
      <c r="G125" s="492" t="s">
        <v>41</v>
      </c>
      <c r="H125" s="456"/>
      <c r="I125" s="493"/>
      <c r="J125" s="456">
        <v>120604</v>
      </c>
      <c r="K125" s="493">
        <v>122644</v>
      </c>
      <c r="L125" s="456">
        <v>23321</v>
      </c>
      <c r="M125" s="493">
        <v>24552</v>
      </c>
      <c r="N125" s="456">
        <v>133141</v>
      </c>
      <c r="O125" s="493">
        <v>139253</v>
      </c>
      <c r="P125" s="449">
        <f t="shared" si="51"/>
        <v>277066</v>
      </c>
      <c r="Q125" s="450">
        <f t="shared" si="52"/>
        <v>9235.5333333333328</v>
      </c>
      <c r="R125" s="451">
        <f t="shared" si="53"/>
        <v>286449</v>
      </c>
      <c r="S125" s="452">
        <f t="shared" si="54"/>
        <v>9548.2999999999993</v>
      </c>
      <c r="T125" s="456">
        <v>3126</v>
      </c>
      <c r="U125" s="493">
        <v>4895</v>
      </c>
      <c r="V125" s="449">
        <f t="shared" si="55"/>
        <v>277066</v>
      </c>
      <c r="W125" s="448">
        <f t="shared" si="56"/>
        <v>286449</v>
      </c>
      <c r="X125" s="456"/>
      <c r="Y125" s="493"/>
      <c r="Z125" s="456"/>
      <c r="AA125" s="493"/>
      <c r="AB125" s="456"/>
      <c r="AC125" s="493"/>
      <c r="AD125" s="456"/>
      <c r="AE125" s="493"/>
      <c r="AF125" s="449">
        <f t="shared" si="57"/>
        <v>0</v>
      </c>
      <c r="AG125" s="450">
        <f t="shared" si="58"/>
        <v>0</v>
      </c>
      <c r="AH125" s="451">
        <f t="shared" si="59"/>
        <v>0</v>
      </c>
      <c r="AI125" s="451">
        <f t="shared" si="60"/>
        <v>0</v>
      </c>
      <c r="AJ125" s="456"/>
      <c r="AK125" s="493"/>
      <c r="AL125" s="449">
        <f t="shared" si="61"/>
        <v>0</v>
      </c>
      <c r="AM125" s="452">
        <f t="shared" si="62"/>
        <v>0</v>
      </c>
      <c r="AN125" s="456"/>
      <c r="AO125" s="493"/>
      <c r="AP125" s="456">
        <v>12261</v>
      </c>
      <c r="AQ125" s="493">
        <v>12574</v>
      </c>
      <c r="AR125" s="456">
        <v>7580</v>
      </c>
      <c r="AS125" s="493">
        <v>8862</v>
      </c>
      <c r="AT125" s="456">
        <v>13103</v>
      </c>
      <c r="AU125" s="493">
        <v>13872</v>
      </c>
      <c r="AV125" s="449">
        <f t="shared" si="63"/>
        <v>32944</v>
      </c>
      <c r="AW125" s="453">
        <f t="shared" si="64"/>
        <v>1372.6666666666667</v>
      </c>
      <c r="AX125" s="451">
        <f t="shared" si="65"/>
        <v>35308</v>
      </c>
      <c r="AY125" s="454">
        <f t="shared" si="66"/>
        <v>1471.1666666666667</v>
      </c>
      <c r="AZ125" s="455">
        <f t="shared" si="67"/>
        <v>10608.199999999999</v>
      </c>
      <c r="BA125" s="451">
        <f t="shared" si="68"/>
        <v>11019.466666666665</v>
      </c>
    </row>
    <row r="126" spans="1:53">
      <c r="A126" s="544" t="s">
        <v>142</v>
      </c>
      <c r="B126" s="545" t="s">
        <v>286</v>
      </c>
      <c r="C126" s="546"/>
      <c r="D126" s="547">
        <v>141264</v>
      </c>
      <c r="E126" s="548">
        <v>3</v>
      </c>
      <c r="F126" s="491" t="s">
        <v>41</v>
      </c>
      <c r="G126" s="492" t="s">
        <v>41</v>
      </c>
      <c r="H126" s="456"/>
      <c r="I126" s="493"/>
      <c r="J126" s="456">
        <v>118336</v>
      </c>
      <c r="K126" s="493">
        <v>111907</v>
      </c>
      <c r="L126" s="456">
        <v>21026</v>
      </c>
      <c r="M126" s="493">
        <v>21211</v>
      </c>
      <c r="N126" s="456">
        <v>120106</v>
      </c>
      <c r="O126" s="493">
        <v>112712</v>
      </c>
      <c r="P126" s="449">
        <f t="shared" si="51"/>
        <v>259468</v>
      </c>
      <c r="Q126" s="450">
        <f t="shared" si="52"/>
        <v>8648.9333333333325</v>
      </c>
      <c r="R126" s="451">
        <f t="shared" si="53"/>
        <v>245830</v>
      </c>
      <c r="S126" s="452">
        <f t="shared" si="54"/>
        <v>8194.3333333333339</v>
      </c>
      <c r="T126" s="456">
        <v>384</v>
      </c>
      <c r="U126" s="493">
        <v>529</v>
      </c>
      <c r="V126" s="449">
        <f t="shared" si="55"/>
        <v>259468</v>
      </c>
      <c r="W126" s="448">
        <f t="shared" si="56"/>
        <v>245830</v>
      </c>
      <c r="X126" s="456"/>
      <c r="Y126" s="493"/>
      <c r="Z126" s="456"/>
      <c r="AA126" s="493"/>
      <c r="AB126" s="456"/>
      <c r="AC126" s="493"/>
      <c r="AD126" s="456"/>
      <c r="AE126" s="493"/>
      <c r="AF126" s="449">
        <f t="shared" si="57"/>
        <v>0</v>
      </c>
      <c r="AG126" s="450">
        <f t="shared" si="58"/>
        <v>0</v>
      </c>
      <c r="AH126" s="451">
        <f t="shared" si="59"/>
        <v>0</v>
      </c>
      <c r="AI126" s="451">
        <f t="shared" si="60"/>
        <v>0</v>
      </c>
      <c r="AJ126" s="456"/>
      <c r="AK126" s="493"/>
      <c r="AL126" s="449">
        <f t="shared" si="61"/>
        <v>0</v>
      </c>
      <c r="AM126" s="452">
        <f t="shared" si="62"/>
        <v>0</v>
      </c>
      <c r="AN126" s="456"/>
      <c r="AO126" s="493"/>
      <c r="AP126" s="456">
        <v>14669</v>
      </c>
      <c r="AQ126" s="493">
        <v>15128</v>
      </c>
      <c r="AR126" s="456">
        <v>10391</v>
      </c>
      <c r="AS126" s="493">
        <v>11346</v>
      </c>
      <c r="AT126" s="456">
        <v>15201</v>
      </c>
      <c r="AU126" s="493">
        <v>17197</v>
      </c>
      <c r="AV126" s="449">
        <f t="shared" si="63"/>
        <v>40261</v>
      </c>
      <c r="AW126" s="453">
        <f t="shared" si="64"/>
        <v>1677.5416666666667</v>
      </c>
      <c r="AX126" s="451">
        <f t="shared" si="65"/>
        <v>43671</v>
      </c>
      <c r="AY126" s="454">
        <f t="shared" si="66"/>
        <v>1819.625</v>
      </c>
      <c r="AZ126" s="455">
        <f t="shared" si="67"/>
        <v>10326.474999999999</v>
      </c>
      <c r="BA126" s="451">
        <f t="shared" si="68"/>
        <v>10013.958333333334</v>
      </c>
    </row>
    <row r="127" spans="1:53">
      <c r="A127" s="544" t="s">
        <v>142</v>
      </c>
      <c r="B127" s="545" t="s">
        <v>287</v>
      </c>
      <c r="C127" s="546"/>
      <c r="D127" s="547">
        <v>138716</v>
      </c>
      <c r="E127" s="548">
        <v>4</v>
      </c>
      <c r="F127" s="491" t="s">
        <v>41</v>
      </c>
      <c r="G127" s="492" t="s">
        <v>41</v>
      </c>
      <c r="H127" s="456"/>
      <c r="I127" s="493"/>
      <c r="J127" s="456">
        <v>42487</v>
      </c>
      <c r="K127" s="493">
        <v>39934</v>
      </c>
      <c r="L127" s="456">
        <v>7125</v>
      </c>
      <c r="M127" s="493">
        <v>6486</v>
      </c>
      <c r="N127" s="456">
        <v>43030</v>
      </c>
      <c r="O127" s="493">
        <v>39613</v>
      </c>
      <c r="P127" s="449">
        <f t="shared" si="51"/>
        <v>92642</v>
      </c>
      <c r="Q127" s="450">
        <f t="shared" si="52"/>
        <v>3088.0666666666666</v>
      </c>
      <c r="R127" s="451">
        <f t="shared" si="53"/>
        <v>86033</v>
      </c>
      <c r="S127" s="452">
        <f t="shared" si="54"/>
        <v>2867.7666666666669</v>
      </c>
      <c r="T127" s="456">
        <v>532</v>
      </c>
      <c r="U127" s="493">
        <v>527</v>
      </c>
      <c r="V127" s="449">
        <f t="shared" si="55"/>
        <v>92642</v>
      </c>
      <c r="W127" s="448">
        <f t="shared" si="56"/>
        <v>86033</v>
      </c>
      <c r="X127" s="456"/>
      <c r="Y127" s="493"/>
      <c r="Z127" s="456"/>
      <c r="AA127" s="493"/>
      <c r="AB127" s="456"/>
      <c r="AC127" s="493"/>
      <c r="AD127" s="456"/>
      <c r="AE127" s="493"/>
      <c r="AF127" s="449">
        <f t="shared" si="57"/>
        <v>0</v>
      </c>
      <c r="AG127" s="450">
        <f t="shared" si="58"/>
        <v>0</v>
      </c>
      <c r="AH127" s="451">
        <f t="shared" si="59"/>
        <v>0</v>
      </c>
      <c r="AI127" s="451">
        <f t="shared" si="60"/>
        <v>0</v>
      </c>
      <c r="AJ127" s="456"/>
      <c r="AK127" s="493"/>
      <c r="AL127" s="449">
        <f t="shared" si="61"/>
        <v>0</v>
      </c>
      <c r="AM127" s="452">
        <f t="shared" si="62"/>
        <v>0</v>
      </c>
      <c r="AN127" s="456"/>
      <c r="AO127" s="493"/>
      <c r="AP127" s="456">
        <v>3996</v>
      </c>
      <c r="AQ127" s="493">
        <v>3658</v>
      </c>
      <c r="AR127" s="456">
        <v>2055</v>
      </c>
      <c r="AS127" s="493">
        <v>1640</v>
      </c>
      <c r="AT127" s="456">
        <v>4157</v>
      </c>
      <c r="AU127" s="493">
        <v>3470</v>
      </c>
      <c r="AV127" s="449">
        <f t="shared" si="63"/>
        <v>10208</v>
      </c>
      <c r="AW127" s="453">
        <f t="shared" si="64"/>
        <v>425.33333333333331</v>
      </c>
      <c r="AX127" s="451">
        <f t="shared" si="65"/>
        <v>8768</v>
      </c>
      <c r="AY127" s="454">
        <f t="shared" si="66"/>
        <v>365.33333333333331</v>
      </c>
      <c r="AZ127" s="455">
        <f t="shared" si="67"/>
        <v>3513.4</v>
      </c>
      <c r="BA127" s="451">
        <f t="shared" si="68"/>
        <v>3233.1000000000004</v>
      </c>
    </row>
    <row r="128" spans="1:53">
      <c r="A128" s="544" t="s">
        <v>142</v>
      </c>
      <c r="B128" s="545" t="s">
        <v>288</v>
      </c>
      <c r="C128" s="546"/>
      <c r="D128" s="547">
        <v>138789</v>
      </c>
      <c r="E128" s="548">
        <v>4</v>
      </c>
      <c r="F128" s="491" t="s">
        <v>41</v>
      </c>
      <c r="G128" s="492" t="s">
        <v>41</v>
      </c>
      <c r="H128" s="456"/>
      <c r="I128" s="493"/>
      <c r="J128" s="456">
        <v>72571</v>
      </c>
      <c r="K128" s="493">
        <v>71814</v>
      </c>
      <c r="L128" s="456">
        <v>17843</v>
      </c>
      <c r="M128" s="493">
        <v>16602</v>
      </c>
      <c r="N128" s="456">
        <v>77544</v>
      </c>
      <c r="O128" s="493">
        <v>77062</v>
      </c>
      <c r="P128" s="449">
        <f t="shared" si="51"/>
        <v>167958</v>
      </c>
      <c r="Q128" s="450">
        <f t="shared" si="52"/>
        <v>5598.6</v>
      </c>
      <c r="R128" s="451">
        <f t="shared" si="53"/>
        <v>165478</v>
      </c>
      <c r="S128" s="452">
        <f t="shared" si="54"/>
        <v>5515.9333333333334</v>
      </c>
      <c r="T128" s="456">
        <v>872</v>
      </c>
      <c r="U128" s="493">
        <v>843</v>
      </c>
      <c r="V128" s="449">
        <f t="shared" si="55"/>
        <v>167958</v>
      </c>
      <c r="W128" s="448">
        <f t="shared" si="56"/>
        <v>165478</v>
      </c>
      <c r="X128" s="456"/>
      <c r="Y128" s="493"/>
      <c r="Z128" s="456"/>
      <c r="AA128" s="493"/>
      <c r="AB128" s="456"/>
      <c r="AC128" s="493"/>
      <c r="AD128" s="456"/>
      <c r="AE128" s="493"/>
      <c r="AF128" s="449">
        <f t="shared" si="57"/>
        <v>0</v>
      </c>
      <c r="AG128" s="450">
        <f t="shared" si="58"/>
        <v>0</v>
      </c>
      <c r="AH128" s="451">
        <f t="shared" si="59"/>
        <v>0</v>
      </c>
      <c r="AI128" s="451">
        <f t="shared" si="60"/>
        <v>0</v>
      </c>
      <c r="AJ128" s="456"/>
      <c r="AK128" s="493"/>
      <c r="AL128" s="449">
        <f t="shared" si="61"/>
        <v>0</v>
      </c>
      <c r="AM128" s="452">
        <f t="shared" si="62"/>
        <v>0</v>
      </c>
      <c r="AN128" s="456"/>
      <c r="AO128" s="493"/>
      <c r="AP128" s="456">
        <v>5343</v>
      </c>
      <c r="AQ128" s="493">
        <v>5628</v>
      </c>
      <c r="AR128" s="456">
        <v>3679</v>
      </c>
      <c r="AS128" s="493">
        <v>3519</v>
      </c>
      <c r="AT128" s="456">
        <v>5758</v>
      </c>
      <c r="AU128" s="493">
        <v>6075</v>
      </c>
      <c r="AV128" s="449">
        <f t="shared" si="63"/>
        <v>14780</v>
      </c>
      <c r="AW128" s="453">
        <f t="shared" si="64"/>
        <v>615.83333333333337</v>
      </c>
      <c r="AX128" s="451">
        <f t="shared" si="65"/>
        <v>15222</v>
      </c>
      <c r="AY128" s="454">
        <f t="shared" si="66"/>
        <v>634.25</v>
      </c>
      <c r="AZ128" s="455">
        <f t="shared" si="67"/>
        <v>6214.4333333333334</v>
      </c>
      <c r="BA128" s="451">
        <f t="shared" si="68"/>
        <v>6150.1833333333334</v>
      </c>
    </row>
    <row r="129" spans="1:53">
      <c r="A129" s="544" t="s">
        <v>142</v>
      </c>
      <c r="B129" s="545" t="s">
        <v>289</v>
      </c>
      <c r="C129" s="549"/>
      <c r="D129" s="547">
        <v>139311</v>
      </c>
      <c r="E129" s="550">
        <v>4</v>
      </c>
      <c r="F129" s="491" t="s">
        <v>41</v>
      </c>
      <c r="G129" s="492" t="s">
        <v>41</v>
      </c>
      <c r="H129" s="456"/>
      <c r="I129" s="493"/>
      <c r="J129" s="456">
        <v>70450</v>
      </c>
      <c r="K129" s="493">
        <v>67632</v>
      </c>
      <c r="L129" s="456">
        <v>17863</v>
      </c>
      <c r="M129" s="493">
        <v>16106</v>
      </c>
      <c r="N129" s="456">
        <v>70461</v>
      </c>
      <c r="O129" s="493">
        <v>70234</v>
      </c>
      <c r="P129" s="449">
        <f t="shared" si="51"/>
        <v>158774</v>
      </c>
      <c r="Q129" s="450">
        <f t="shared" si="52"/>
        <v>5292.4666666666662</v>
      </c>
      <c r="R129" s="451">
        <f t="shared" si="53"/>
        <v>153972</v>
      </c>
      <c r="S129" s="452">
        <f t="shared" si="54"/>
        <v>5132.3999999999996</v>
      </c>
      <c r="T129" s="456">
        <v>7214</v>
      </c>
      <c r="U129" s="493">
        <v>8272</v>
      </c>
      <c r="V129" s="449">
        <f t="shared" si="55"/>
        <v>158774</v>
      </c>
      <c r="W129" s="448">
        <f t="shared" si="56"/>
        <v>153972</v>
      </c>
      <c r="X129" s="456"/>
      <c r="Y129" s="493"/>
      <c r="Z129" s="456"/>
      <c r="AA129" s="493"/>
      <c r="AB129" s="456"/>
      <c r="AC129" s="493"/>
      <c r="AD129" s="456"/>
      <c r="AE129" s="493"/>
      <c r="AF129" s="449">
        <f t="shared" si="57"/>
        <v>0</v>
      </c>
      <c r="AG129" s="450">
        <f t="shared" si="58"/>
        <v>0</v>
      </c>
      <c r="AH129" s="451">
        <f t="shared" si="59"/>
        <v>0</v>
      </c>
      <c r="AI129" s="451">
        <f t="shared" si="60"/>
        <v>0</v>
      </c>
      <c r="AJ129" s="456"/>
      <c r="AK129" s="493"/>
      <c r="AL129" s="449">
        <f t="shared" si="61"/>
        <v>0</v>
      </c>
      <c r="AM129" s="452">
        <f t="shared" si="62"/>
        <v>0</v>
      </c>
      <c r="AN129" s="456"/>
      <c r="AO129" s="493"/>
      <c r="AP129" s="456">
        <v>2799</v>
      </c>
      <c r="AQ129" s="493">
        <v>2927</v>
      </c>
      <c r="AR129" s="456">
        <v>1372</v>
      </c>
      <c r="AS129" s="493">
        <v>1544</v>
      </c>
      <c r="AT129" s="456">
        <v>2650</v>
      </c>
      <c r="AU129" s="493">
        <v>2808</v>
      </c>
      <c r="AV129" s="449">
        <f t="shared" si="63"/>
        <v>6821</v>
      </c>
      <c r="AW129" s="453">
        <f t="shared" si="64"/>
        <v>284.20833333333331</v>
      </c>
      <c r="AX129" s="451">
        <f t="shared" si="65"/>
        <v>7279</v>
      </c>
      <c r="AY129" s="454">
        <f t="shared" si="66"/>
        <v>303.29166666666669</v>
      </c>
      <c r="AZ129" s="455">
        <f t="shared" si="67"/>
        <v>5576.6749999999993</v>
      </c>
      <c r="BA129" s="451">
        <f t="shared" si="68"/>
        <v>5435.6916666666666</v>
      </c>
    </row>
    <row r="130" spans="1:53">
      <c r="A130" s="544" t="s">
        <v>142</v>
      </c>
      <c r="B130" s="545" t="s">
        <v>290</v>
      </c>
      <c r="C130" s="546" t="s">
        <v>310</v>
      </c>
      <c r="D130" s="547">
        <v>139366</v>
      </c>
      <c r="E130" s="548">
        <v>4</v>
      </c>
      <c r="F130" s="491" t="s">
        <v>41</v>
      </c>
      <c r="G130" s="492" t="s">
        <v>41</v>
      </c>
      <c r="H130" s="456"/>
      <c r="I130" s="493"/>
      <c r="J130" s="456">
        <v>79533</v>
      </c>
      <c r="K130" s="493">
        <v>78134</v>
      </c>
      <c r="L130" s="456">
        <v>18330</v>
      </c>
      <c r="M130" s="493">
        <v>17339</v>
      </c>
      <c r="N130" s="456">
        <v>82382</v>
      </c>
      <c r="O130" s="493">
        <v>83882</v>
      </c>
      <c r="P130" s="449">
        <f t="shared" si="51"/>
        <v>180245</v>
      </c>
      <c r="Q130" s="450">
        <f t="shared" si="52"/>
        <v>6008.166666666667</v>
      </c>
      <c r="R130" s="451">
        <f t="shared" si="53"/>
        <v>179355</v>
      </c>
      <c r="S130" s="452">
        <f t="shared" si="54"/>
        <v>5978.5</v>
      </c>
      <c r="T130" s="456">
        <v>2146</v>
      </c>
      <c r="U130" s="493">
        <v>2413</v>
      </c>
      <c r="V130" s="449">
        <f t="shared" si="55"/>
        <v>180245</v>
      </c>
      <c r="W130" s="448">
        <f t="shared" si="56"/>
        <v>179355</v>
      </c>
      <c r="X130" s="456"/>
      <c r="Y130" s="493"/>
      <c r="Z130" s="456"/>
      <c r="AA130" s="493"/>
      <c r="AB130" s="456"/>
      <c r="AC130" s="493"/>
      <c r="AD130" s="456"/>
      <c r="AE130" s="493"/>
      <c r="AF130" s="449">
        <f t="shared" si="57"/>
        <v>0</v>
      </c>
      <c r="AG130" s="450">
        <f t="shared" si="58"/>
        <v>0</v>
      </c>
      <c r="AH130" s="451">
        <f t="shared" si="59"/>
        <v>0</v>
      </c>
      <c r="AI130" s="451">
        <f t="shared" si="60"/>
        <v>0</v>
      </c>
      <c r="AJ130" s="456"/>
      <c r="AK130" s="493"/>
      <c r="AL130" s="449">
        <f t="shared" si="61"/>
        <v>0</v>
      </c>
      <c r="AM130" s="452">
        <f t="shared" si="62"/>
        <v>0</v>
      </c>
      <c r="AN130" s="456"/>
      <c r="AO130" s="493"/>
      <c r="AP130" s="456">
        <v>8157</v>
      </c>
      <c r="AQ130" s="493">
        <v>9151</v>
      </c>
      <c r="AR130" s="456">
        <v>4558</v>
      </c>
      <c r="AS130" s="493">
        <v>5327</v>
      </c>
      <c r="AT130" s="456">
        <v>8830</v>
      </c>
      <c r="AU130" s="493">
        <v>10184</v>
      </c>
      <c r="AV130" s="449">
        <f t="shared" si="63"/>
        <v>21545</v>
      </c>
      <c r="AW130" s="453">
        <f t="shared" si="64"/>
        <v>897.70833333333337</v>
      </c>
      <c r="AX130" s="451">
        <f t="shared" si="65"/>
        <v>24662</v>
      </c>
      <c r="AY130" s="454">
        <f t="shared" si="66"/>
        <v>1027.5833333333333</v>
      </c>
      <c r="AZ130" s="455">
        <f t="shared" si="67"/>
        <v>6905.875</v>
      </c>
      <c r="BA130" s="451">
        <f t="shared" si="68"/>
        <v>7006.083333333333</v>
      </c>
    </row>
    <row r="131" spans="1:53">
      <c r="A131" s="544" t="s">
        <v>142</v>
      </c>
      <c r="B131" s="545" t="s">
        <v>291</v>
      </c>
      <c r="C131" s="546"/>
      <c r="D131" s="547">
        <v>139861</v>
      </c>
      <c r="E131" s="548">
        <v>4</v>
      </c>
      <c r="F131" s="491" t="s">
        <v>41</v>
      </c>
      <c r="G131" s="492" t="s">
        <v>41</v>
      </c>
      <c r="H131" s="456"/>
      <c r="I131" s="493"/>
      <c r="J131" s="456">
        <v>75752</v>
      </c>
      <c r="K131" s="493">
        <v>78683.5</v>
      </c>
      <c r="L131" s="456">
        <v>16081.5</v>
      </c>
      <c r="M131" s="493">
        <v>16730</v>
      </c>
      <c r="N131" s="456">
        <v>82811.5</v>
      </c>
      <c r="O131" s="493">
        <v>84128.5</v>
      </c>
      <c r="P131" s="449">
        <f t="shared" si="51"/>
        <v>174645</v>
      </c>
      <c r="Q131" s="450">
        <f t="shared" si="52"/>
        <v>5821.5</v>
      </c>
      <c r="R131" s="451">
        <f t="shared" si="53"/>
        <v>179542</v>
      </c>
      <c r="S131" s="452">
        <f t="shared" si="54"/>
        <v>5984.7333333333336</v>
      </c>
      <c r="T131" s="456">
        <v>688</v>
      </c>
      <c r="U131" s="493">
        <v>835</v>
      </c>
      <c r="V131" s="449">
        <f t="shared" si="55"/>
        <v>174645</v>
      </c>
      <c r="W131" s="448">
        <f t="shared" si="56"/>
        <v>179542</v>
      </c>
      <c r="X131" s="456"/>
      <c r="Y131" s="493"/>
      <c r="Z131" s="456"/>
      <c r="AA131" s="493"/>
      <c r="AB131" s="456"/>
      <c r="AC131" s="493"/>
      <c r="AD131" s="456"/>
      <c r="AE131" s="493"/>
      <c r="AF131" s="449">
        <f t="shared" si="57"/>
        <v>0</v>
      </c>
      <c r="AG131" s="450">
        <f t="shared" si="58"/>
        <v>0</v>
      </c>
      <c r="AH131" s="451">
        <f t="shared" si="59"/>
        <v>0</v>
      </c>
      <c r="AI131" s="451">
        <f t="shared" si="60"/>
        <v>0</v>
      </c>
      <c r="AJ131" s="456"/>
      <c r="AK131" s="493"/>
      <c r="AL131" s="449">
        <f t="shared" si="61"/>
        <v>0</v>
      </c>
      <c r="AM131" s="452">
        <f t="shared" si="62"/>
        <v>0</v>
      </c>
      <c r="AN131" s="456"/>
      <c r="AO131" s="493"/>
      <c r="AP131" s="456">
        <v>6240</v>
      </c>
      <c r="AQ131" s="493">
        <v>6267</v>
      </c>
      <c r="AR131" s="456">
        <v>4690</v>
      </c>
      <c r="AS131" s="493">
        <v>4774</v>
      </c>
      <c r="AT131" s="456">
        <v>6450</v>
      </c>
      <c r="AU131" s="493">
        <v>6594</v>
      </c>
      <c r="AV131" s="449">
        <f t="shared" si="63"/>
        <v>17380</v>
      </c>
      <c r="AW131" s="453">
        <f t="shared" si="64"/>
        <v>724.16666666666663</v>
      </c>
      <c r="AX131" s="451">
        <f t="shared" si="65"/>
        <v>17635</v>
      </c>
      <c r="AY131" s="454">
        <f t="shared" si="66"/>
        <v>734.79166666666663</v>
      </c>
      <c r="AZ131" s="455">
        <f t="shared" si="67"/>
        <v>6545.666666666667</v>
      </c>
      <c r="BA131" s="451">
        <f t="shared" si="68"/>
        <v>6719.5250000000005</v>
      </c>
    </row>
    <row r="132" spans="1:53">
      <c r="A132" s="544" t="s">
        <v>142</v>
      </c>
      <c r="B132" s="552" t="s">
        <v>292</v>
      </c>
      <c r="C132" s="546"/>
      <c r="D132" s="547">
        <v>482149</v>
      </c>
      <c r="E132" s="548">
        <v>4</v>
      </c>
      <c r="F132" s="491" t="s">
        <v>41</v>
      </c>
      <c r="G132" s="492" t="s">
        <v>41</v>
      </c>
      <c r="H132" s="456"/>
      <c r="I132" s="493"/>
      <c r="J132" s="456">
        <v>63907</v>
      </c>
      <c r="K132" s="493">
        <v>60688</v>
      </c>
      <c r="L132" s="456">
        <v>12966</v>
      </c>
      <c r="M132" s="493">
        <v>10675</v>
      </c>
      <c r="N132" s="456">
        <v>67163</v>
      </c>
      <c r="O132" s="493">
        <v>65189</v>
      </c>
      <c r="P132" s="449">
        <f t="shared" si="51"/>
        <v>144036</v>
      </c>
      <c r="Q132" s="450">
        <f t="shared" si="52"/>
        <v>4801.2</v>
      </c>
      <c r="R132" s="451">
        <f t="shared" si="53"/>
        <v>136552</v>
      </c>
      <c r="S132" s="452">
        <f t="shared" si="54"/>
        <v>4551.7333333333336</v>
      </c>
      <c r="T132" s="456">
        <v>1268</v>
      </c>
      <c r="U132" s="493">
        <v>1594</v>
      </c>
      <c r="V132" s="449">
        <f t="shared" si="55"/>
        <v>144036</v>
      </c>
      <c r="W132" s="448">
        <f t="shared" si="56"/>
        <v>136552</v>
      </c>
      <c r="X132" s="456"/>
      <c r="Y132" s="493"/>
      <c r="Z132" s="456"/>
      <c r="AA132" s="493"/>
      <c r="AB132" s="456"/>
      <c r="AC132" s="493"/>
      <c r="AD132" s="456"/>
      <c r="AE132" s="493"/>
      <c r="AF132" s="449">
        <f t="shared" si="57"/>
        <v>0</v>
      </c>
      <c r="AG132" s="450">
        <f t="shared" si="58"/>
        <v>0</v>
      </c>
      <c r="AH132" s="451">
        <f t="shared" si="59"/>
        <v>0</v>
      </c>
      <c r="AI132" s="451">
        <f t="shared" si="60"/>
        <v>0</v>
      </c>
      <c r="AJ132" s="456"/>
      <c r="AK132" s="493"/>
      <c r="AL132" s="449">
        <f t="shared" si="61"/>
        <v>0</v>
      </c>
      <c r="AM132" s="452">
        <f t="shared" si="62"/>
        <v>0</v>
      </c>
      <c r="AN132" s="456"/>
      <c r="AO132" s="493"/>
      <c r="AP132" s="456">
        <v>15348</v>
      </c>
      <c r="AQ132" s="493">
        <v>14743</v>
      </c>
      <c r="AR132" s="456">
        <v>11732</v>
      </c>
      <c r="AS132" s="493">
        <v>11416</v>
      </c>
      <c r="AT132" s="456">
        <v>16793</v>
      </c>
      <c r="AU132" s="493">
        <v>16856</v>
      </c>
      <c r="AV132" s="449">
        <f t="shared" si="63"/>
        <v>43873</v>
      </c>
      <c r="AW132" s="453">
        <f t="shared" si="64"/>
        <v>1828.0416666666667</v>
      </c>
      <c r="AX132" s="451">
        <f t="shared" si="65"/>
        <v>43015</v>
      </c>
      <c r="AY132" s="454">
        <f t="shared" si="66"/>
        <v>1792.2916666666667</v>
      </c>
      <c r="AZ132" s="455">
        <f t="shared" si="67"/>
        <v>6629.2416666666668</v>
      </c>
      <c r="BA132" s="451">
        <f t="shared" si="68"/>
        <v>6344.0250000000005</v>
      </c>
    </row>
    <row r="133" spans="1:53">
      <c r="A133" s="544" t="s">
        <v>142</v>
      </c>
      <c r="B133" s="552" t="s">
        <v>293</v>
      </c>
      <c r="C133" s="546"/>
      <c r="D133" s="553">
        <v>482680</v>
      </c>
      <c r="E133" s="548">
        <v>4</v>
      </c>
      <c r="F133" s="491" t="s">
        <v>41</v>
      </c>
      <c r="G133" s="492" t="s">
        <v>41</v>
      </c>
      <c r="H133" s="456"/>
      <c r="I133" s="493"/>
      <c r="J133" s="456">
        <v>164003</v>
      </c>
      <c r="K133" s="493">
        <v>170466</v>
      </c>
      <c r="L133" s="456">
        <v>31242</v>
      </c>
      <c r="M133" s="493">
        <v>34179</v>
      </c>
      <c r="N133" s="456">
        <v>181517</v>
      </c>
      <c r="O133" s="493">
        <v>197268</v>
      </c>
      <c r="P133" s="449">
        <f t="shared" si="51"/>
        <v>376762</v>
      </c>
      <c r="Q133" s="450">
        <f t="shared" si="52"/>
        <v>12558.733333333334</v>
      </c>
      <c r="R133" s="451">
        <f t="shared" si="53"/>
        <v>401913</v>
      </c>
      <c r="S133" s="452">
        <f t="shared" si="54"/>
        <v>13397.1</v>
      </c>
      <c r="T133" s="456">
        <v>5548</v>
      </c>
      <c r="U133" s="493">
        <v>8632</v>
      </c>
      <c r="V133" s="449">
        <f t="shared" si="55"/>
        <v>376762</v>
      </c>
      <c r="W133" s="448">
        <f t="shared" si="56"/>
        <v>401913</v>
      </c>
      <c r="X133" s="456"/>
      <c r="Y133" s="493"/>
      <c r="Z133" s="456"/>
      <c r="AA133" s="493"/>
      <c r="AB133" s="456"/>
      <c r="AC133" s="493"/>
      <c r="AD133" s="456"/>
      <c r="AE133" s="493"/>
      <c r="AF133" s="449">
        <f t="shared" si="57"/>
        <v>0</v>
      </c>
      <c r="AG133" s="450">
        <f t="shared" si="58"/>
        <v>0</v>
      </c>
      <c r="AH133" s="451">
        <f t="shared" si="59"/>
        <v>0</v>
      </c>
      <c r="AI133" s="451">
        <f t="shared" si="60"/>
        <v>0</v>
      </c>
      <c r="AJ133" s="456"/>
      <c r="AK133" s="493"/>
      <c r="AL133" s="449">
        <f t="shared" si="61"/>
        <v>0</v>
      </c>
      <c r="AM133" s="452">
        <f t="shared" si="62"/>
        <v>0</v>
      </c>
      <c r="AN133" s="456"/>
      <c r="AO133" s="493"/>
      <c r="AP133" s="456">
        <v>4321</v>
      </c>
      <c r="AQ133" s="493">
        <v>4196</v>
      </c>
      <c r="AR133" s="456">
        <v>3471</v>
      </c>
      <c r="AS133" s="493">
        <v>3053</v>
      </c>
      <c r="AT133" s="456">
        <v>3893</v>
      </c>
      <c r="AU133" s="493">
        <v>3777</v>
      </c>
      <c r="AV133" s="449">
        <f t="shared" si="63"/>
        <v>11685</v>
      </c>
      <c r="AW133" s="453">
        <f t="shared" si="64"/>
        <v>486.875</v>
      </c>
      <c r="AX133" s="451">
        <f t="shared" si="65"/>
        <v>11026</v>
      </c>
      <c r="AY133" s="454">
        <f t="shared" si="66"/>
        <v>459.41666666666669</v>
      </c>
      <c r="AZ133" s="455">
        <f t="shared" si="67"/>
        <v>13045.608333333334</v>
      </c>
      <c r="BA133" s="451">
        <f t="shared" si="68"/>
        <v>13856.516666666666</v>
      </c>
    </row>
    <row r="134" spans="1:53">
      <c r="A134" s="544" t="s">
        <v>142</v>
      </c>
      <c r="B134" s="545" t="s">
        <v>294</v>
      </c>
      <c r="C134" s="549" t="s">
        <v>311</v>
      </c>
      <c r="D134" s="547">
        <v>139719</v>
      </c>
      <c r="E134" s="551">
        <v>4</v>
      </c>
      <c r="F134" s="491" t="s">
        <v>41</v>
      </c>
      <c r="G134" s="492" t="s">
        <v>41</v>
      </c>
      <c r="H134" s="456"/>
      <c r="I134" s="493"/>
      <c r="J134" s="456">
        <v>33884</v>
      </c>
      <c r="K134" s="493">
        <v>28532</v>
      </c>
      <c r="L134" s="456">
        <v>4746</v>
      </c>
      <c r="M134" s="493">
        <v>5295</v>
      </c>
      <c r="N134" s="456">
        <v>30009</v>
      </c>
      <c r="O134" s="493">
        <v>30970</v>
      </c>
      <c r="P134" s="449">
        <f t="shared" si="51"/>
        <v>68639</v>
      </c>
      <c r="Q134" s="450">
        <f t="shared" si="52"/>
        <v>2287.9666666666667</v>
      </c>
      <c r="R134" s="451">
        <f t="shared" si="53"/>
        <v>64797</v>
      </c>
      <c r="S134" s="452">
        <f t="shared" si="54"/>
        <v>2159.9</v>
      </c>
      <c r="T134" s="456">
        <v>414</v>
      </c>
      <c r="U134" s="493">
        <v>461</v>
      </c>
      <c r="V134" s="449">
        <f t="shared" si="55"/>
        <v>68639</v>
      </c>
      <c r="W134" s="448">
        <f t="shared" si="56"/>
        <v>64797</v>
      </c>
      <c r="X134" s="456"/>
      <c r="Y134" s="493"/>
      <c r="Z134" s="456"/>
      <c r="AA134" s="493"/>
      <c r="AB134" s="456"/>
      <c r="AC134" s="493"/>
      <c r="AD134" s="456"/>
      <c r="AE134" s="493"/>
      <c r="AF134" s="449">
        <f t="shared" si="57"/>
        <v>0</v>
      </c>
      <c r="AG134" s="450">
        <f t="shared" si="58"/>
        <v>0</v>
      </c>
      <c r="AH134" s="451">
        <f t="shared" si="59"/>
        <v>0</v>
      </c>
      <c r="AI134" s="451">
        <f t="shared" si="60"/>
        <v>0</v>
      </c>
      <c r="AJ134" s="456"/>
      <c r="AK134" s="493"/>
      <c r="AL134" s="449">
        <f t="shared" si="61"/>
        <v>0</v>
      </c>
      <c r="AM134" s="452">
        <f t="shared" si="62"/>
        <v>0</v>
      </c>
      <c r="AN134" s="456"/>
      <c r="AO134" s="493"/>
      <c r="AP134" s="456">
        <v>2383</v>
      </c>
      <c r="AQ134" s="493">
        <v>2833</v>
      </c>
      <c r="AR134" s="456">
        <v>824</v>
      </c>
      <c r="AS134" s="493">
        <v>1235</v>
      </c>
      <c r="AT134" s="456">
        <v>2274</v>
      </c>
      <c r="AU134" s="493">
        <v>2909</v>
      </c>
      <c r="AV134" s="449">
        <f t="shared" si="63"/>
        <v>5481</v>
      </c>
      <c r="AW134" s="453">
        <f t="shared" si="64"/>
        <v>228.375</v>
      </c>
      <c r="AX134" s="451">
        <f t="shared" si="65"/>
        <v>6977</v>
      </c>
      <c r="AY134" s="454">
        <f t="shared" si="66"/>
        <v>290.70833333333331</v>
      </c>
      <c r="AZ134" s="455">
        <f t="shared" si="67"/>
        <v>2516.3416666666667</v>
      </c>
      <c r="BA134" s="451">
        <f t="shared" si="68"/>
        <v>2450.6083333333336</v>
      </c>
    </row>
    <row r="135" spans="1:53">
      <c r="A135" s="544" t="s">
        <v>142</v>
      </c>
      <c r="B135" s="545" t="s">
        <v>295</v>
      </c>
      <c r="C135" s="546" t="s">
        <v>312</v>
      </c>
      <c r="D135" s="547">
        <v>139764</v>
      </c>
      <c r="E135" s="548">
        <v>5</v>
      </c>
      <c r="F135" s="491" t="s">
        <v>41</v>
      </c>
      <c r="G135" s="492" t="s">
        <v>41</v>
      </c>
      <c r="H135" s="456"/>
      <c r="I135" s="493"/>
      <c r="J135" s="456">
        <v>28061</v>
      </c>
      <c r="K135" s="493">
        <v>26530</v>
      </c>
      <c r="L135" s="456">
        <v>8460</v>
      </c>
      <c r="M135" s="493">
        <v>7816</v>
      </c>
      <c r="N135" s="456">
        <v>29552</v>
      </c>
      <c r="O135" s="493">
        <v>28529</v>
      </c>
      <c r="P135" s="449">
        <f t="shared" si="51"/>
        <v>66073</v>
      </c>
      <c r="Q135" s="450">
        <f t="shared" si="52"/>
        <v>2202.4333333333334</v>
      </c>
      <c r="R135" s="451">
        <f t="shared" si="53"/>
        <v>62875</v>
      </c>
      <c r="S135" s="452">
        <f t="shared" si="54"/>
        <v>2095.8333333333335</v>
      </c>
      <c r="T135" s="456">
        <v>401</v>
      </c>
      <c r="U135" s="493">
        <v>706</v>
      </c>
      <c r="V135" s="449">
        <f t="shared" si="55"/>
        <v>66073</v>
      </c>
      <c r="W135" s="448">
        <f t="shared" si="56"/>
        <v>62875</v>
      </c>
      <c r="X135" s="456"/>
      <c r="Y135" s="493"/>
      <c r="Z135" s="456"/>
      <c r="AA135" s="493"/>
      <c r="AB135" s="456"/>
      <c r="AC135" s="493"/>
      <c r="AD135" s="456"/>
      <c r="AE135" s="493"/>
      <c r="AF135" s="449">
        <f t="shared" si="57"/>
        <v>0</v>
      </c>
      <c r="AG135" s="450">
        <f t="shared" si="58"/>
        <v>0</v>
      </c>
      <c r="AH135" s="451">
        <f t="shared" si="59"/>
        <v>0</v>
      </c>
      <c r="AI135" s="451">
        <f t="shared" si="60"/>
        <v>0</v>
      </c>
      <c r="AJ135" s="456"/>
      <c r="AK135" s="493"/>
      <c r="AL135" s="449">
        <f t="shared" si="61"/>
        <v>0</v>
      </c>
      <c r="AM135" s="452">
        <f t="shared" si="62"/>
        <v>0</v>
      </c>
      <c r="AN135" s="456"/>
      <c r="AO135" s="493"/>
      <c r="AP135" s="456">
        <v>959</v>
      </c>
      <c r="AQ135" s="493">
        <v>789</v>
      </c>
      <c r="AR135" s="456">
        <v>1257</v>
      </c>
      <c r="AS135" s="493">
        <v>2436</v>
      </c>
      <c r="AT135" s="456">
        <v>967</v>
      </c>
      <c r="AU135" s="493">
        <v>2529</v>
      </c>
      <c r="AV135" s="449">
        <f t="shared" si="63"/>
        <v>3183</v>
      </c>
      <c r="AW135" s="453">
        <f t="shared" si="64"/>
        <v>132.625</v>
      </c>
      <c r="AX135" s="451">
        <f t="shared" si="65"/>
        <v>5754</v>
      </c>
      <c r="AY135" s="454">
        <f t="shared" si="66"/>
        <v>239.75</v>
      </c>
      <c r="AZ135" s="455">
        <f t="shared" si="67"/>
        <v>2335.0583333333334</v>
      </c>
      <c r="BA135" s="451">
        <f t="shared" si="68"/>
        <v>2335.5833333333335</v>
      </c>
    </row>
    <row r="136" spans="1:53">
      <c r="A136" s="544" t="s">
        <v>142</v>
      </c>
      <c r="B136" s="545" t="s">
        <v>296</v>
      </c>
      <c r="C136" s="546"/>
      <c r="D136" s="547">
        <v>140960</v>
      </c>
      <c r="E136" s="548">
        <v>5</v>
      </c>
      <c r="F136" s="491" t="s">
        <v>41</v>
      </c>
      <c r="G136" s="492" t="s">
        <v>41</v>
      </c>
      <c r="H136" s="456"/>
      <c r="I136" s="493"/>
      <c r="J136" s="456">
        <v>60277</v>
      </c>
      <c r="K136" s="493">
        <v>58201</v>
      </c>
      <c r="L136" s="456">
        <v>6961</v>
      </c>
      <c r="M136" s="493">
        <v>6851</v>
      </c>
      <c r="N136" s="456">
        <v>65038</v>
      </c>
      <c r="O136" s="493">
        <v>63250</v>
      </c>
      <c r="P136" s="449">
        <f t="shared" ref="P136:P199" si="69">SUM(H136,J136,L136,N136)</f>
        <v>132276</v>
      </c>
      <c r="Q136" s="450">
        <f t="shared" ref="Q136:Q199" si="70">+P136/30</f>
        <v>4409.2</v>
      </c>
      <c r="R136" s="451">
        <f t="shared" ref="R136:R199" si="71">SUM(I136,K136,M136,O136)</f>
        <v>128302</v>
      </c>
      <c r="S136" s="452">
        <f t="shared" ref="S136:S199" si="72">+R136/30</f>
        <v>4276.7333333333336</v>
      </c>
      <c r="T136" s="456">
        <v>1382</v>
      </c>
      <c r="U136" s="493">
        <v>1299</v>
      </c>
      <c r="V136" s="449">
        <f t="shared" ref="V136:V199" si="73">IF(ISBLANK(T136),0,P136)</f>
        <v>132276</v>
      </c>
      <c r="W136" s="448">
        <f t="shared" ref="W136:W199" si="74">IF(ISBLANK(U136),0,R136)</f>
        <v>128302</v>
      </c>
      <c r="X136" s="456"/>
      <c r="Y136" s="493"/>
      <c r="Z136" s="456"/>
      <c r="AA136" s="493"/>
      <c r="AB136" s="456"/>
      <c r="AC136" s="493"/>
      <c r="AD136" s="456"/>
      <c r="AE136" s="493"/>
      <c r="AF136" s="449">
        <f t="shared" ref="AF136:AF199" si="75">SUM(X136,Z136,AB136,AD136)</f>
        <v>0</v>
      </c>
      <c r="AG136" s="450">
        <f t="shared" ref="AG136:AG199" si="76">+AF136/900</f>
        <v>0</v>
      </c>
      <c r="AH136" s="451">
        <f t="shared" ref="AH136:AH199" si="77">SUM(Y136,AA136,AC136,AE136)</f>
        <v>0</v>
      </c>
      <c r="AI136" s="451">
        <f t="shared" ref="AI136:AI199" si="78">+AH136/900</f>
        <v>0</v>
      </c>
      <c r="AJ136" s="456"/>
      <c r="AK136" s="493"/>
      <c r="AL136" s="449">
        <f t="shared" ref="AL136:AL199" si="79">IF(ISBLANK(AJ136),0,AF136)</f>
        <v>0</v>
      </c>
      <c r="AM136" s="452">
        <f t="shared" ref="AM136:AM199" si="80">IF(ISBLANK(AK136),0,AH136)</f>
        <v>0</v>
      </c>
      <c r="AN136" s="456"/>
      <c r="AO136" s="493"/>
      <c r="AP136" s="456">
        <v>1696</v>
      </c>
      <c r="AQ136" s="493">
        <v>1682</v>
      </c>
      <c r="AR136" s="456">
        <v>456</v>
      </c>
      <c r="AS136" s="493">
        <v>366</v>
      </c>
      <c r="AT136" s="456">
        <v>1556</v>
      </c>
      <c r="AU136" s="493">
        <v>1641</v>
      </c>
      <c r="AV136" s="449">
        <f t="shared" ref="AV136:AV199" si="81">SUM(AN136,AP136,AR136,AT136)</f>
        <v>3708</v>
      </c>
      <c r="AW136" s="453">
        <f t="shared" ref="AW136:AW199" si="82">+AV136/24</f>
        <v>154.5</v>
      </c>
      <c r="AX136" s="451">
        <f t="shared" ref="AX136:AX199" si="83">SUM(AO136,AQ136,AS136,AU136)</f>
        <v>3689</v>
      </c>
      <c r="AY136" s="454">
        <f t="shared" ref="AY136:AY199" si="84">+AX136/24</f>
        <v>153.70833333333334</v>
      </c>
      <c r="AZ136" s="455">
        <f t="shared" ref="AZ136:AZ199" si="85">SUM(Q136,AG136,AW136)</f>
        <v>4563.7</v>
      </c>
      <c r="BA136" s="451">
        <f t="shared" ref="BA136:BA199" si="86">SUM(S136,AI136,AY136)</f>
        <v>4430.4416666666666</v>
      </c>
    </row>
    <row r="137" spans="1:53">
      <c r="A137" s="554" t="s">
        <v>142</v>
      </c>
      <c r="B137" s="545" t="s">
        <v>297</v>
      </c>
      <c r="C137" s="549"/>
      <c r="D137" s="547">
        <v>139463</v>
      </c>
      <c r="E137" s="555">
        <v>6</v>
      </c>
      <c r="F137" s="491" t="s">
        <v>41</v>
      </c>
      <c r="G137" s="492" t="s">
        <v>41</v>
      </c>
      <c r="H137" s="456"/>
      <c r="I137" s="493"/>
      <c r="J137" s="456">
        <v>48936</v>
      </c>
      <c r="K137" s="493">
        <v>49654</v>
      </c>
      <c r="L137" s="456">
        <v>9599</v>
      </c>
      <c r="M137" s="493">
        <v>9428</v>
      </c>
      <c r="N137" s="456">
        <v>53232</v>
      </c>
      <c r="O137" s="493">
        <v>57481</v>
      </c>
      <c r="P137" s="449">
        <f t="shared" si="69"/>
        <v>111767</v>
      </c>
      <c r="Q137" s="450">
        <f t="shared" si="70"/>
        <v>3725.5666666666666</v>
      </c>
      <c r="R137" s="451">
        <f t="shared" si="71"/>
        <v>116563</v>
      </c>
      <c r="S137" s="452">
        <f t="shared" si="72"/>
        <v>3885.4333333333334</v>
      </c>
      <c r="T137" s="456">
        <v>2164</v>
      </c>
      <c r="U137" s="493">
        <v>3119</v>
      </c>
      <c r="V137" s="449">
        <f t="shared" si="73"/>
        <v>111767</v>
      </c>
      <c r="W137" s="448">
        <f t="shared" si="74"/>
        <v>116563</v>
      </c>
      <c r="X137" s="456"/>
      <c r="Y137" s="493"/>
      <c r="Z137" s="456"/>
      <c r="AA137" s="493"/>
      <c r="AB137" s="456"/>
      <c r="AC137" s="493"/>
      <c r="AD137" s="456"/>
      <c r="AE137" s="493"/>
      <c r="AF137" s="449">
        <f t="shared" si="75"/>
        <v>0</v>
      </c>
      <c r="AG137" s="450">
        <f t="shared" si="76"/>
        <v>0</v>
      </c>
      <c r="AH137" s="451">
        <f t="shared" si="77"/>
        <v>0</v>
      </c>
      <c r="AI137" s="451">
        <f t="shared" si="78"/>
        <v>0</v>
      </c>
      <c r="AJ137" s="456"/>
      <c r="AK137" s="493"/>
      <c r="AL137" s="449">
        <f t="shared" si="79"/>
        <v>0</v>
      </c>
      <c r="AM137" s="452">
        <f t="shared" si="80"/>
        <v>0</v>
      </c>
      <c r="AN137" s="456"/>
      <c r="AO137" s="493"/>
      <c r="AP137" s="456"/>
      <c r="AQ137" s="493"/>
      <c r="AR137" s="456"/>
      <c r="AS137" s="493"/>
      <c r="AT137" s="456"/>
      <c r="AU137" s="493"/>
      <c r="AV137" s="449">
        <f t="shared" si="81"/>
        <v>0</v>
      </c>
      <c r="AW137" s="453">
        <f t="shared" si="82"/>
        <v>0</v>
      </c>
      <c r="AX137" s="451">
        <f t="shared" si="83"/>
        <v>0</v>
      </c>
      <c r="AY137" s="454">
        <f t="shared" si="84"/>
        <v>0</v>
      </c>
      <c r="AZ137" s="455">
        <f t="shared" si="85"/>
        <v>3725.5666666666666</v>
      </c>
      <c r="BA137" s="451">
        <f t="shared" si="86"/>
        <v>3885.4333333333334</v>
      </c>
    </row>
    <row r="138" spans="1:53">
      <c r="A138" s="554" t="s">
        <v>142</v>
      </c>
      <c r="B138" s="545" t="s">
        <v>298</v>
      </c>
      <c r="C138" s="549"/>
      <c r="D138" s="547">
        <v>447689</v>
      </c>
      <c r="E138" s="548">
        <v>6</v>
      </c>
      <c r="F138" s="491" t="s">
        <v>41</v>
      </c>
      <c r="G138" s="492" t="s">
        <v>41</v>
      </c>
      <c r="H138" s="456"/>
      <c r="I138" s="493"/>
      <c r="J138" s="456">
        <v>115003</v>
      </c>
      <c r="K138" s="493">
        <v>125461</v>
      </c>
      <c r="L138" s="456">
        <v>21622</v>
      </c>
      <c r="M138" s="493">
        <v>22310</v>
      </c>
      <c r="N138" s="456">
        <v>126718</v>
      </c>
      <c r="O138" s="493">
        <v>133169</v>
      </c>
      <c r="P138" s="449">
        <f t="shared" si="69"/>
        <v>263343</v>
      </c>
      <c r="Q138" s="450">
        <f t="shared" si="70"/>
        <v>8778.1</v>
      </c>
      <c r="R138" s="451">
        <f t="shared" si="71"/>
        <v>280940</v>
      </c>
      <c r="S138" s="452">
        <f t="shared" si="72"/>
        <v>9364.6666666666661</v>
      </c>
      <c r="T138" s="456">
        <v>6034</v>
      </c>
      <c r="U138" s="493">
        <v>6465</v>
      </c>
      <c r="V138" s="449">
        <f t="shared" si="73"/>
        <v>263343</v>
      </c>
      <c r="W138" s="448">
        <f t="shared" si="74"/>
        <v>280940</v>
      </c>
      <c r="X138" s="456"/>
      <c r="Y138" s="493"/>
      <c r="Z138" s="456"/>
      <c r="AA138" s="493"/>
      <c r="AB138" s="456"/>
      <c r="AC138" s="493"/>
      <c r="AD138" s="456"/>
      <c r="AE138" s="493"/>
      <c r="AF138" s="449">
        <f t="shared" si="75"/>
        <v>0</v>
      </c>
      <c r="AG138" s="450">
        <f t="shared" si="76"/>
        <v>0</v>
      </c>
      <c r="AH138" s="451">
        <f t="shared" si="77"/>
        <v>0</v>
      </c>
      <c r="AI138" s="451">
        <f t="shared" si="78"/>
        <v>0</v>
      </c>
      <c r="AJ138" s="456"/>
      <c r="AK138" s="493"/>
      <c r="AL138" s="449">
        <f t="shared" si="79"/>
        <v>0</v>
      </c>
      <c r="AM138" s="452">
        <f t="shared" si="80"/>
        <v>0</v>
      </c>
      <c r="AN138" s="456"/>
      <c r="AO138" s="493"/>
      <c r="AP138" s="456"/>
      <c r="AQ138" s="493"/>
      <c r="AR138" s="456"/>
      <c r="AS138" s="493"/>
      <c r="AT138" s="456"/>
      <c r="AU138" s="493"/>
      <c r="AV138" s="449">
        <f t="shared" si="81"/>
        <v>0</v>
      </c>
      <c r="AW138" s="453">
        <f t="shared" si="82"/>
        <v>0</v>
      </c>
      <c r="AX138" s="451">
        <f t="shared" si="83"/>
        <v>0</v>
      </c>
      <c r="AY138" s="454">
        <f t="shared" si="84"/>
        <v>0</v>
      </c>
      <c r="AZ138" s="455">
        <f t="shared" si="85"/>
        <v>8778.1</v>
      </c>
      <c r="BA138" s="451">
        <f t="shared" si="86"/>
        <v>9364.6666666666661</v>
      </c>
    </row>
    <row r="139" spans="1:53">
      <c r="A139" s="544" t="s">
        <v>142</v>
      </c>
      <c r="B139" s="552" t="s">
        <v>299</v>
      </c>
      <c r="C139" s="546"/>
      <c r="D139" s="553">
        <v>482158</v>
      </c>
      <c r="E139" s="548">
        <v>6</v>
      </c>
      <c r="F139" s="491" t="s">
        <v>41</v>
      </c>
      <c r="G139" s="492" t="s">
        <v>41</v>
      </c>
      <c r="H139" s="456"/>
      <c r="I139" s="493"/>
      <c r="J139" s="456">
        <v>84947</v>
      </c>
      <c r="K139" s="493">
        <v>78770</v>
      </c>
      <c r="L139" s="456">
        <v>20284</v>
      </c>
      <c r="M139" s="493">
        <v>19627</v>
      </c>
      <c r="N139" s="456">
        <v>86803</v>
      </c>
      <c r="O139" s="493">
        <v>84658</v>
      </c>
      <c r="P139" s="449">
        <f t="shared" si="69"/>
        <v>192034</v>
      </c>
      <c r="Q139" s="450">
        <f t="shared" si="70"/>
        <v>6401.1333333333332</v>
      </c>
      <c r="R139" s="451">
        <f t="shared" si="71"/>
        <v>183055</v>
      </c>
      <c r="S139" s="452">
        <f t="shared" si="72"/>
        <v>6101.833333333333</v>
      </c>
      <c r="T139" s="456">
        <v>5315</v>
      </c>
      <c r="U139" s="493">
        <v>5156</v>
      </c>
      <c r="V139" s="449">
        <f t="shared" si="73"/>
        <v>192034</v>
      </c>
      <c r="W139" s="448">
        <f t="shared" si="74"/>
        <v>183055</v>
      </c>
      <c r="X139" s="456"/>
      <c r="Y139" s="493"/>
      <c r="Z139" s="456"/>
      <c r="AA139" s="493"/>
      <c r="AB139" s="456"/>
      <c r="AC139" s="493"/>
      <c r="AD139" s="456"/>
      <c r="AE139" s="493"/>
      <c r="AF139" s="449">
        <f t="shared" si="75"/>
        <v>0</v>
      </c>
      <c r="AG139" s="450">
        <f t="shared" si="76"/>
        <v>0</v>
      </c>
      <c r="AH139" s="451">
        <f t="shared" si="77"/>
        <v>0</v>
      </c>
      <c r="AI139" s="451">
        <f t="shared" si="78"/>
        <v>0</v>
      </c>
      <c r="AJ139" s="456"/>
      <c r="AK139" s="493"/>
      <c r="AL139" s="449">
        <f t="shared" si="79"/>
        <v>0</v>
      </c>
      <c r="AM139" s="452">
        <f t="shared" si="80"/>
        <v>0</v>
      </c>
      <c r="AN139" s="456"/>
      <c r="AO139" s="493"/>
      <c r="AP139" s="456"/>
      <c r="AQ139" s="493"/>
      <c r="AR139" s="456"/>
      <c r="AS139" s="493"/>
      <c r="AT139" s="456"/>
      <c r="AU139" s="493"/>
      <c r="AV139" s="449">
        <f t="shared" si="81"/>
        <v>0</v>
      </c>
      <c r="AW139" s="453">
        <f t="shared" si="82"/>
        <v>0</v>
      </c>
      <c r="AX139" s="451">
        <f t="shared" si="83"/>
        <v>0</v>
      </c>
      <c r="AY139" s="454">
        <f t="shared" si="84"/>
        <v>0</v>
      </c>
      <c r="AZ139" s="455">
        <f t="shared" si="85"/>
        <v>6401.1333333333332</v>
      </c>
      <c r="BA139" s="451">
        <f t="shared" si="86"/>
        <v>6101.833333333333</v>
      </c>
    </row>
    <row r="140" spans="1:53">
      <c r="A140" s="554" t="s">
        <v>142</v>
      </c>
      <c r="B140" s="545" t="s">
        <v>300</v>
      </c>
      <c r="C140" s="549"/>
      <c r="D140" s="556">
        <v>138558</v>
      </c>
      <c r="E140" s="558">
        <v>7</v>
      </c>
      <c r="F140" s="491" t="s">
        <v>41</v>
      </c>
      <c r="G140" s="492" t="s">
        <v>41</v>
      </c>
      <c r="H140" s="456"/>
      <c r="I140" s="493"/>
      <c r="J140" s="456">
        <v>35986</v>
      </c>
      <c r="K140" s="493">
        <v>36783</v>
      </c>
      <c r="L140" s="456">
        <v>5939</v>
      </c>
      <c r="M140" s="493">
        <v>5853</v>
      </c>
      <c r="N140" s="456">
        <v>41804</v>
      </c>
      <c r="O140" s="493">
        <v>41577</v>
      </c>
      <c r="P140" s="449">
        <f t="shared" si="69"/>
        <v>83729</v>
      </c>
      <c r="Q140" s="450">
        <f t="shared" si="70"/>
        <v>2790.9666666666667</v>
      </c>
      <c r="R140" s="451">
        <f t="shared" si="71"/>
        <v>84213</v>
      </c>
      <c r="S140" s="452">
        <f t="shared" si="72"/>
        <v>2807.1</v>
      </c>
      <c r="T140" s="456">
        <v>2372</v>
      </c>
      <c r="U140" s="493">
        <v>2360</v>
      </c>
      <c r="V140" s="449">
        <f t="shared" si="73"/>
        <v>83729</v>
      </c>
      <c r="W140" s="448">
        <f t="shared" si="74"/>
        <v>84213</v>
      </c>
      <c r="X140" s="456"/>
      <c r="Y140" s="493"/>
      <c r="Z140" s="456"/>
      <c r="AA140" s="493"/>
      <c r="AB140" s="456"/>
      <c r="AC140" s="493"/>
      <c r="AD140" s="456"/>
      <c r="AE140" s="493"/>
      <c r="AF140" s="449">
        <f t="shared" si="75"/>
        <v>0</v>
      </c>
      <c r="AG140" s="450">
        <f t="shared" si="76"/>
        <v>0</v>
      </c>
      <c r="AH140" s="451">
        <f t="shared" si="77"/>
        <v>0</v>
      </c>
      <c r="AI140" s="451">
        <f t="shared" si="78"/>
        <v>0</v>
      </c>
      <c r="AJ140" s="456"/>
      <c r="AK140" s="493"/>
      <c r="AL140" s="449">
        <f t="shared" si="79"/>
        <v>0</v>
      </c>
      <c r="AM140" s="452">
        <f t="shared" si="80"/>
        <v>0</v>
      </c>
      <c r="AN140" s="456"/>
      <c r="AO140" s="493"/>
      <c r="AP140" s="456"/>
      <c r="AQ140" s="493"/>
      <c r="AR140" s="456"/>
      <c r="AS140" s="493"/>
      <c r="AT140" s="456"/>
      <c r="AU140" s="493"/>
      <c r="AV140" s="449">
        <f t="shared" si="81"/>
        <v>0</v>
      </c>
      <c r="AW140" s="453">
        <f t="shared" si="82"/>
        <v>0</v>
      </c>
      <c r="AX140" s="451">
        <f t="shared" si="83"/>
        <v>0</v>
      </c>
      <c r="AY140" s="454">
        <f t="shared" si="84"/>
        <v>0</v>
      </c>
      <c r="AZ140" s="455">
        <f t="shared" si="85"/>
        <v>2790.9666666666667</v>
      </c>
      <c r="BA140" s="451">
        <f t="shared" si="86"/>
        <v>2807.1</v>
      </c>
    </row>
    <row r="141" spans="1:53">
      <c r="A141" s="554" t="s">
        <v>142</v>
      </c>
      <c r="B141" s="557" t="s">
        <v>301</v>
      </c>
      <c r="C141" s="546" t="s">
        <v>313</v>
      </c>
      <c r="D141" s="556">
        <v>139250</v>
      </c>
      <c r="E141" s="558">
        <v>7</v>
      </c>
      <c r="F141" s="491" t="s">
        <v>41</v>
      </c>
      <c r="G141" s="492" t="s">
        <v>41</v>
      </c>
      <c r="H141" s="456"/>
      <c r="I141" s="493"/>
      <c r="J141" s="456">
        <v>30774</v>
      </c>
      <c r="K141" s="493">
        <v>31585</v>
      </c>
      <c r="L141" s="456">
        <v>5792</v>
      </c>
      <c r="M141" s="493">
        <v>6089</v>
      </c>
      <c r="N141" s="456">
        <v>33960</v>
      </c>
      <c r="O141" s="493">
        <v>35461</v>
      </c>
      <c r="P141" s="449">
        <f t="shared" si="69"/>
        <v>70526</v>
      </c>
      <c r="Q141" s="450">
        <f t="shared" si="70"/>
        <v>2350.8666666666668</v>
      </c>
      <c r="R141" s="451">
        <f t="shared" si="71"/>
        <v>73135</v>
      </c>
      <c r="S141" s="452">
        <f t="shared" si="72"/>
        <v>2437.8333333333335</v>
      </c>
      <c r="T141" s="456">
        <v>1783</v>
      </c>
      <c r="U141" s="493">
        <v>2572</v>
      </c>
      <c r="V141" s="449">
        <f t="shared" si="73"/>
        <v>70526</v>
      </c>
      <c r="W141" s="448">
        <f t="shared" si="74"/>
        <v>73135</v>
      </c>
      <c r="X141" s="456"/>
      <c r="Y141" s="493"/>
      <c r="Z141" s="456"/>
      <c r="AA141" s="493"/>
      <c r="AB141" s="456"/>
      <c r="AC141" s="493"/>
      <c r="AD141" s="456"/>
      <c r="AE141" s="493"/>
      <c r="AF141" s="449">
        <f t="shared" si="75"/>
        <v>0</v>
      </c>
      <c r="AG141" s="450">
        <f t="shared" si="76"/>
        <v>0</v>
      </c>
      <c r="AH141" s="451">
        <f t="shared" si="77"/>
        <v>0</v>
      </c>
      <c r="AI141" s="451">
        <f t="shared" si="78"/>
        <v>0</v>
      </c>
      <c r="AJ141" s="456"/>
      <c r="AK141" s="493"/>
      <c r="AL141" s="449">
        <f t="shared" si="79"/>
        <v>0</v>
      </c>
      <c r="AM141" s="452">
        <f t="shared" si="80"/>
        <v>0</v>
      </c>
      <c r="AN141" s="456"/>
      <c r="AO141" s="493"/>
      <c r="AP141" s="456"/>
      <c r="AQ141" s="493"/>
      <c r="AR141" s="456"/>
      <c r="AS141" s="493"/>
      <c r="AT141" s="456"/>
      <c r="AU141" s="493"/>
      <c r="AV141" s="449">
        <f t="shared" si="81"/>
        <v>0</v>
      </c>
      <c r="AW141" s="453">
        <f t="shared" si="82"/>
        <v>0</v>
      </c>
      <c r="AX141" s="451">
        <f t="shared" si="83"/>
        <v>0</v>
      </c>
      <c r="AY141" s="454">
        <f t="shared" si="84"/>
        <v>0</v>
      </c>
      <c r="AZ141" s="455">
        <f t="shared" si="85"/>
        <v>2350.8666666666668</v>
      </c>
      <c r="BA141" s="451">
        <f t="shared" si="86"/>
        <v>2437.8333333333335</v>
      </c>
    </row>
    <row r="142" spans="1:53">
      <c r="A142" s="554" t="s">
        <v>142</v>
      </c>
      <c r="B142" s="545" t="s">
        <v>302</v>
      </c>
      <c r="C142" s="546" t="s">
        <v>314</v>
      </c>
      <c r="D142" s="556">
        <v>139968</v>
      </c>
      <c r="E142" s="558">
        <v>7</v>
      </c>
      <c r="F142" s="491" t="s">
        <v>41</v>
      </c>
      <c r="G142" s="492" t="s">
        <v>41</v>
      </c>
      <c r="H142" s="456"/>
      <c r="I142" s="493"/>
      <c r="J142" s="456">
        <v>43739</v>
      </c>
      <c r="K142" s="493">
        <v>41434</v>
      </c>
      <c r="L142" s="456">
        <v>5746</v>
      </c>
      <c r="M142" s="493">
        <v>5449</v>
      </c>
      <c r="N142" s="456">
        <v>47237</v>
      </c>
      <c r="O142" s="493">
        <v>47686</v>
      </c>
      <c r="P142" s="449">
        <f t="shared" si="69"/>
        <v>96722</v>
      </c>
      <c r="Q142" s="450">
        <f t="shared" si="70"/>
        <v>3224.0666666666666</v>
      </c>
      <c r="R142" s="451">
        <f t="shared" si="71"/>
        <v>94569</v>
      </c>
      <c r="S142" s="452">
        <f t="shared" si="72"/>
        <v>3152.3</v>
      </c>
      <c r="T142" s="456">
        <v>2679</v>
      </c>
      <c r="U142" s="493">
        <v>2696</v>
      </c>
      <c r="V142" s="449">
        <f t="shared" si="73"/>
        <v>96722</v>
      </c>
      <c r="W142" s="448">
        <f t="shared" si="74"/>
        <v>94569</v>
      </c>
      <c r="X142" s="456"/>
      <c r="Y142" s="493"/>
      <c r="Z142" s="456"/>
      <c r="AA142" s="493"/>
      <c r="AB142" s="456"/>
      <c r="AC142" s="493"/>
      <c r="AD142" s="456"/>
      <c r="AE142" s="493"/>
      <c r="AF142" s="449">
        <f t="shared" si="75"/>
        <v>0</v>
      </c>
      <c r="AG142" s="450">
        <f t="shared" si="76"/>
        <v>0</v>
      </c>
      <c r="AH142" s="451">
        <f t="shared" si="77"/>
        <v>0</v>
      </c>
      <c r="AI142" s="451">
        <f t="shared" si="78"/>
        <v>0</v>
      </c>
      <c r="AJ142" s="456"/>
      <c r="AK142" s="493"/>
      <c r="AL142" s="449">
        <f t="shared" si="79"/>
        <v>0</v>
      </c>
      <c r="AM142" s="452">
        <f t="shared" si="80"/>
        <v>0</v>
      </c>
      <c r="AN142" s="456"/>
      <c r="AO142" s="493"/>
      <c r="AP142" s="456"/>
      <c r="AQ142" s="493"/>
      <c r="AR142" s="456"/>
      <c r="AS142" s="493"/>
      <c r="AT142" s="456"/>
      <c r="AU142" s="493"/>
      <c r="AV142" s="449">
        <f t="shared" si="81"/>
        <v>0</v>
      </c>
      <c r="AW142" s="453">
        <f t="shared" si="82"/>
        <v>0</v>
      </c>
      <c r="AX142" s="451">
        <f t="shared" si="83"/>
        <v>0</v>
      </c>
      <c r="AY142" s="454">
        <f t="shared" si="84"/>
        <v>0</v>
      </c>
      <c r="AZ142" s="455">
        <f t="shared" si="85"/>
        <v>3224.0666666666666</v>
      </c>
      <c r="BA142" s="451">
        <f t="shared" si="86"/>
        <v>3152.3</v>
      </c>
    </row>
    <row r="143" spans="1:53">
      <c r="A143" s="554" t="s">
        <v>142</v>
      </c>
      <c r="B143" s="545" t="s">
        <v>303</v>
      </c>
      <c r="C143" s="546"/>
      <c r="D143" s="556">
        <v>244437</v>
      </c>
      <c r="E143" s="558">
        <v>8</v>
      </c>
      <c r="F143" s="491" t="s">
        <v>41</v>
      </c>
      <c r="G143" s="492" t="s">
        <v>41</v>
      </c>
      <c r="H143" s="456"/>
      <c r="I143" s="493"/>
      <c r="J143" s="456">
        <v>195618</v>
      </c>
      <c r="K143" s="493">
        <v>196273</v>
      </c>
      <c r="L143" s="456">
        <v>71650</v>
      </c>
      <c r="M143" s="493">
        <v>70381</v>
      </c>
      <c r="N143" s="456">
        <v>194073</v>
      </c>
      <c r="O143" s="493">
        <v>188565</v>
      </c>
      <c r="P143" s="449">
        <f t="shared" si="69"/>
        <v>461341</v>
      </c>
      <c r="Q143" s="450">
        <f t="shared" si="70"/>
        <v>15378.033333333333</v>
      </c>
      <c r="R143" s="451">
        <f t="shared" si="71"/>
        <v>455219</v>
      </c>
      <c r="S143" s="452">
        <f t="shared" si="72"/>
        <v>15173.966666666667</v>
      </c>
      <c r="T143" s="456">
        <v>15199</v>
      </c>
      <c r="U143" s="493">
        <v>16133</v>
      </c>
      <c r="V143" s="449">
        <f t="shared" si="73"/>
        <v>461341</v>
      </c>
      <c r="W143" s="448">
        <f t="shared" si="74"/>
        <v>455219</v>
      </c>
      <c r="X143" s="456"/>
      <c r="Y143" s="493"/>
      <c r="Z143" s="456"/>
      <c r="AA143" s="493"/>
      <c r="AB143" s="456"/>
      <c r="AC143" s="493"/>
      <c r="AD143" s="456"/>
      <c r="AE143" s="493"/>
      <c r="AF143" s="449">
        <f t="shared" si="75"/>
        <v>0</v>
      </c>
      <c r="AG143" s="450">
        <f t="shared" si="76"/>
        <v>0</v>
      </c>
      <c r="AH143" s="451">
        <f t="shared" si="77"/>
        <v>0</v>
      </c>
      <c r="AI143" s="451">
        <f t="shared" si="78"/>
        <v>0</v>
      </c>
      <c r="AJ143" s="456"/>
      <c r="AK143" s="493"/>
      <c r="AL143" s="449">
        <f t="shared" si="79"/>
        <v>0</v>
      </c>
      <c r="AM143" s="452">
        <f t="shared" si="80"/>
        <v>0</v>
      </c>
      <c r="AN143" s="456"/>
      <c r="AO143" s="493"/>
      <c r="AP143" s="456"/>
      <c r="AQ143" s="493"/>
      <c r="AR143" s="456"/>
      <c r="AS143" s="493"/>
      <c r="AT143" s="456"/>
      <c r="AU143" s="493"/>
      <c r="AV143" s="449">
        <f t="shared" si="81"/>
        <v>0</v>
      </c>
      <c r="AW143" s="453">
        <f t="shared" si="82"/>
        <v>0</v>
      </c>
      <c r="AX143" s="451">
        <f t="shared" si="83"/>
        <v>0</v>
      </c>
      <c r="AY143" s="454">
        <f t="shared" si="84"/>
        <v>0</v>
      </c>
      <c r="AZ143" s="455">
        <f t="shared" si="85"/>
        <v>15378.033333333333</v>
      </c>
      <c r="BA143" s="451">
        <f t="shared" si="86"/>
        <v>15173.966666666667</v>
      </c>
    </row>
    <row r="144" spans="1:53">
      <c r="A144" s="554" t="s">
        <v>142</v>
      </c>
      <c r="B144" s="545" t="s">
        <v>304</v>
      </c>
      <c r="C144" s="546" t="s">
        <v>315</v>
      </c>
      <c r="D144" s="556">
        <v>138901</v>
      </c>
      <c r="E144" s="558">
        <v>9</v>
      </c>
      <c r="F144" s="491" t="s">
        <v>41</v>
      </c>
      <c r="G144" s="492" t="s">
        <v>41</v>
      </c>
      <c r="H144" s="456"/>
      <c r="I144" s="493"/>
      <c r="J144" s="456">
        <v>30815</v>
      </c>
      <c r="K144" s="493">
        <v>30181</v>
      </c>
      <c r="L144" s="456">
        <v>10852</v>
      </c>
      <c r="M144" s="493">
        <v>9688</v>
      </c>
      <c r="N144" s="456">
        <v>31521</v>
      </c>
      <c r="O144" s="493">
        <v>30282</v>
      </c>
      <c r="P144" s="449">
        <f t="shared" si="69"/>
        <v>73188</v>
      </c>
      <c r="Q144" s="450">
        <f t="shared" si="70"/>
        <v>2439.6</v>
      </c>
      <c r="R144" s="451">
        <f t="shared" si="71"/>
        <v>70151</v>
      </c>
      <c r="S144" s="452">
        <f t="shared" si="72"/>
        <v>2338.3666666666668</v>
      </c>
      <c r="T144" s="456">
        <v>1402</v>
      </c>
      <c r="U144" s="493">
        <v>2539</v>
      </c>
      <c r="V144" s="449">
        <f t="shared" si="73"/>
        <v>73188</v>
      </c>
      <c r="W144" s="448">
        <f t="shared" si="74"/>
        <v>70151</v>
      </c>
      <c r="X144" s="456"/>
      <c r="Y144" s="493"/>
      <c r="Z144" s="456"/>
      <c r="AA144" s="493"/>
      <c r="AB144" s="456"/>
      <c r="AC144" s="493"/>
      <c r="AD144" s="456"/>
      <c r="AE144" s="493"/>
      <c r="AF144" s="449">
        <f t="shared" si="75"/>
        <v>0</v>
      </c>
      <c r="AG144" s="450">
        <f t="shared" si="76"/>
        <v>0</v>
      </c>
      <c r="AH144" s="451">
        <f t="shared" si="77"/>
        <v>0</v>
      </c>
      <c r="AI144" s="451">
        <f t="shared" si="78"/>
        <v>0</v>
      </c>
      <c r="AJ144" s="456"/>
      <c r="AK144" s="493"/>
      <c r="AL144" s="449">
        <f t="shared" si="79"/>
        <v>0</v>
      </c>
      <c r="AM144" s="452">
        <f t="shared" si="80"/>
        <v>0</v>
      </c>
      <c r="AN144" s="456"/>
      <c r="AO144" s="493"/>
      <c r="AP144" s="456"/>
      <c r="AQ144" s="493"/>
      <c r="AR144" s="456"/>
      <c r="AS144" s="493"/>
      <c r="AT144" s="456"/>
      <c r="AU144" s="493"/>
      <c r="AV144" s="449">
        <f t="shared" si="81"/>
        <v>0</v>
      </c>
      <c r="AW144" s="453">
        <f t="shared" si="82"/>
        <v>0</v>
      </c>
      <c r="AX144" s="451">
        <f t="shared" si="83"/>
        <v>0</v>
      </c>
      <c r="AY144" s="454">
        <f t="shared" si="84"/>
        <v>0</v>
      </c>
      <c r="AZ144" s="455">
        <f t="shared" si="85"/>
        <v>2439.6</v>
      </c>
      <c r="BA144" s="451">
        <f t="shared" si="86"/>
        <v>2338.3666666666668</v>
      </c>
    </row>
    <row r="145" spans="1:53">
      <c r="A145" s="554" t="s">
        <v>142</v>
      </c>
      <c r="B145" s="559" t="s">
        <v>305</v>
      </c>
      <c r="C145" s="546" t="s">
        <v>316</v>
      </c>
      <c r="D145" s="556">
        <v>139010</v>
      </c>
      <c r="E145" s="558">
        <v>9</v>
      </c>
      <c r="F145" s="491" t="s">
        <v>41</v>
      </c>
      <c r="G145" s="492" t="s">
        <v>41</v>
      </c>
      <c r="H145" s="456"/>
      <c r="I145" s="493"/>
      <c r="J145" s="456">
        <v>24128</v>
      </c>
      <c r="K145" s="493">
        <v>19564</v>
      </c>
      <c r="L145" s="456">
        <v>10452</v>
      </c>
      <c r="M145" s="493">
        <v>7965</v>
      </c>
      <c r="N145" s="456">
        <v>23414</v>
      </c>
      <c r="O145" s="493">
        <v>22530</v>
      </c>
      <c r="P145" s="449">
        <f t="shared" si="69"/>
        <v>57994</v>
      </c>
      <c r="Q145" s="450">
        <f t="shared" si="70"/>
        <v>1933.1333333333334</v>
      </c>
      <c r="R145" s="451">
        <f t="shared" si="71"/>
        <v>50059</v>
      </c>
      <c r="S145" s="452">
        <f t="shared" si="72"/>
        <v>1668.6333333333334</v>
      </c>
      <c r="T145" s="456">
        <v>2294</v>
      </c>
      <c r="U145" s="493">
        <v>4703</v>
      </c>
      <c r="V145" s="449">
        <f t="shared" si="73"/>
        <v>57994</v>
      </c>
      <c r="W145" s="448">
        <f t="shared" si="74"/>
        <v>50059</v>
      </c>
      <c r="X145" s="456"/>
      <c r="Y145" s="493"/>
      <c r="Z145" s="456"/>
      <c r="AA145" s="493"/>
      <c r="AB145" s="456"/>
      <c r="AC145" s="493"/>
      <c r="AD145" s="456"/>
      <c r="AE145" s="493"/>
      <c r="AF145" s="449">
        <f t="shared" si="75"/>
        <v>0</v>
      </c>
      <c r="AG145" s="450">
        <f t="shared" si="76"/>
        <v>0</v>
      </c>
      <c r="AH145" s="451">
        <f t="shared" si="77"/>
        <v>0</v>
      </c>
      <c r="AI145" s="451">
        <f t="shared" si="78"/>
        <v>0</v>
      </c>
      <c r="AJ145" s="456"/>
      <c r="AK145" s="493"/>
      <c r="AL145" s="449">
        <f t="shared" si="79"/>
        <v>0</v>
      </c>
      <c r="AM145" s="452">
        <f t="shared" si="80"/>
        <v>0</v>
      </c>
      <c r="AN145" s="456"/>
      <c r="AO145" s="493"/>
      <c r="AP145" s="456"/>
      <c r="AQ145" s="493"/>
      <c r="AR145" s="456"/>
      <c r="AS145" s="493"/>
      <c r="AT145" s="456"/>
      <c r="AU145" s="493"/>
      <c r="AV145" s="449">
        <f t="shared" si="81"/>
        <v>0</v>
      </c>
      <c r="AW145" s="453">
        <f t="shared" si="82"/>
        <v>0</v>
      </c>
      <c r="AX145" s="451">
        <f t="shared" si="83"/>
        <v>0</v>
      </c>
      <c r="AY145" s="454">
        <f t="shared" si="84"/>
        <v>0</v>
      </c>
      <c r="AZ145" s="455">
        <f t="shared" si="85"/>
        <v>1933.1333333333334</v>
      </c>
      <c r="BA145" s="451">
        <f t="shared" si="86"/>
        <v>1668.6333333333334</v>
      </c>
    </row>
    <row r="146" spans="1:53">
      <c r="A146" s="554" t="s">
        <v>142</v>
      </c>
      <c r="B146" s="557" t="s">
        <v>306</v>
      </c>
      <c r="C146" s="546" t="s">
        <v>315</v>
      </c>
      <c r="D146" s="556">
        <v>138691</v>
      </c>
      <c r="E146" s="558">
        <v>9</v>
      </c>
      <c r="F146" s="491" t="s">
        <v>41</v>
      </c>
      <c r="G146" s="492" t="s">
        <v>41</v>
      </c>
      <c r="H146" s="456"/>
      <c r="I146" s="493"/>
      <c r="J146" s="456">
        <v>54619.5</v>
      </c>
      <c r="K146" s="493">
        <v>52603</v>
      </c>
      <c r="L146" s="456">
        <v>20889</v>
      </c>
      <c r="M146" s="493">
        <v>20341.5</v>
      </c>
      <c r="N146" s="456">
        <v>58008</v>
      </c>
      <c r="O146" s="493">
        <v>56129</v>
      </c>
      <c r="P146" s="449">
        <f t="shared" si="69"/>
        <v>133516.5</v>
      </c>
      <c r="Q146" s="450">
        <f t="shared" si="70"/>
        <v>4450.55</v>
      </c>
      <c r="R146" s="451">
        <f t="shared" si="71"/>
        <v>129073.5</v>
      </c>
      <c r="S146" s="452">
        <f t="shared" si="72"/>
        <v>4302.45</v>
      </c>
      <c r="T146" s="456">
        <v>2342</v>
      </c>
      <c r="U146" s="493">
        <v>3628</v>
      </c>
      <c r="V146" s="449">
        <f t="shared" si="73"/>
        <v>133516.5</v>
      </c>
      <c r="W146" s="448">
        <f t="shared" si="74"/>
        <v>129073.5</v>
      </c>
      <c r="X146" s="456"/>
      <c r="Y146" s="493"/>
      <c r="Z146" s="456"/>
      <c r="AA146" s="493"/>
      <c r="AB146" s="456"/>
      <c r="AC146" s="493"/>
      <c r="AD146" s="456"/>
      <c r="AE146" s="493"/>
      <c r="AF146" s="449">
        <f t="shared" si="75"/>
        <v>0</v>
      </c>
      <c r="AG146" s="450">
        <f t="shared" si="76"/>
        <v>0</v>
      </c>
      <c r="AH146" s="451">
        <f t="shared" si="77"/>
        <v>0</v>
      </c>
      <c r="AI146" s="451">
        <f t="shared" si="78"/>
        <v>0</v>
      </c>
      <c r="AJ146" s="456"/>
      <c r="AK146" s="493"/>
      <c r="AL146" s="449">
        <f t="shared" si="79"/>
        <v>0</v>
      </c>
      <c r="AM146" s="452">
        <f t="shared" si="80"/>
        <v>0</v>
      </c>
      <c r="AN146" s="456"/>
      <c r="AO146" s="493"/>
      <c r="AP146" s="456"/>
      <c r="AQ146" s="493"/>
      <c r="AR146" s="456"/>
      <c r="AS146" s="493"/>
      <c r="AT146" s="456"/>
      <c r="AU146" s="493"/>
      <c r="AV146" s="449">
        <f t="shared" si="81"/>
        <v>0</v>
      </c>
      <c r="AW146" s="453">
        <f t="shared" si="82"/>
        <v>0</v>
      </c>
      <c r="AX146" s="451">
        <f t="shared" si="83"/>
        <v>0</v>
      </c>
      <c r="AY146" s="454">
        <f t="shared" si="84"/>
        <v>0</v>
      </c>
      <c r="AZ146" s="455">
        <f t="shared" si="85"/>
        <v>4450.55</v>
      </c>
      <c r="BA146" s="451">
        <f t="shared" si="86"/>
        <v>4302.45</v>
      </c>
    </row>
    <row r="147" spans="1:53">
      <c r="A147" s="554" t="s">
        <v>142</v>
      </c>
      <c r="B147" s="545" t="s">
        <v>307</v>
      </c>
      <c r="C147" s="546" t="s">
        <v>315</v>
      </c>
      <c r="D147" s="556">
        <v>139621</v>
      </c>
      <c r="E147" s="558">
        <v>9</v>
      </c>
      <c r="F147" s="491" t="s">
        <v>41</v>
      </c>
      <c r="G147" s="492" t="s">
        <v>41</v>
      </c>
      <c r="H147" s="456"/>
      <c r="I147" s="493"/>
      <c r="J147" s="456">
        <v>30013</v>
      </c>
      <c r="K147" s="493">
        <v>29894</v>
      </c>
      <c r="L147" s="456">
        <v>4767</v>
      </c>
      <c r="M147" s="493">
        <v>5020</v>
      </c>
      <c r="N147" s="456">
        <v>33941</v>
      </c>
      <c r="O147" s="493">
        <v>35159</v>
      </c>
      <c r="P147" s="449">
        <f t="shared" si="69"/>
        <v>68721</v>
      </c>
      <c r="Q147" s="450">
        <f t="shared" si="70"/>
        <v>2290.6999999999998</v>
      </c>
      <c r="R147" s="451">
        <f t="shared" si="71"/>
        <v>70073</v>
      </c>
      <c r="S147" s="452">
        <f t="shared" si="72"/>
        <v>2335.7666666666669</v>
      </c>
      <c r="T147" s="456">
        <v>703</v>
      </c>
      <c r="U147" s="493">
        <v>981</v>
      </c>
      <c r="V147" s="449">
        <f t="shared" si="73"/>
        <v>68721</v>
      </c>
      <c r="W147" s="448">
        <f t="shared" si="74"/>
        <v>70073</v>
      </c>
      <c r="X147" s="456"/>
      <c r="Y147" s="493"/>
      <c r="Z147" s="456"/>
      <c r="AA147" s="493"/>
      <c r="AB147" s="456"/>
      <c r="AC147" s="493"/>
      <c r="AD147" s="456"/>
      <c r="AE147" s="493"/>
      <c r="AF147" s="449">
        <f t="shared" si="75"/>
        <v>0</v>
      </c>
      <c r="AG147" s="450">
        <f t="shared" si="76"/>
        <v>0</v>
      </c>
      <c r="AH147" s="451">
        <f t="shared" si="77"/>
        <v>0</v>
      </c>
      <c r="AI147" s="451">
        <f t="shared" si="78"/>
        <v>0</v>
      </c>
      <c r="AJ147" s="456"/>
      <c r="AK147" s="493"/>
      <c r="AL147" s="449">
        <f t="shared" si="79"/>
        <v>0</v>
      </c>
      <c r="AM147" s="452">
        <f t="shared" si="80"/>
        <v>0</v>
      </c>
      <c r="AN147" s="456"/>
      <c r="AO147" s="493"/>
      <c r="AP147" s="456"/>
      <c r="AQ147" s="493"/>
      <c r="AR147" s="456"/>
      <c r="AS147" s="493"/>
      <c r="AT147" s="456"/>
      <c r="AU147" s="493"/>
      <c r="AV147" s="449">
        <f t="shared" si="81"/>
        <v>0</v>
      </c>
      <c r="AW147" s="453">
        <f t="shared" si="82"/>
        <v>0</v>
      </c>
      <c r="AX147" s="451">
        <f t="shared" si="83"/>
        <v>0</v>
      </c>
      <c r="AY147" s="454">
        <f t="shared" si="84"/>
        <v>0</v>
      </c>
      <c r="AZ147" s="455">
        <f t="shared" si="85"/>
        <v>2290.6999999999998</v>
      </c>
      <c r="BA147" s="451">
        <f t="shared" si="86"/>
        <v>2335.7666666666669</v>
      </c>
    </row>
    <row r="148" spans="1:53">
      <c r="A148" s="560" t="s">
        <v>142</v>
      </c>
      <c r="B148" s="552" t="s">
        <v>308</v>
      </c>
      <c r="C148" s="546" t="s">
        <v>317</v>
      </c>
      <c r="D148" s="556">
        <v>139700</v>
      </c>
      <c r="E148" s="561">
        <v>9</v>
      </c>
      <c r="F148" s="491" t="s">
        <v>41</v>
      </c>
      <c r="G148" s="492" t="s">
        <v>41</v>
      </c>
      <c r="H148" s="456"/>
      <c r="I148" s="493"/>
      <c r="J148" s="456">
        <v>52326</v>
      </c>
      <c r="K148" s="493">
        <v>51441</v>
      </c>
      <c r="L148" s="456">
        <v>11576</v>
      </c>
      <c r="M148" s="493">
        <v>11658</v>
      </c>
      <c r="N148" s="456">
        <v>54401</v>
      </c>
      <c r="O148" s="493">
        <v>57851</v>
      </c>
      <c r="P148" s="449">
        <f t="shared" si="69"/>
        <v>118303</v>
      </c>
      <c r="Q148" s="450">
        <f t="shared" si="70"/>
        <v>3943.4333333333334</v>
      </c>
      <c r="R148" s="451">
        <f t="shared" si="71"/>
        <v>120950</v>
      </c>
      <c r="S148" s="452">
        <f t="shared" si="72"/>
        <v>4031.6666666666665</v>
      </c>
      <c r="T148" s="456">
        <v>1950</v>
      </c>
      <c r="U148" s="493">
        <v>2855</v>
      </c>
      <c r="V148" s="449">
        <f t="shared" si="73"/>
        <v>118303</v>
      </c>
      <c r="W148" s="448">
        <f t="shared" si="74"/>
        <v>120950</v>
      </c>
      <c r="X148" s="456"/>
      <c r="Y148" s="493"/>
      <c r="Z148" s="456"/>
      <c r="AA148" s="493"/>
      <c r="AB148" s="456"/>
      <c r="AC148" s="493"/>
      <c r="AD148" s="456"/>
      <c r="AE148" s="493"/>
      <c r="AF148" s="449">
        <f t="shared" si="75"/>
        <v>0</v>
      </c>
      <c r="AG148" s="450">
        <f t="shared" si="76"/>
        <v>0</v>
      </c>
      <c r="AH148" s="451">
        <f t="shared" si="77"/>
        <v>0</v>
      </c>
      <c r="AI148" s="451">
        <f t="shared" si="78"/>
        <v>0</v>
      </c>
      <c r="AJ148" s="456"/>
      <c r="AK148" s="493"/>
      <c r="AL148" s="449">
        <f t="shared" si="79"/>
        <v>0</v>
      </c>
      <c r="AM148" s="452">
        <f t="shared" si="80"/>
        <v>0</v>
      </c>
      <c r="AN148" s="456"/>
      <c r="AO148" s="493"/>
      <c r="AP148" s="456"/>
      <c r="AQ148" s="493"/>
      <c r="AR148" s="456"/>
      <c r="AS148" s="493"/>
      <c r="AT148" s="456"/>
      <c r="AU148" s="493"/>
      <c r="AV148" s="449">
        <f t="shared" si="81"/>
        <v>0</v>
      </c>
      <c r="AW148" s="453">
        <f t="shared" si="82"/>
        <v>0</v>
      </c>
      <c r="AX148" s="451">
        <f t="shared" si="83"/>
        <v>0</v>
      </c>
      <c r="AY148" s="454">
        <f t="shared" si="84"/>
        <v>0</v>
      </c>
      <c r="AZ148" s="455">
        <f t="shared" si="85"/>
        <v>3943.4333333333334</v>
      </c>
      <c r="BA148" s="451">
        <f t="shared" si="86"/>
        <v>4031.6666666666665</v>
      </c>
    </row>
    <row r="149" spans="1:53">
      <c r="A149" s="544" t="s">
        <v>142</v>
      </c>
      <c r="B149" s="552" t="s">
        <v>309</v>
      </c>
      <c r="C149" s="546" t="s">
        <v>315</v>
      </c>
      <c r="D149" s="553">
        <v>482699</v>
      </c>
      <c r="E149" s="561">
        <v>9</v>
      </c>
      <c r="F149" s="491" t="s">
        <v>41</v>
      </c>
      <c r="G149" s="492" t="s">
        <v>41</v>
      </c>
      <c r="H149" s="456"/>
      <c r="I149" s="493"/>
      <c r="J149" s="456">
        <v>26918</v>
      </c>
      <c r="K149" s="493">
        <v>27784</v>
      </c>
      <c r="L149" s="456">
        <v>5252</v>
      </c>
      <c r="M149" s="493">
        <v>4539</v>
      </c>
      <c r="N149" s="456">
        <v>29799</v>
      </c>
      <c r="O149" s="493">
        <v>31624</v>
      </c>
      <c r="P149" s="449">
        <f t="shared" si="69"/>
        <v>61969</v>
      </c>
      <c r="Q149" s="450">
        <f t="shared" si="70"/>
        <v>2065.6333333333332</v>
      </c>
      <c r="R149" s="451">
        <f t="shared" si="71"/>
        <v>63947</v>
      </c>
      <c r="S149" s="452">
        <f t="shared" si="72"/>
        <v>2131.5666666666666</v>
      </c>
      <c r="T149" s="456">
        <v>3421</v>
      </c>
      <c r="U149" s="493">
        <v>4317</v>
      </c>
      <c r="V149" s="449">
        <f t="shared" si="73"/>
        <v>61969</v>
      </c>
      <c r="W149" s="448">
        <f t="shared" si="74"/>
        <v>63947</v>
      </c>
      <c r="X149" s="456"/>
      <c r="Y149" s="493"/>
      <c r="Z149" s="456"/>
      <c r="AA149" s="493"/>
      <c r="AB149" s="456"/>
      <c r="AC149" s="493"/>
      <c r="AD149" s="456"/>
      <c r="AE149" s="493"/>
      <c r="AF149" s="449">
        <f t="shared" si="75"/>
        <v>0</v>
      </c>
      <c r="AG149" s="450">
        <f t="shared" si="76"/>
        <v>0</v>
      </c>
      <c r="AH149" s="451">
        <f t="shared" si="77"/>
        <v>0</v>
      </c>
      <c r="AI149" s="451">
        <f t="shared" si="78"/>
        <v>0</v>
      </c>
      <c r="AJ149" s="456"/>
      <c r="AK149" s="493"/>
      <c r="AL149" s="449">
        <f t="shared" si="79"/>
        <v>0</v>
      </c>
      <c r="AM149" s="452">
        <f t="shared" si="80"/>
        <v>0</v>
      </c>
      <c r="AN149" s="456"/>
      <c r="AO149" s="493"/>
      <c r="AP149" s="456"/>
      <c r="AQ149" s="493"/>
      <c r="AR149" s="456"/>
      <c r="AS149" s="493"/>
      <c r="AT149" s="456"/>
      <c r="AU149" s="493"/>
      <c r="AV149" s="449">
        <f t="shared" si="81"/>
        <v>0</v>
      </c>
      <c r="AW149" s="453">
        <f t="shared" si="82"/>
        <v>0</v>
      </c>
      <c r="AX149" s="451">
        <f t="shared" si="83"/>
        <v>0</v>
      </c>
      <c r="AY149" s="454">
        <f t="shared" si="84"/>
        <v>0</v>
      </c>
      <c r="AZ149" s="455">
        <f t="shared" si="85"/>
        <v>2065.6333333333332</v>
      </c>
      <c r="BA149" s="451">
        <f t="shared" si="86"/>
        <v>2131.5666666666666</v>
      </c>
    </row>
    <row r="150" spans="1:53">
      <c r="A150" s="528" t="s">
        <v>142</v>
      </c>
      <c r="B150" s="529" t="s">
        <v>258</v>
      </c>
      <c r="C150" s="530"/>
      <c r="D150" s="531">
        <v>138682</v>
      </c>
      <c r="E150" s="532">
        <v>12</v>
      </c>
      <c r="F150" s="491" t="s">
        <v>41</v>
      </c>
      <c r="G150" s="492" t="s">
        <v>41</v>
      </c>
      <c r="H150" s="456"/>
      <c r="I150" s="533"/>
      <c r="J150" s="456">
        <v>39537</v>
      </c>
      <c r="K150" s="533">
        <v>35931</v>
      </c>
      <c r="L150" s="456">
        <v>30600</v>
      </c>
      <c r="M150" s="533">
        <v>27774</v>
      </c>
      <c r="N150" s="456">
        <v>37403</v>
      </c>
      <c r="O150" s="533">
        <v>33583</v>
      </c>
      <c r="P150" s="449">
        <f t="shared" si="69"/>
        <v>107540</v>
      </c>
      <c r="Q150" s="450">
        <f t="shared" si="70"/>
        <v>3584.6666666666665</v>
      </c>
      <c r="R150" s="451">
        <f t="shared" si="71"/>
        <v>97288</v>
      </c>
      <c r="S150" s="452">
        <f t="shared" si="72"/>
        <v>3242.9333333333334</v>
      </c>
      <c r="T150" s="456">
        <v>2546</v>
      </c>
      <c r="U150" s="533">
        <v>3873.2</v>
      </c>
      <c r="V150" s="449">
        <f t="shared" si="73"/>
        <v>107540</v>
      </c>
      <c r="W150" s="448">
        <f t="shared" si="74"/>
        <v>97288</v>
      </c>
      <c r="X150" s="456"/>
      <c r="Y150" s="533"/>
      <c r="Z150" s="456"/>
      <c r="AA150" s="533"/>
      <c r="AB150" s="456"/>
      <c r="AC150" s="533"/>
      <c r="AD150" s="456"/>
      <c r="AE150" s="533"/>
      <c r="AF150" s="449">
        <f t="shared" si="75"/>
        <v>0</v>
      </c>
      <c r="AG150" s="450">
        <f t="shared" si="76"/>
        <v>0</v>
      </c>
      <c r="AH150" s="451">
        <f t="shared" si="77"/>
        <v>0</v>
      </c>
      <c r="AI150" s="451">
        <f t="shared" si="78"/>
        <v>0</v>
      </c>
      <c r="AJ150" s="456"/>
      <c r="AK150" s="533"/>
      <c r="AL150" s="449">
        <f t="shared" si="79"/>
        <v>0</v>
      </c>
      <c r="AM150" s="452">
        <f t="shared" si="80"/>
        <v>0</v>
      </c>
      <c r="AN150" s="456"/>
      <c r="AO150" s="533"/>
      <c r="AP150" s="456"/>
      <c r="AQ150" s="533"/>
      <c r="AR150" s="456"/>
      <c r="AS150" s="533"/>
      <c r="AT150" s="456"/>
      <c r="AU150" s="533"/>
      <c r="AV150" s="449">
        <f t="shared" si="81"/>
        <v>0</v>
      </c>
      <c r="AW150" s="453">
        <f t="shared" si="82"/>
        <v>0</v>
      </c>
      <c r="AX150" s="451">
        <f t="shared" si="83"/>
        <v>0</v>
      </c>
      <c r="AY150" s="454">
        <f t="shared" si="84"/>
        <v>0</v>
      </c>
      <c r="AZ150" s="455">
        <f t="shared" si="85"/>
        <v>3584.6666666666665</v>
      </c>
      <c r="BA150" s="451">
        <f t="shared" si="86"/>
        <v>3242.9333333333334</v>
      </c>
    </row>
    <row r="151" spans="1:53">
      <c r="A151" s="528" t="s">
        <v>142</v>
      </c>
      <c r="B151" s="529" t="s">
        <v>259</v>
      </c>
      <c r="C151" s="530"/>
      <c r="D151" s="531">
        <v>246813</v>
      </c>
      <c r="E151" s="532">
        <v>12</v>
      </c>
      <c r="F151" s="491" t="s">
        <v>41</v>
      </c>
      <c r="G151" s="492" t="s">
        <v>41</v>
      </c>
      <c r="H151" s="456"/>
      <c r="I151" s="533"/>
      <c r="J151" s="456">
        <v>34713</v>
      </c>
      <c r="K151" s="533">
        <v>32050</v>
      </c>
      <c r="L151" s="456">
        <v>15458</v>
      </c>
      <c r="M151" s="533">
        <v>13898</v>
      </c>
      <c r="N151" s="456">
        <v>36184</v>
      </c>
      <c r="O151" s="533">
        <v>34079</v>
      </c>
      <c r="P151" s="449">
        <f t="shared" si="69"/>
        <v>86355</v>
      </c>
      <c r="Q151" s="450">
        <f t="shared" si="70"/>
        <v>2878.5</v>
      </c>
      <c r="R151" s="451">
        <f t="shared" si="71"/>
        <v>80027</v>
      </c>
      <c r="S151" s="452">
        <f t="shared" si="72"/>
        <v>2667.5666666666666</v>
      </c>
      <c r="T151" s="456">
        <v>2984</v>
      </c>
      <c r="U151" s="533">
        <v>3859</v>
      </c>
      <c r="V151" s="449">
        <f t="shared" si="73"/>
        <v>86355</v>
      </c>
      <c r="W151" s="448">
        <f t="shared" si="74"/>
        <v>80027</v>
      </c>
      <c r="X151" s="456"/>
      <c r="Y151" s="533"/>
      <c r="Z151" s="456"/>
      <c r="AA151" s="533"/>
      <c r="AB151" s="456"/>
      <c r="AC151" s="533"/>
      <c r="AD151" s="456"/>
      <c r="AE151" s="533"/>
      <c r="AF151" s="449">
        <f t="shared" si="75"/>
        <v>0</v>
      </c>
      <c r="AG151" s="450">
        <f t="shared" si="76"/>
        <v>0</v>
      </c>
      <c r="AH151" s="451">
        <f t="shared" si="77"/>
        <v>0</v>
      </c>
      <c r="AI151" s="451">
        <f t="shared" si="78"/>
        <v>0</v>
      </c>
      <c r="AJ151" s="456"/>
      <c r="AK151" s="533"/>
      <c r="AL151" s="449">
        <f t="shared" si="79"/>
        <v>0</v>
      </c>
      <c r="AM151" s="452">
        <f t="shared" si="80"/>
        <v>0</v>
      </c>
      <c r="AN151" s="456"/>
      <c r="AO151" s="533"/>
      <c r="AP151" s="456"/>
      <c r="AQ151" s="533"/>
      <c r="AR151" s="456"/>
      <c r="AS151" s="533"/>
      <c r="AT151" s="456"/>
      <c r="AU151" s="533"/>
      <c r="AV151" s="449">
        <f t="shared" si="81"/>
        <v>0</v>
      </c>
      <c r="AW151" s="453">
        <f t="shared" si="82"/>
        <v>0</v>
      </c>
      <c r="AX151" s="451">
        <f t="shared" si="83"/>
        <v>0</v>
      </c>
      <c r="AY151" s="454">
        <f t="shared" si="84"/>
        <v>0</v>
      </c>
      <c r="AZ151" s="455">
        <f t="shared" si="85"/>
        <v>2878.5</v>
      </c>
      <c r="BA151" s="451">
        <f t="shared" si="86"/>
        <v>2667.5666666666666</v>
      </c>
    </row>
    <row r="152" spans="1:53">
      <c r="A152" s="528" t="s">
        <v>142</v>
      </c>
      <c r="B152" s="529" t="s">
        <v>260</v>
      </c>
      <c r="C152" s="530"/>
      <c r="D152" s="531">
        <v>138840</v>
      </c>
      <c r="E152" s="532">
        <v>12</v>
      </c>
      <c r="F152" s="491" t="s">
        <v>41</v>
      </c>
      <c r="G152" s="492" t="s">
        <v>41</v>
      </c>
      <c r="H152" s="456"/>
      <c r="I152" s="533"/>
      <c r="J152" s="456">
        <v>48619</v>
      </c>
      <c r="K152" s="533">
        <v>40337</v>
      </c>
      <c r="L152" s="456">
        <v>29730</v>
      </c>
      <c r="M152" s="533">
        <v>28371</v>
      </c>
      <c r="N152" s="456">
        <v>40271</v>
      </c>
      <c r="O152" s="533">
        <v>36243</v>
      </c>
      <c r="P152" s="449">
        <f t="shared" si="69"/>
        <v>118620</v>
      </c>
      <c r="Q152" s="450">
        <f t="shared" si="70"/>
        <v>3954</v>
      </c>
      <c r="R152" s="451">
        <f t="shared" si="71"/>
        <v>104951</v>
      </c>
      <c r="S152" s="452">
        <f t="shared" si="72"/>
        <v>3498.3666666666668</v>
      </c>
      <c r="T152" s="456">
        <v>2935</v>
      </c>
      <c r="U152" s="533">
        <v>3378</v>
      </c>
      <c r="V152" s="449">
        <f t="shared" si="73"/>
        <v>118620</v>
      </c>
      <c r="W152" s="448">
        <f t="shared" si="74"/>
        <v>104951</v>
      </c>
      <c r="X152" s="456"/>
      <c r="Y152" s="533"/>
      <c r="Z152" s="456"/>
      <c r="AA152" s="533"/>
      <c r="AB152" s="456"/>
      <c r="AC152" s="533"/>
      <c r="AD152" s="456"/>
      <c r="AE152" s="533"/>
      <c r="AF152" s="449">
        <f t="shared" si="75"/>
        <v>0</v>
      </c>
      <c r="AG152" s="450">
        <f t="shared" si="76"/>
        <v>0</v>
      </c>
      <c r="AH152" s="451">
        <f t="shared" si="77"/>
        <v>0</v>
      </c>
      <c r="AI152" s="451">
        <f t="shared" si="78"/>
        <v>0</v>
      </c>
      <c r="AJ152" s="456"/>
      <c r="AK152" s="533"/>
      <c r="AL152" s="449">
        <f t="shared" si="79"/>
        <v>0</v>
      </c>
      <c r="AM152" s="452">
        <f t="shared" si="80"/>
        <v>0</v>
      </c>
      <c r="AN152" s="456"/>
      <c r="AO152" s="533"/>
      <c r="AP152" s="456"/>
      <c r="AQ152" s="533"/>
      <c r="AR152" s="456"/>
      <c r="AS152" s="533"/>
      <c r="AT152" s="456"/>
      <c r="AU152" s="533"/>
      <c r="AV152" s="449">
        <f t="shared" si="81"/>
        <v>0</v>
      </c>
      <c r="AW152" s="453">
        <f t="shared" si="82"/>
        <v>0</v>
      </c>
      <c r="AX152" s="451">
        <f t="shared" si="83"/>
        <v>0</v>
      </c>
      <c r="AY152" s="454">
        <f t="shared" si="84"/>
        <v>0</v>
      </c>
      <c r="AZ152" s="455">
        <f t="shared" si="85"/>
        <v>3954</v>
      </c>
      <c r="BA152" s="451">
        <f t="shared" si="86"/>
        <v>3498.3666666666668</v>
      </c>
    </row>
    <row r="153" spans="1:53">
      <c r="A153" s="528" t="s">
        <v>142</v>
      </c>
      <c r="B153" s="529" t="s">
        <v>261</v>
      </c>
      <c r="C153" s="530"/>
      <c r="D153" s="531">
        <v>138956</v>
      </c>
      <c r="E153" s="532">
        <v>12</v>
      </c>
      <c r="F153" s="491" t="s">
        <v>41</v>
      </c>
      <c r="G153" s="492" t="s">
        <v>41</v>
      </c>
      <c r="H153" s="456"/>
      <c r="I153" s="533"/>
      <c r="J153" s="456">
        <v>38700</v>
      </c>
      <c r="K153" s="533">
        <v>37040</v>
      </c>
      <c r="L153" s="456">
        <v>21054</v>
      </c>
      <c r="M153" s="533">
        <v>21382</v>
      </c>
      <c r="N153" s="456">
        <v>40134</v>
      </c>
      <c r="O153" s="533">
        <v>41988</v>
      </c>
      <c r="P153" s="449">
        <f t="shared" si="69"/>
        <v>99888</v>
      </c>
      <c r="Q153" s="450">
        <f t="shared" si="70"/>
        <v>3329.6</v>
      </c>
      <c r="R153" s="451">
        <f t="shared" si="71"/>
        <v>100410</v>
      </c>
      <c r="S153" s="452">
        <f t="shared" si="72"/>
        <v>3347</v>
      </c>
      <c r="T153" s="456">
        <v>1045</v>
      </c>
      <c r="U153" s="533">
        <v>2557.3000000000002</v>
      </c>
      <c r="V153" s="449">
        <f t="shared" si="73"/>
        <v>99888</v>
      </c>
      <c r="W153" s="448">
        <f t="shared" si="74"/>
        <v>100410</v>
      </c>
      <c r="X153" s="456"/>
      <c r="Y153" s="533"/>
      <c r="Z153" s="456"/>
      <c r="AA153" s="533"/>
      <c r="AB153" s="456"/>
      <c r="AC153" s="533"/>
      <c r="AD153" s="456"/>
      <c r="AE153" s="533"/>
      <c r="AF153" s="449">
        <f t="shared" si="75"/>
        <v>0</v>
      </c>
      <c r="AG153" s="450">
        <f t="shared" si="76"/>
        <v>0</v>
      </c>
      <c r="AH153" s="451">
        <f t="shared" si="77"/>
        <v>0</v>
      </c>
      <c r="AI153" s="451">
        <f t="shared" si="78"/>
        <v>0</v>
      </c>
      <c r="AJ153" s="456"/>
      <c r="AK153" s="533"/>
      <c r="AL153" s="449">
        <f t="shared" si="79"/>
        <v>0</v>
      </c>
      <c r="AM153" s="452">
        <f t="shared" si="80"/>
        <v>0</v>
      </c>
      <c r="AN153" s="456"/>
      <c r="AO153" s="533"/>
      <c r="AP153" s="456"/>
      <c r="AQ153" s="533"/>
      <c r="AR153" s="456"/>
      <c r="AS153" s="533"/>
      <c r="AT153" s="456"/>
      <c r="AU153" s="533"/>
      <c r="AV153" s="449">
        <f t="shared" si="81"/>
        <v>0</v>
      </c>
      <c r="AW153" s="453">
        <f t="shared" si="82"/>
        <v>0</v>
      </c>
      <c r="AX153" s="451">
        <f t="shared" si="83"/>
        <v>0</v>
      </c>
      <c r="AY153" s="454">
        <f t="shared" si="84"/>
        <v>0</v>
      </c>
      <c r="AZ153" s="455">
        <f t="shared" si="85"/>
        <v>3329.6</v>
      </c>
      <c r="BA153" s="451">
        <f t="shared" si="86"/>
        <v>3347</v>
      </c>
    </row>
    <row r="154" spans="1:53">
      <c r="A154" s="528" t="s">
        <v>142</v>
      </c>
      <c r="B154" s="529" t="s">
        <v>262</v>
      </c>
      <c r="C154" s="530"/>
      <c r="D154" s="531">
        <v>483045</v>
      </c>
      <c r="E154" s="532">
        <v>12</v>
      </c>
      <c r="F154" s="491" t="s">
        <v>41</v>
      </c>
      <c r="G154" s="492" t="s">
        <v>41</v>
      </c>
      <c r="H154" s="456"/>
      <c r="I154" s="533"/>
      <c r="J154" s="456">
        <v>72439</v>
      </c>
      <c r="K154" s="533">
        <v>69317</v>
      </c>
      <c r="L154" s="456">
        <v>45661</v>
      </c>
      <c r="M154" s="533">
        <v>42799</v>
      </c>
      <c r="N154" s="456">
        <v>74374</v>
      </c>
      <c r="O154" s="533">
        <v>71886</v>
      </c>
      <c r="P154" s="449">
        <f t="shared" si="69"/>
        <v>192474</v>
      </c>
      <c r="Q154" s="450">
        <f t="shared" si="70"/>
        <v>6415.8</v>
      </c>
      <c r="R154" s="451">
        <f t="shared" si="71"/>
        <v>184002</v>
      </c>
      <c r="S154" s="452">
        <f t="shared" si="72"/>
        <v>6133.4</v>
      </c>
      <c r="T154" s="456">
        <v>8772</v>
      </c>
      <c r="U154" s="533">
        <v>11965</v>
      </c>
      <c r="V154" s="449">
        <f t="shared" si="73"/>
        <v>192474</v>
      </c>
      <c r="W154" s="448">
        <f t="shared" si="74"/>
        <v>184002</v>
      </c>
      <c r="X154" s="456"/>
      <c r="Y154" s="533"/>
      <c r="Z154" s="456"/>
      <c r="AA154" s="533"/>
      <c r="AB154" s="456"/>
      <c r="AC154" s="533"/>
      <c r="AD154" s="456"/>
      <c r="AE154" s="533"/>
      <c r="AF154" s="449">
        <f t="shared" si="75"/>
        <v>0</v>
      </c>
      <c r="AG154" s="450">
        <f t="shared" si="76"/>
        <v>0</v>
      </c>
      <c r="AH154" s="451">
        <f t="shared" si="77"/>
        <v>0</v>
      </c>
      <c r="AI154" s="451">
        <f t="shared" si="78"/>
        <v>0</v>
      </c>
      <c r="AJ154" s="456"/>
      <c r="AK154" s="533"/>
      <c r="AL154" s="449">
        <f t="shared" si="79"/>
        <v>0</v>
      </c>
      <c r="AM154" s="452">
        <f t="shared" si="80"/>
        <v>0</v>
      </c>
      <c r="AN154" s="456"/>
      <c r="AO154" s="533"/>
      <c r="AP154" s="456"/>
      <c r="AQ154" s="533"/>
      <c r="AR154" s="456"/>
      <c r="AS154" s="533"/>
      <c r="AT154" s="456"/>
      <c r="AU154" s="533"/>
      <c r="AV154" s="449">
        <f t="shared" si="81"/>
        <v>0</v>
      </c>
      <c r="AW154" s="453">
        <f t="shared" si="82"/>
        <v>0</v>
      </c>
      <c r="AX154" s="451">
        <f t="shared" si="83"/>
        <v>0</v>
      </c>
      <c r="AY154" s="454">
        <f t="shared" si="84"/>
        <v>0</v>
      </c>
      <c r="AZ154" s="455">
        <f t="shared" si="85"/>
        <v>6415.8</v>
      </c>
      <c r="BA154" s="451">
        <f t="shared" si="86"/>
        <v>6133.4</v>
      </c>
    </row>
    <row r="155" spans="1:53">
      <c r="A155" s="528" t="s">
        <v>142</v>
      </c>
      <c r="B155" s="534" t="s">
        <v>263</v>
      </c>
      <c r="C155" s="530"/>
      <c r="D155" s="531">
        <v>140331</v>
      </c>
      <c r="E155" s="532">
        <v>12</v>
      </c>
      <c r="F155" s="491" t="s">
        <v>41</v>
      </c>
      <c r="G155" s="492" t="s">
        <v>41</v>
      </c>
      <c r="H155" s="456"/>
      <c r="I155" s="533"/>
      <c r="J155" s="456">
        <v>88535</v>
      </c>
      <c r="K155" s="533">
        <v>82675</v>
      </c>
      <c r="L155" s="456">
        <v>37169</v>
      </c>
      <c r="M155" s="533">
        <v>33540</v>
      </c>
      <c r="N155" s="456">
        <v>85569</v>
      </c>
      <c r="O155" s="533">
        <v>83725</v>
      </c>
      <c r="P155" s="449">
        <f t="shared" si="69"/>
        <v>211273</v>
      </c>
      <c r="Q155" s="450">
        <f t="shared" si="70"/>
        <v>7042.4333333333334</v>
      </c>
      <c r="R155" s="451">
        <f t="shared" si="71"/>
        <v>199940</v>
      </c>
      <c r="S155" s="452">
        <f t="shared" si="72"/>
        <v>6664.666666666667</v>
      </c>
      <c r="T155" s="456">
        <v>5584.6</v>
      </c>
      <c r="U155" s="533">
        <v>8596</v>
      </c>
      <c r="V155" s="449">
        <f t="shared" si="73"/>
        <v>211273</v>
      </c>
      <c r="W155" s="448">
        <f t="shared" si="74"/>
        <v>199940</v>
      </c>
      <c r="X155" s="456"/>
      <c r="Y155" s="533"/>
      <c r="Z155" s="456"/>
      <c r="AA155" s="533"/>
      <c r="AB155" s="456"/>
      <c r="AC155" s="533"/>
      <c r="AD155" s="456"/>
      <c r="AE155" s="533"/>
      <c r="AF155" s="449">
        <f t="shared" si="75"/>
        <v>0</v>
      </c>
      <c r="AG155" s="450">
        <f t="shared" si="76"/>
        <v>0</v>
      </c>
      <c r="AH155" s="451">
        <f t="shared" si="77"/>
        <v>0</v>
      </c>
      <c r="AI155" s="451">
        <f t="shared" si="78"/>
        <v>0</v>
      </c>
      <c r="AJ155" s="456"/>
      <c r="AK155" s="533"/>
      <c r="AL155" s="449">
        <f t="shared" si="79"/>
        <v>0</v>
      </c>
      <c r="AM155" s="452">
        <f t="shared" si="80"/>
        <v>0</v>
      </c>
      <c r="AN155" s="456"/>
      <c r="AO155" s="533"/>
      <c r="AP155" s="456"/>
      <c r="AQ155" s="533"/>
      <c r="AR155" s="456"/>
      <c r="AS155" s="533"/>
      <c r="AT155" s="456"/>
      <c r="AU155" s="533"/>
      <c r="AV155" s="449">
        <f t="shared" si="81"/>
        <v>0</v>
      </c>
      <c r="AW155" s="453">
        <f t="shared" si="82"/>
        <v>0</v>
      </c>
      <c r="AX155" s="451">
        <f t="shared" si="83"/>
        <v>0</v>
      </c>
      <c r="AY155" s="454">
        <f t="shared" si="84"/>
        <v>0</v>
      </c>
      <c r="AZ155" s="455">
        <f t="shared" si="85"/>
        <v>7042.4333333333334</v>
      </c>
      <c r="BA155" s="451">
        <f t="shared" si="86"/>
        <v>6664.666666666667</v>
      </c>
    </row>
    <row r="156" spans="1:53">
      <c r="A156" s="535" t="s">
        <v>142</v>
      </c>
      <c r="B156" s="534" t="s">
        <v>264</v>
      </c>
      <c r="C156" s="530"/>
      <c r="D156" s="531">
        <v>485458</v>
      </c>
      <c r="E156" s="536">
        <v>12</v>
      </c>
      <c r="F156" s="491" t="s">
        <v>41</v>
      </c>
      <c r="G156" s="492" t="s">
        <v>41</v>
      </c>
      <c r="H156" s="537"/>
      <c r="I156" s="533"/>
      <c r="J156" s="537">
        <v>20574</v>
      </c>
      <c r="K156" s="533">
        <v>19824</v>
      </c>
      <c r="L156" s="537">
        <v>10644</v>
      </c>
      <c r="M156" s="533">
        <v>10093</v>
      </c>
      <c r="N156" s="537">
        <v>20537</v>
      </c>
      <c r="O156" s="533">
        <v>19993</v>
      </c>
      <c r="P156" s="449">
        <f t="shared" si="69"/>
        <v>51755</v>
      </c>
      <c r="Q156" s="450">
        <f t="shared" si="70"/>
        <v>1725.1666666666667</v>
      </c>
      <c r="R156" s="451">
        <f t="shared" si="71"/>
        <v>49910</v>
      </c>
      <c r="S156" s="452">
        <f t="shared" si="72"/>
        <v>1663.6666666666667</v>
      </c>
      <c r="T156" s="537">
        <v>4213</v>
      </c>
      <c r="U156" s="533">
        <v>8489</v>
      </c>
      <c r="V156" s="449">
        <f t="shared" si="73"/>
        <v>51755</v>
      </c>
      <c r="W156" s="448">
        <f t="shared" si="74"/>
        <v>49910</v>
      </c>
      <c r="X156" s="537"/>
      <c r="Y156" s="533"/>
      <c r="Z156" s="537"/>
      <c r="AA156" s="533"/>
      <c r="AB156" s="537"/>
      <c r="AC156" s="533"/>
      <c r="AD156" s="537"/>
      <c r="AE156" s="533"/>
      <c r="AF156" s="449">
        <f t="shared" si="75"/>
        <v>0</v>
      </c>
      <c r="AG156" s="450">
        <f t="shared" si="76"/>
        <v>0</v>
      </c>
      <c r="AH156" s="451">
        <f t="shared" si="77"/>
        <v>0</v>
      </c>
      <c r="AI156" s="451">
        <f t="shared" si="78"/>
        <v>0</v>
      </c>
      <c r="AJ156" s="537"/>
      <c r="AK156" s="533"/>
      <c r="AL156" s="449">
        <f t="shared" si="79"/>
        <v>0</v>
      </c>
      <c r="AM156" s="452">
        <f t="shared" si="80"/>
        <v>0</v>
      </c>
      <c r="AN156" s="537"/>
      <c r="AO156" s="533"/>
      <c r="AP156" s="537"/>
      <c r="AQ156" s="533"/>
      <c r="AR156" s="537"/>
      <c r="AS156" s="533"/>
      <c r="AT156" s="537"/>
      <c r="AU156" s="533"/>
      <c r="AV156" s="449">
        <f t="shared" si="81"/>
        <v>0</v>
      </c>
      <c r="AW156" s="453">
        <f t="shared" si="82"/>
        <v>0</v>
      </c>
      <c r="AX156" s="451">
        <f t="shared" si="83"/>
        <v>0</v>
      </c>
      <c r="AY156" s="454">
        <f t="shared" si="84"/>
        <v>0</v>
      </c>
      <c r="AZ156" s="455">
        <f t="shared" si="85"/>
        <v>1725.1666666666667</v>
      </c>
      <c r="BA156" s="451">
        <f t="shared" si="86"/>
        <v>1663.6666666666667</v>
      </c>
    </row>
    <row r="157" spans="1:53">
      <c r="A157" s="528" t="s">
        <v>142</v>
      </c>
      <c r="B157" s="529" t="s">
        <v>265</v>
      </c>
      <c r="C157" s="530"/>
      <c r="D157" s="531">
        <v>139357</v>
      </c>
      <c r="E157" s="532">
        <v>12</v>
      </c>
      <c r="F157" s="491" t="s">
        <v>41</v>
      </c>
      <c r="G157" s="492" t="s">
        <v>41</v>
      </c>
      <c r="H157" s="456"/>
      <c r="I157" s="533"/>
      <c r="J157" s="456">
        <v>32262</v>
      </c>
      <c r="K157" s="533">
        <v>28967</v>
      </c>
      <c r="L157" s="456">
        <v>17639</v>
      </c>
      <c r="M157" s="533">
        <v>15894</v>
      </c>
      <c r="N157" s="456">
        <v>32107</v>
      </c>
      <c r="O157" s="533">
        <v>30659</v>
      </c>
      <c r="P157" s="449">
        <f t="shared" si="69"/>
        <v>82008</v>
      </c>
      <c r="Q157" s="450">
        <f t="shared" si="70"/>
        <v>2733.6</v>
      </c>
      <c r="R157" s="451">
        <f t="shared" si="71"/>
        <v>75520</v>
      </c>
      <c r="S157" s="452">
        <f t="shared" si="72"/>
        <v>2517.3333333333335</v>
      </c>
      <c r="T157" s="456">
        <v>4225</v>
      </c>
      <c r="U157" s="533">
        <v>7381</v>
      </c>
      <c r="V157" s="449">
        <f t="shared" si="73"/>
        <v>82008</v>
      </c>
      <c r="W157" s="448">
        <f t="shared" si="74"/>
        <v>75520</v>
      </c>
      <c r="X157" s="456"/>
      <c r="Y157" s="533"/>
      <c r="Z157" s="456"/>
      <c r="AA157" s="533"/>
      <c r="AB157" s="456"/>
      <c r="AC157" s="533"/>
      <c r="AD157" s="456"/>
      <c r="AE157" s="533"/>
      <c r="AF157" s="449">
        <f t="shared" si="75"/>
        <v>0</v>
      </c>
      <c r="AG157" s="450">
        <f t="shared" si="76"/>
        <v>0</v>
      </c>
      <c r="AH157" s="451">
        <f t="shared" si="77"/>
        <v>0</v>
      </c>
      <c r="AI157" s="451">
        <f t="shared" si="78"/>
        <v>0</v>
      </c>
      <c r="AJ157" s="456"/>
      <c r="AK157" s="533"/>
      <c r="AL157" s="449">
        <f t="shared" si="79"/>
        <v>0</v>
      </c>
      <c r="AM157" s="452">
        <f t="shared" si="80"/>
        <v>0</v>
      </c>
      <c r="AN157" s="456"/>
      <c r="AO157" s="533"/>
      <c r="AP157" s="456"/>
      <c r="AQ157" s="533"/>
      <c r="AR157" s="456"/>
      <c r="AS157" s="533"/>
      <c r="AT157" s="456"/>
      <c r="AU157" s="533"/>
      <c r="AV157" s="449">
        <f t="shared" si="81"/>
        <v>0</v>
      </c>
      <c r="AW157" s="453">
        <f t="shared" si="82"/>
        <v>0</v>
      </c>
      <c r="AX157" s="451">
        <f t="shared" si="83"/>
        <v>0</v>
      </c>
      <c r="AY157" s="454">
        <f t="shared" si="84"/>
        <v>0</v>
      </c>
      <c r="AZ157" s="455">
        <f t="shared" si="85"/>
        <v>2733.6</v>
      </c>
      <c r="BA157" s="451">
        <f t="shared" si="86"/>
        <v>2517.3333333333335</v>
      </c>
    </row>
    <row r="158" spans="1:53">
      <c r="A158" s="528" t="s">
        <v>142</v>
      </c>
      <c r="B158" s="534" t="s">
        <v>266</v>
      </c>
      <c r="C158" s="530"/>
      <c r="D158" s="531">
        <v>139384</v>
      </c>
      <c r="E158" s="532">
        <v>12</v>
      </c>
      <c r="F158" s="491" t="s">
        <v>41</v>
      </c>
      <c r="G158" s="492" t="s">
        <v>41</v>
      </c>
      <c r="H158" s="456"/>
      <c r="I158" s="533"/>
      <c r="J158" s="456">
        <v>51007</v>
      </c>
      <c r="K158" s="533">
        <v>48221</v>
      </c>
      <c r="L158" s="456">
        <v>23436</v>
      </c>
      <c r="M158" s="533">
        <v>21118</v>
      </c>
      <c r="N158" s="456">
        <v>53138</v>
      </c>
      <c r="O158" s="533">
        <v>51948</v>
      </c>
      <c r="P158" s="449">
        <f t="shared" si="69"/>
        <v>127581</v>
      </c>
      <c r="Q158" s="450">
        <f t="shared" si="70"/>
        <v>4252.7</v>
      </c>
      <c r="R158" s="451">
        <f t="shared" si="71"/>
        <v>121287</v>
      </c>
      <c r="S158" s="452">
        <f t="shared" si="72"/>
        <v>4042.9</v>
      </c>
      <c r="T158" s="456">
        <v>11408</v>
      </c>
      <c r="U158" s="533">
        <v>14681</v>
      </c>
      <c r="V158" s="449">
        <f t="shared" si="73"/>
        <v>127581</v>
      </c>
      <c r="W158" s="448">
        <f t="shared" si="74"/>
        <v>121287</v>
      </c>
      <c r="X158" s="456"/>
      <c r="Y158" s="533"/>
      <c r="Z158" s="456"/>
      <c r="AA158" s="533"/>
      <c r="AB158" s="456"/>
      <c r="AC158" s="533"/>
      <c r="AD158" s="456"/>
      <c r="AE158" s="533"/>
      <c r="AF158" s="449">
        <f t="shared" si="75"/>
        <v>0</v>
      </c>
      <c r="AG158" s="450">
        <f t="shared" si="76"/>
        <v>0</v>
      </c>
      <c r="AH158" s="451">
        <f t="shared" si="77"/>
        <v>0</v>
      </c>
      <c r="AI158" s="451">
        <f t="shared" si="78"/>
        <v>0</v>
      </c>
      <c r="AJ158" s="456"/>
      <c r="AK158" s="533"/>
      <c r="AL158" s="449">
        <f t="shared" si="79"/>
        <v>0</v>
      </c>
      <c r="AM158" s="452">
        <f t="shared" si="80"/>
        <v>0</v>
      </c>
      <c r="AN158" s="456"/>
      <c r="AO158" s="533"/>
      <c r="AP158" s="456"/>
      <c r="AQ158" s="533"/>
      <c r="AR158" s="456"/>
      <c r="AS158" s="533"/>
      <c r="AT158" s="456"/>
      <c r="AU158" s="533"/>
      <c r="AV158" s="449">
        <f t="shared" si="81"/>
        <v>0</v>
      </c>
      <c r="AW158" s="453">
        <f t="shared" si="82"/>
        <v>0</v>
      </c>
      <c r="AX158" s="451">
        <f t="shared" si="83"/>
        <v>0</v>
      </c>
      <c r="AY158" s="454">
        <f t="shared" si="84"/>
        <v>0</v>
      </c>
      <c r="AZ158" s="455">
        <f t="shared" si="85"/>
        <v>4252.7</v>
      </c>
      <c r="BA158" s="451">
        <f t="shared" si="86"/>
        <v>4042.9</v>
      </c>
    </row>
    <row r="159" spans="1:53">
      <c r="A159" s="528" t="s">
        <v>142</v>
      </c>
      <c r="B159" s="534" t="s">
        <v>267</v>
      </c>
      <c r="C159" s="538"/>
      <c r="D159" s="531">
        <v>244446</v>
      </c>
      <c r="E159" s="532">
        <v>12</v>
      </c>
      <c r="F159" s="491" t="s">
        <v>41</v>
      </c>
      <c r="G159" s="492" t="s">
        <v>41</v>
      </c>
      <c r="H159" s="456"/>
      <c r="I159" s="533"/>
      <c r="J159" s="456">
        <v>36435</v>
      </c>
      <c r="K159" s="533">
        <v>34781</v>
      </c>
      <c r="L159" s="456">
        <v>22751</v>
      </c>
      <c r="M159" s="533">
        <v>20930</v>
      </c>
      <c r="N159" s="456">
        <v>34340</v>
      </c>
      <c r="O159" s="533">
        <v>32736</v>
      </c>
      <c r="P159" s="449">
        <f t="shared" si="69"/>
        <v>93526</v>
      </c>
      <c r="Q159" s="450">
        <f t="shared" si="70"/>
        <v>3117.5333333333333</v>
      </c>
      <c r="R159" s="451">
        <f t="shared" si="71"/>
        <v>88447</v>
      </c>
      <c r="S159" s="452">
        <f t="shared" si="72"/>
        <v>2948.2333333333331</v>
      </c>
      <c r="T159" s="456">
        <v>4494</v>
      </c>
      <c r="U159" s="533">
        <v>6567.4</v>
      </c>
      <c r="V159" s="449">
        <f t="shared" si="73"/>
        <v>93526</v>
      </c>
      <c r="W159" s="448">
        <f t="shared" si="74"/>
        <v>88447</v>
      </c>
      <c r="X159" s="456"/>
      <c r="Y159" s="533"/>
      <c r="Z159" s="456"/>
      <c r="AA159" s="533"/>
      <c r="AB159" s="456"/>
      <c r="AC159" s="533"/>
      <c r="AD159" s="456"/>
      <c r="AE159" s="533"/>
      <c r="AF159" s="449">
        <f t="shared" si="75"/>
        <v>0</v>
      </c>
      <c r="AG159" s="450">
        <f t="shared" si="76"/>
        <v>0</v>
      </c>
      <c r="AH159" s="451">
        <f t="shared" si="77"/>
        <v>0</v>
      </c>
      <c r="AI159" s="451">
        <f t="shared" si="78"/>
        <v>0</v>
      </c>
      <c r="AJ159" s="456"/>
      <c r="AK159" s="533"/>
      <c r="AL159" s="449">
        <f t="shared" si="79"/>
        <v>0</v>
      </c>
      <c r="AM159" s="452">
        <f t="shared" si="80"/>
        <v>0</v>
      </c>
      <c r="AN159" s="456"/>
      <c r="AO159" s="533"/>
      <c r="AP159" s="456"/>
      <c r="AQ159" s="533"/>
      <c r="AR159" s="456"/>
      <c r="AS159" s="533"/>
      <c r="AT159" s="456"/>
      <c r="AU159" s="533"/>
      <c r="AV159" s="449">
        <f t="shared" si="81"/>
        <v>0</v>
      </c>
      <c r="AW159" s="453">
        <f t="shared" si="82"/>
        <v>0</v>
      </c>
      <c r="AX159" s="451">
        <f t="shared" si="83"/>
        <v>0</v>
      </c>
      <c r="AY159" s="454">
        <f t="shared" si="84"/>
        <v>0</v>
      </c>
      <c r="AZ159" s="455">
        <f t="shared" si="85"/>
        <v>3117.5333333333333</v>
      </c>
      <c r="BA159" s="451">
        <f t="shared" si="86"/>
        <v>2948.2333333333331</v>
      </c>
    </row>
    <row r="160" spans="1:53">
      <c r="A160" s="539" t="s">
        <v>142</v>
      </c>
      <c r="B160" s="529" t="s">
        <v>268</v>
      </c>
      <c r="C160" s="530"/>
      <c r="D160" s="531">
        <v>140012</v>
      </c>
      <c r="E160" s="532">
        <v>12</v>
      </c>
      <c r="F160" s="491" t="s">
        <v>41</v>
      </c>
      <c r="G160" s="492" t="s">
        <v>41</v>
      </c>
      <c r="H160" s="456"/>
      <c r="I160" s="533"/>
      <c r="J160" s="456">
        <v>63254</v>
      </c>
      <c r="K160" s="533">
        <v>60814</v>
      </c>
      <c r="L160" s="456">
        <v>25025</v>
      </c>
      <c r="M160" s="533">
        <v>22814</v>
      </c>
      <c r="N160" s="456">
        <v>62484</v>
      </c>
      <c r="O160" s="533">
        <v>58037</v>
      </c>
      <c r="P160" s="449">
        <f t="shared" si="69"/>
        <v>150763</v>
      </c>
      <c r="Q160" s="450">
        <f t="shared" si="70"/>
        <v>5025.4333333333334</v>
      </c>
      <c r="R160" s="451">
        <f t="shared" si="71"/>
        <v>141665</v>
      </c>
      <c r="S160" s="452">
        <f t="shared" si="72"/>
        <v>4722.166666666667</v>
      </c>
      <c r="T160" s="456">
        <v>3015</v>
      </c>
      <c r="U160" s="533">
        <v>5367</v>
      </c>
      <c r="V160" s="449">
        <f t="shared" si="73"/>
        <v>150763</v>
      </c>
      <c r="W160" s="448">
        <f t="shared" si="74"/>
        <v>141665</v>
      </c>
      <c r="X160" s="456"/>
      <c r="Y160" s="533"/>
      <c r="Z160" s="456"/>
      <c r="AA160" s="533"/>
      <c r="AB160" s="456"/>
      <c r="AC160" s="533"/>
      <c r="AD160" s="456"/>
      <c r="AE160" s="533"/>
      <c r="AF160" s="449">
        <f t="shared" si="75"/>
        <v>0</v>
      </c>
      <c r="AG160" s="450">
        <f t="shared" si="76"/>
        <v>0</v>
      </c>
      <c r="AH160" s="451">
        <f t="shared" si="77"/>
        <v>0</v>
      </c>
      <c r="AI160" s="451">
        <f t="shared" si="78"/>
        <v>0</v>
      </c>
      <c r="AJ160" s="456"/>
      <c r="AK160" s="533"/>
      <c r="AL160" s="449">
        <f t="shared" si="79"/>
        <v>0</v>
      </c>
      <c r="AM160" s="452">
        <f t="shared" si="80"/>
        <v>0</v>
      </c>
      <c r="AN160" s="456"/>
      <c r="AO160" s="533"/>
      <c r="AP160" s="456"/>
      <c r="AQ160" s="533"/>
      <c r="AR160" s="456"/>
      <c r="AS160" s="533"/>
      <c r="AT160" s="456"/>
      <c r="AU160" s="533"/>
      <c r="AV160" s="449">
        <f t="shared" si="81"/>
        <v>0</v>
      </c>
      <c r="AW160" s="453">
        <f t="shared" si="82"/>
        <v>0</v>
      </c>
      <c r="AX160" s="451">
        <f t="shared" si="83"/>
        <v>0</v>
      </c>
      <c r="AY160" s="454">
        <f t="shared" si="84"/>
        <v>0</v>
      </c>
      <c r="AZ160" s="455">
        <f t="shared" si="85"/>
        <v>5025.4333333333334</v>
      </c>
      <c r="BA160" s="451">
        <f t="shared" si="86"/>
        <v>4722.166666666667</v>
      </c>
    </row>
    <row r="161" spans="1:53">
      <c r="A161" s="539" t="s">
        <v>142</v>
      </c>
      <c r="B161" s="529" t="s">
        <v>269</v>
      </c>
      <c r="C161" s="530"/>
      <c r="D161" s="531">
        <v>140243</v>
      </c>
      <c r="E161" s="532">
        <v>12</v>
      </c>
      <c r="F161" s="491" t="s">
        <v>41</v>
      </c>
      <c r="G161" s="492" t="s">
        <v>41</v>
      </c>
      <c r="H161" s="456"/>
      <c r="I161" s="533"/>
      <c r="J161" s="456">
        <v>30879</v>
      </c>
      <c r="K161" s="533">
        <v>28989</v>
      </c>
      <c r="L161" s="456">
        <v>15906</v>
      </c>
      <c r="M161" s="533">
        <v>14323</v>
      </c>
      <c r="N161" s="456">
        <v>31066</v>
      </c>
      <c r="O161" s="533">
        <v>31149</v>
      </c>
      <c r="P161" s="449">
        <f t="shared" si="69"/>
        <v>77851</v>
      </c>
      <c r="Q161" s="450">
        <f t="shared" si="70"/>
        <v>2595.0333333333333</v>
      </c>
      <c r="R161" s="451">
        <f t="shared" si="71"/>
        <v>74461</v>
      </c>
      <c r="S161" s="452">
        <f t="shared" si="72"/>
        <v>2482.0333333333333</v>
      </c>
      <c r="T161" s="456">
        <v>3500</v>
      </c>
      <c r="U161" s="533">
        <v>3075</v>
      </c>
      <c r="V161" s="449">
        <f t="shared" si="73"/>
        <v>77851</v>
      </c>
      <c r="W161" s="448">
        <f t="shared" si="74"/>
        <v>74461</v>
      </c>
      <c r="X161" s="456"/>
      <c r="Y161" s="533"/>
      <c r="Z161" s="456"/>
      <c r="AA161" s="533"/>
      <c r="AB161" s="456"/>
      <c r="AC161" s="533"/>
      <c r="AD161" s="456"/>
      <c r="AE161" s="533"/>
      <c r="AF161" s="449">
        <f t="shared" si="75"/>
        <v>0</v>
      </c>
      <c r="AG161" s="450">
        <f t="shared" si="76"/>
        <v>0</v>
      </c>
      <c r="AH161" s="451">
        <f t="shared" si="77"/>
        <v>0</v>
      </c>
      <c r="AI161" s="451">
        <f t="shared" si="78"/>
        <v>0</v>
      </c>
      <c r="AJ161" s="456"/>
      <c r="AK161" s="533"/>
      <c r="AL161" s="449">
        <f t="shared" si="79"/>
        <v>0</v>
      </c>
      <c r="AM161" s="452">
        <f t="shared" si="80"/>
        <v>0</v>
      </c>
      <c r="AN161" s="456"/>
      <c r="AO161" s="533"/>
      <c r="AP161" s="456"/>
      <c r="AQ161" s="533"/>
      <c r="AR161" s="456"/>
      <c r="AS161" s="533"/>
      <c r="AT161" s="456"/>
      <c r="AU161" s="533"/>
      <c r="AV161" s="449">
        <f t="shared" si="81"/>
        <v>0</v>
      </c>
      <c r="AW161" s="453">
        <f t="shared" si="82"/>
        <v>0</v>
      </c>
      <c r="AX161" s="451">
        <f t="shared" si="83"/>
        <v>0</v>
      </c>
      <c r="AY161" s="454">
        <f t="shared" si="84"/>
        <v>0</v>
      </c>
      <c r="AZ161" s="455">
        <f t="shared" si="85"/>
        <v>2595.0333333333333</v>
      </c>
      <c r="BA161" s="451">
        <f t="shared" si="86"/>
        <v>2482.0333333333333</v>
      </c>
    </row>
    <row r="162" spans="1:53">
      <c r="A162" s="539" t="s">
        <v>142</v>
      </c>
      <c r="B162" s="529" t="s">
        <v>270</v>
      </c>
      <c r="C162" s="530"/>
      <c r="D162" s="531">
        <v>140678</v>
      </c>
      <c r="E162" s="532">
        <v>12</v>
      </c>
      <c r="F162" s="491" t="s">
        <v>41</v>
      </c>
      <c r="G162" s="492" t="s">
        <v>41</v>
      </c>
      <c r="H162" s="456"/>
      <c r="I162" s="533"/>
      <c r="J162" s="456">
        <v>23560</v>
      </c>
      <c r="K162" s="533">
        <v>23426</v>
      </c>
      <c r="L162" s="456">
        <v>8431</v>
      </c>
      <c r="M162" s="533">
        <v>9467</v>
      </c>
      <c r="N162" s="456">
        <v>25768</v>
      </c>
      <c r="O162" s="533">
        <v>24876</v>
      </c>
      <c r="P162" s="449">
        <f t="shared" si="69"/>
        <v>57759</v>
      </c>
      <c r="Q162" s="450">
        <f t="shared" si="70"/>
        <v>1925.3</v>
      </c>
      <c r="R162" s="451">
        <f t="shared" si="71"/>
        <v>57769</v>
      </c>
      <c r="S162" s="452">
        <f t="shared" si="72"/>
        <v>1925.6333333333334</v>
      </c>
      <c r="T162" s="456">
        <v>1688</v>
      </c>
      <c r="U162" s="533">
        <v>2237</v>
      </c>
      <c r="V162" s="449">
        <f t="shared" si="73"/>
        <v>57759</v>
      </c>
      <c r="W162" s="448">
        <f t="shared" si="74"/>
        <v>57769</v>
      </c>
      <c r="X162" s="456"/>
      <c r="Y162" s="533"/>
      <c r="Z162" s="456"/>
      <c r="AA162" s="533"/>
      <c r="AB162" s="456"/>
      <c r="AC162" s="533"/>
      <c r="AD162" s="456"/>
      <c r="AE162" s="533"/>
      <c r="AF162" s="449">
        <f t="shared" si="75"/>
        <v>0</v>
      </c>
      <c r="AG162" s="450">
        <f t="shared" si="76"/>
        <v>0</v>
      </c>
      <c r="AH162" s="451">
        <f t="shared" si="77"/>
        <v>0</v>
      </c>
      <c r="AI162" s="451">
        <f t="shared" si="78"/>
        <v>0</v>
      </c>
      <c r="AJ162" s="456"/>
      <c r="AK162" s="533"/>
      <c r="AL162" s="449">
        <f t="shared" si="79"/>
        <v>0</v>
      </c>
      <c r="AM162" s="452">
        <f t="shared" si="80"/>
        <v>0</v>
      </c>
      <c r="AN162" s="456"/>
      <c r="AO162" s="533"/>
      <c r="AP162" s="456"/>
      <c r="AQ162" s="533"/>
      <c r="AR162" s="456"/>
      <c r="AS162" s="533"/>
      <c r="AT162" s="456"/>
      <c r="AU162" s="533"/>
      <c r="AV162" s="449">
        <f t="shared" si="81"/>
        <v>0</v>
      </c>
      <c r="AW162" s="453">
        <f t="shared" si="82"/>
        <v>0</v>
      </c>
      <c r="AX162" s="451">
        <f t="shared" si="83"/>
        <v>0</v>
      </c>
      <c r="AY162" s="454">
        <f t="shared" si="84"/>
        <v>0</v>
      </c>
      <c r="AZ162" s="455">
        <f t="shared" si="85"/>
        <v>1925.3</v>
      </c>
      <c r="BA162" s="451">
        <f t="shared" si="86"/>
        <v>1925.6333333333334</v>
      </c>
    </row>
    <row r="163" spans="1:53">
      <c r="A163" s="540" t="s">
        <v>142</v>
      </c>
      <c r="B163" s="534" t="s">
        <v>271</v>
      </c>
      <c r="C163" s="538"/>
      <c r="D163" s="531">
        <v>420431</v>
      </c>
      <c r="E163" s="532">
        <v>12</v>
      </c>
      <c r="F163" s="491" t="s">
        <v>41</v>
      </c>
      <c r="G163" s="492" t="s">
        <v>41</v>
      </c>
      <c r="H163" s="456"/>
      <c r="I163" s="533"/>
      <c r="J163" s="456">
        <v>14855</v>
      </c>
      <c r="K163" s="533">
        <v>13175</v>
      </c>
      <c r="L163" s="456">
        <v>9552</v>
      </c>
      <c r="M163" s="533">
        <v>8867</v>
      </c>
      <c r="N163" s="456">
        <v>14304</v>
      </c>
      <c r="O163" s="533">
        <v>13679</v>
      </c>
      <c r="P163" s="449">
        <f t="shared" si="69"/>
        <v>38711</v>
      </c>
      <c r="Q163" s="450">
        <f t="shared" si="70"/>
        <v>1290.3666666666666</v>
      </c>
      <c r="R163" s="451">
        <f t="shared" si="71"/>
        <v>35721</v>
      </c>
      <c r="S163" s="452">
        <f t="shared" si="72"/>
        <v>1190.7</v>
      </c>
      <c r="T163" s="456">
        <v>3128</v>
      </c>
      <c r="U163" s="533">
        <v>2767</v>
      </c>
      <c r="V163" s="449">
        <f t="shared" si="73"/>
        <v>38711</v>
      </c>
      <c r="W163" s="448">
        <f t="shared" si="74"/>
        <v>35721</v>
      </c>
      <c r="X163" s="456"/>
      <c r="Y163" s="533"/>
      <c r="Z163" s="456"/>
      <c r="AA163" s="533"/>
      <c r="AB163" s="456"/>
      <c r="AC163" s="533"/>
      <c r="AD163" s="456"/>
      <c r="AE163" s="533"/>
      <c r="AF163" s="449">
        <f t="shared" si="75"/>
        <v>0</v>
      </c>
      <c r="AG163" s="450">
        <f t="shared" si="76"/>
        <v>0</v>
      </c>
      <c r="AH163" s="451">
        <f t="shared" si="77"/>
        <v>0</v>
      </c>
      <c r="AI163" s="451">
        <f t="shared" si="78"/>
        <v>0</v>
      </c>
      <c r="AJ163" s="456"/>
      <c r="AK163" s="533"/>
      <c r="AL163" s="449">
        <f t="shared" si="79"/>
        <v>0</v>
      </c>
      <c r="AM163" s="452">
        <f t="shared" si="80"/>
        <v>0</v>
      </c>
      <c r="AN163" s="456"/>
      <c r="AO163" s="533"/>
      <c r="AP163" s="456"/>
      <c r="AQ163" s="533"/>
      <c r="AR163" s="456"/>
      <c r="AS163" s="533"/>
      <c r="AT163" s="456"/>
      <c r="AU163" s="533"/>
      <c r="AV163" s="449">
        <f t="shared" si="81"/>
        <v>0</v>
      </c>
      <c r="AW163" s="453">
        <f t="shared" si="82"/>
        <v>0</v>
      </c>
      <c r="AX163" s="451">
        <f t="shared" si="83"/>
        <v>0</v>
      </c>
      <c r="AY163" s="454">
        <f t="shared" si="84"/>
        <v>0</v>
      </c>
      <c r="AZ163" s="455">
        <f t="shared" si="85"/>
        <v>1290.3666666666666</v>
      </c>
      <c r="BA163" s="451">
        <f t="shared" si="86"/>
        <v>1190.7</v>
      </c>
    </row>
    <row r="164" spans="1:53">
      <c r="A164" s="535" t="s">
        <v>142</v>
      </c>
      <c r="B164" s="529" t="s">
        <v>272</v>
      </c>
      <c r="C164" s="530"/>
      <c r="D164" s="531">
        <v>366465</v>
      </c>
      <c r="E164" s="532">
        <v>12</v>
      </c>
      <c r="F164" s="491" t="s">
        <v>41</v>
      </c>
      <c r="G164" s="492" t="s">
        <v>41</v>
      </c>
      <c r="H164" s="456"/>
      <c r="I164" s="533"/>
      <c r="J164" s="456">
        <v>22636</v>
      </c>
      <c r="K164" s="533">
        <v>22047</v>
      </c>
      <c r="L164" s="456">
        <v>14039</v>
      </c>
      <c r="M164" s="533">
        <v>13140</v>
      </c>
      <c r="N164" s="456">
        <v>22992</v>
      </c>
      <c r="O164" s="533">
        <v>20063</v>
      </c>
      <c r="P164" s="449">
        <f t="shared" si="69"/>
        <v>59667</v>
      </c>
      <c r="Q164" s="450">
        <f t="shared" si="70"/>
        <v>1988.9</v>
      </c>
      <c r="R164" s="451">
        <f t="shared" si="71"/>
        <v>55250</v>
      </c>
      <c r="S164" s="452">
        <f t="shared" si="72"/>
        <v>1841.6666666666667</v>
      </c>
      <c r="T164" s="456">
        <v>1192</v>
      </c>
      <c r="U164" s="533">
        <v>2635</v>
      </c>
      <c r="V164" s="449">
        <f t="shared" si="73"/>
        <v>59667</v>
      </c>
      <c r="W164" s="448">
        <f t="shared" si="74"/>
        <v>55250</v>
      </c>
      <c r="X164" s="456"/>
      <c r="Y164" s="533"/>
      <c r="Z164" s="456"/>
      <c r="AA164" s="533"/>
      <c r="AB164" s="456"/>
      <c r="AC164" s="533"/>
      <c r="AD164" s="456"/>
      <c r="AE164" s="533"/>
      <c r="AF164" s="449">
        <f t="shared" si="75"/>
        <v>0</v>
      </c>
      <c r="AG164" s="450">
        <f t="shared" si="76"/>
        <v>0</v>
      </c>
      <c r="AH164" s="451">
        <f t="shared" si="77"/>
        <v>0</v>
      </c>
      <c r="AI164" s="451">
        <f t="shared" si="78"/>
        <v>0</v>
      </c>
      <c r="AJ164" s="456"/>
      <c r="AK164" s="533"/>
      <c r="AL164" s="449">
        <f t="shared" si="79"/>
        <v>0</v>
      </c>
      <c r="AM164" s="452">
        <f t="shared" si="80"/>
        <v>0</v>
      </c>
      <c r="AN164" s="456"/>
      <c r="AO164" s="533"/>
      <c r="AP164" s="456"/>
      <c r="AQ164" s="533"/>
      <c r="AR164" s="456"/>
      <c r="AS164" s="533"/>
      <c r="AT164" s="456"/>
      <c r="AU164" s="533"/>
      <c r="AV164" s="449">
        <f t="shared" si="81"/>
        <v>0</v>
      </c>
      <c r="AW164" s="453">
        <f t="shared" si="82"/>
        <v>0</v>
      </c>
      <c r="AX164" s="451">
        <f t="shared" si="83"/>
        <v>0</v>
      </c>
      <c r="AY164" s="454">
        <f t="shared" si="84"/>
        <v>0</v>
      </c>
      <c r="AZ164" s="455">
        <f t="shared" si="85"/>
        <v>1988.9</v>
      </c>
      <c r="BA164" s="451">
        <f t="shared" si="86"/>
        <v>1841.6666666666667</v>
      </c>
    </row>
    <row r="165" spans="1:53">
      <c r="A165" s="535" t="s">
        <v>142</v>
      </c>
      <c r="B165" s="529" t="s">
        <v>273</v>
      </c>
      <c r="C165" s="530"/>
      <c r="D165" s="531">
        <v>140942</v>
      </c>
      <c r="E165" s="532">
        <v>12</v>
      </c>
      <c r="F165" s="491" t="s">
        <v>41</v>
      </c>
      <c r="G165" s="492" t="s">
        <v>41</v>
      </c>
      <c r="H165" s="456"/>
      <c r="I165" s="533"/>
      <c r="J165" s="456">
        <v>46097</v>
      </c>
      <c r="K165" s="533">
        <v>40200</v>
      </c>
      <c r="L165" s="456">
        <v>19049</v>
      </c>
      <c r="M165" s="533">
        <v>16359</v>
      </c>
      <c r="N165" s="456">
        <v>42347</v>
      </c>
      <c r="O165" s="533">
        <v>38714</v>
      </c>
      <c r="P165" s="449">
        <f t="shared" si="69"/>
        <v>107493</v>
      </c>
      <c r="Q165" s="450">
        <f t="shared" si="70"/>
        <v>3583.1</v>
      </c>
      <c r="R165" s="451">
        <f t="shared" si="71"/>
        <v>95273</v>
      </c>
      <c r="S165" s="452">
        <f t="shared" si="72"/>
        <v>3175.7666666666669</v>
      </c>
      <c r="T165" s="456">
        <v>3238</v>
      </c>
      <c r="U165" s="533">
        <v>4797</v>
      </c>
      <c r="V165" s="449">
        <f t="shared" si="73"/>
        <v>107493</v>
      </c>
      <c r="W165" s="448">
        <f t="shared" si="74"/>
        <v>95273</v>
      </c>
      <c r="X165" s="456"/>
      <c r="Y165" s="533"/>
      <c r="Z165" s="456"/>
      <c r="AA165" s="533"/>
      <c r="AB165" s="456"/>
      <c r="AC165" s="533"/>
      <c r="AD165" s="456"/>
      <c r="AE165" s="533"/>
      <c r="AF165" s="449">
        <f t="shared" si="75"/>
        <v>0</v>
      </c>
      <c r="AG165" s="450">
        <f t="shared" si="76"/>
        <v>0</v>
      </c>
      <c r="AH165" s="451">
        <f t="shared" si="77"/>
        <v>0</v>
      </c>
      <c r="AI165" s="451">
        <f t="shared" si="78"/>
        <v>0</v>
      </c>
      <c r="AJ165" s="456"/>
      <c r="AK165" s="533"/>
      <c r="AL165" s="449">
        <f t="shared" si="79"/>
        <v>0</v>
      </c>
      <c r="AM165" s="452">
        <f t="shared" si="80"/>
        <v>0</v>
      </c>
      <c r="AN165" s="456"/>
      <c r="AO165" s="533"/>
      <c r="AP165" s="456"/>
      <c r="AQ165" s="533"/>
      <c r="AR165" s="456"/>
      <c r="AS165" s="533"/>
      <c r="AT165" s="456"/>
      <c r="AU165" s="533"/>
      <c r="AV165" s="449">
        <f t="shared" si="81"/>
        <v>0</v>
      </c>
      <c r="AW165" s="453">
        <f t="shared" si="82"/>
        <v>0</v>
      </c>
      <c r="AX165" s="451">
        <f t="shared" si="83"/>
        <v>0</v>
      </c>
      <c r="AY165" s="454">
        <f t="shared" si="84"/>
        <v>0</v>
      </c>
      <c r="AZ165" s="455">
        <f t="shared" si="85"/>
        <v>3583.1</v>
      </c>
      <c r="BA165" s="451">
        <f t="shared" si="86"/>
        <v>3175.7666666666669</v>
      </c>
    </row>
    <row r="166" spans="1:53">
      <c r="A166" s="535" t="s">
        <v>142</v>
      </c>
      <c r="B166" s="529" t="s">
        <v>274</v>
      </c>
      <c r="C166" s="530"/>
      <c r="D166" s="531">
        <v>141006</v>
      </c>
      <c r="E166" s="532">
        <v>12</v>
      </c>
      <c r="F166" s="491" t="s">
        <v>41</v>
      </c>
      <c r="G166" s="492" t="s">
        <v>41</v>
      </c>
      <c r="H166" s="456"/>
      <c r="I166" s="533"/>
      <c r="J166" s="456">
        <v>17878.5</v>
      </c>
      <c r="K166" s="533">
        <v>17622</v>
      </c>
      <c r="L166" s="456">
        <v>8434</v>
      </c>
      <c r="M166" s="533">
        <v>8042</v>
      </c>
      <c r="N166" s="456">
        <v>17378</v>
      </c>
      <c r="O166" s="533">
        <v>17666</v>
      </c>
      <c r="P166" s="449">
        <f t="shared" si="69"/>
        <v>43690.5</v>
      </c>
      <c r="Q166" s="450">
        <f t="shared" si="70"/>
        <v>1456.35</v>
      </c>
      <c r="R166" s="451">
        <f t="shared" si="71"/>
        <v>43330</v>
      </c>
      <c r="S166" s="452">
        <f t="shared" si="72"/>
        <v>1444.3333333333333</v>
      </c>
      <c r="T166" s="456">
        <v>2393.5</v>
      </c>
      <c r="U166" s="533">
        <v>3901</v>
      </c>
      <c r="V166" s="449">
        <f t="shared" si="73"/>
        <v>43690.5</v>
      </c>
      <c r="W166" s="448">
        <f t="shared" si="74"/>
        <v>43330</v>
      </c>
      <c r="X166" s="456"/>
      <c r="Y166" s="533"/>
      <c r="Z166" s="456"/>
      <c r="AA166" s="533"/>
      <c r="AB166" s="456"/>
      <c r="AC166" s="533"/>
      <c r="AD166" s="456"/>
      <c r="AE166" s="533"/>
      <c r="AF166" s="449">
        <f t="shared" si="75"/>
        <v>0</v>
      </c>
      <c r="AG166" s="450">
        <f t="shared" si="76"/>
        <v>0</v>
      </c>
      <c r="AH166" s="451">
        <f t="shared" si="77"/>
        <v>0</v>
      </c>
      <c r="AI166" s="451">
        <f t="shared" si="78"/>
        <v>0</v>
      </c>
      <c r="AJ166" s="456"/>
      <c r="AK166" s="533"/>
      <c r="AL166" s="449">
        <f t="shared" si="79"/>
        <v>0</v>
      </c>
      <c r="AM166" s="452">
        <f t="shared" si="80"/>
        <v>0</v>
      </c>
      <c r="AN166" s="456"/>
      <c r="AO166" s="533"/>
      <c r="AP166" s="456"/>
      <c r="AQ166" s="533"/>
      <c r="AR166" s="456"/>
      <c r="AS166" s="533"/>
      <c r="AT166" s="456"/>
      <c r="AU166" s="533"/>
      <c r="AV166" s="449">
        <f t="shared" si="81"/>
        <v>0</v>
      </c>
      <c r="AW166" s="453">
        <f t="shared" si="82"/>
        <v>0</v>
      </c>
      <c r="AX166" s="451">
        <f t="shared" si="83"/>
        <v>0</v>
      </c>
      <c r="AY166" s="454">
        <f t="shared" si="84"/>
        <v>0</v>
      </c>
      <c r="AZ166" s="455">
        <f t="shared" si="85"/>
        <v>1456.35</v>
      </c>
      <c r="BA166" s="451">
        <f t="shared" si="86"/>
        <v>1444.3333333333333</v>
      </c>
    </row>
    <row r="167" spans="1:53">
      <c r="A167" s="535" t="s">
        <v>142</v>
      </c>
      <c r="B167" s="534" t="s">
        <v>275</v>
      </c>
      <c r="C167" s="530"/>
      <c r="D167" s="531">
        <v>368911</v>
      </c>
      <c r="E167" s="532">
        <v>12</v>
      </c>
      <c r="F167" s="491" t="s">
        <v>41</v>
      </c>
      <c r="G167" s="492" t="s">
        <v>41</v>
      </c>
      <c r="H167" s="456"/>
      <c r="I167" s="533"/>
      <c r="J167" s="456">
        <v>12349</v>
      </c>
      <c r="K167" s="533">
        <v>12922</v>
      </c>
      <c r="L167" s="456">
        <v>7033</v>
      </c>
      <c r="M167" s="533">
        <v>6929</v>
      </c>
      <c r="N167" s="456">
        <v>14551</v>
      </c>
      <c r="O167" s="533">
        <v>14592</v>
      </c>
      <c r="P167" s="449">
        <f t="shared" si="69"/>
        <v>33933</v>
      </c>
      <c r="Q167" s="450">
        <f t="shared" si="70"/>
        <v>1131.0999999999999</v>
      </c>
      <c r="R167" s="451">
        <f t="shared" si="71"/>
        <v>34443</v>
      </c>
      <c r="S167" s="452">
        <f t="shared" si="72"/>
        <v>1148.0999999999999</v>
      </c>
      <c r="T167" s="456">
        <v>2516</v>
      </c>
      <c r="U167" s="533">
        <v>3328</v>
      </c>
      <c r="V167" s="449">
        <f t="shared" si="73"/>
        <v>33933</v>
      </c>
      <c r="W167" s="448">
        <f t="shared" si="74"/>
        <v>34443</v>
      </c>
      <c r="X167" s="456"/>
      <c r="Y167" s="533"/>
      <c r="Z167" s="456"/>
      <c r="AA167" s="533"/>
      <c r="AB167" s="456"/>
      <c r="AC167" s="533"/>
      <c r="AD167" s="456"/>
      <c r="AE167" s="533"/>
      <c r="AF167" s="449">
        <f t="shared" si="75"/>
        <v>0</v>
      </c>
      <c r="AG167" s="450">
        <f t="shared" si="76"/>
        <v>0</v>
      </c>
      <c r="AH167" s="451">
        <f t="shared" si="77"/>
        <v>0</v>
      </c>
      <c r="AI167" s="451">
        <f t="shared" si="78"/>
        <v>0</v>
      </c>
      <c r="AJ167" s="456"/>
      <c r="AK167" s="533"/>
      <c r="AL167" s="449">
        <f t="shared" si="79"/>
        <v>0</v>
      </c>
      <c r="AM167" s="452">
        <f t="shared" si="80"/>
        <v>0</v>
      </c>
      <c r="AN167" s="456"/>
      <c r="AO167" s="533"/>
      <c r="AP167" s="456"/>
      <c r="AQ167" s="533"/>
      <c r="AR167" s="456"/>
      <c r="AS167" s="533"/>
      <c r="AT167" s="456"/>
      <c r="AU167" s="533"/>
      <c r="AV167" s="449">
        <f t="shared" si="81"/>
        <v>0</v>
      </c>
      <c r="AW167" s="453">
        <f t="shared" si="82"/>
        <v>0</v>
      </c>
      <c r="AX167" s="451">
        <f t="shared" si="83"/>
        <v>0</v>
      </c>
      <c r="AY167" s="454">
        <f t="shared" si="84"/>
        <v>0</v>
      </c>
      <c r="AZ167" s="455">
        <f t="shared" si="85"/>
        <v>1131.0999999999999</v>
      </c>
      <c r="BA167" s="451">
        <f t="shared" si="86"/>
        <v>1148.0999999999999</v>
      </c>
    </row>
    <row r="168" spans="1:53">
      <c r="A168" s="535" t="s">
        <v>142</v>
      </c>
      <c r="B168" s="541" t="s">
        <v>276</v>
      </c>
      <c r="C168" s="530"/>
      <c r="D168" s="531">
        <v>139986</v>
      </c>
      <c r="E168" s="536">
        <v>12</v>
      </c>
      <c r="F168" s="491" t="s">
        <v>41</v>
      </c>
      <c r="G168" s="492" t="s">
        <v>41</v>
      </c>
      <c r="H168" s="456"/>
      <c r="I168" s="533"/>
      <c r="J168" s="456">
        <v>45333</v>
      </c>
      <c r="K168" s="533">
        <v>42049</v>
      </c>
      <c r="L168" s="456">
        <v>16133</v>
      </c>
      <c r="M168" s="533">
        <v>14718</v>
      </c>
      <c r="N168" s="456">
        <v>46529</v>
      </c>
      <c r="O168" s="533">
        <v>44429</v>
      </c>
      <c r="P168" s="449">
        <f t="shared" si="69"/>
        <v>107995</v>
      </c>
      <c r="Q168" s="450">
        <f t="shared" si="70"/>
        <v>3599.8333333333335</v>
      </c>
      <c r="R168" s="451">
        <f t="shared" si="71"/>
        <v>101196</v>
      </c>
      <c r="S168" s="452">
        <f t="shared" si="72"/>
        <v>3373.2</v>
      </c>
      <c r="T168" s="456">
        <v>3919</v>
      </c>
      <c r="U168" s="533">
        <v>6002</v>
      </c>
      <c r="V168" s="449">
        <f t="shared" si="73"/>
        <v>107995</v>
      </c>
      <c r="W168" s="448">
        <f t="shared" si="74"/>
        <v>101196</v>
      </c>
      <c r="X168" s="456"/>
      <c r="Y168" s="533"/>
      <c r="Z168" s="456"/>
      <c r="AA168" s="533"/>
      <c r="AB168" s="456"/>
      <c r="AC168" s="533"/>
      <c r="AD168" s="456"/>
      <c r="AE168" s="533"/>
      <c r="AF168" s="449">
        <f t="shared" si="75"/>
        <v>0</v>
      </c>
      <c r="AG168" s="450">
        <f t="shared" si="76"/>
        <v>0</v>
      </c>
      <c r="AH168" s="451">
        <f t="shared" si="77"/>
        <v>0</v>
      </c>
      <c r="AI168" s="451">
        <f t="shared" si="78"/>
        <v>0</v>
      </c>
      <c r="AJ168" s="456"/>
      <c r="AK168" s="533"/>
      <c r="AL168" s="449">
        <f t="shared" si="79"/>
        <v>0</v>
      </c>
      <c r="AM168" s="452">
        <f t="shared" si="80"/>
        <v>0</v>
      </c>
      <c r="AN168" s="456"/>
      <c r="AO168" s="533"/>
      <c r="AP168" s="456"/>
      <c r="AQ168" s="533"/>
      <c r="AR168" s="456"/>
      <c r="AS168" s="533"/>
      <c r="AT168" s="456"/>
      <c r="AU168" s="533"/>
      <c r="AV168" s="449">
        <f t="shared" si="81"/>
        <v>0</v>
      </c>
      <c r="AW168" s="453">
        <f t="shared" si="82"/>
        <v>0</v>
      </c>
      <c r="AX168" s="451">
        <f t="shared" si="83"/>
        <v>0</v>
      </c>
      <c r="AY168" s="454">
        <f t="shared" si="84"/>
        <v>0</v>
      </c>
      <c r="AZ168" s="455">
        <f t="shared" si="85"/>
        <v>3599.8333333333335</v>
      </c>
      <c r="BA168" s="451">
        <f t="shared" si="86"/>
        <v>3373.2</v>
      </c>
    </row>
    <row r="169" spans="1:53">
      <c r="A169" s="535" t="s">
        <v>142</v>
      </c>
      <c r="B169" s="534" t="s">
        <v>279</v>
      </c>
      <c r="C169" s="530"/>
      <c r="D169" s="531">
        <v>487162</v>
      </c>
      <c r="E169" s="532">
        <v>12</v>
      </c>
      <c r="F169" s="491" t="s">
        <v>41</v>
      </c>
      <c r="G169" s="492" t="s">
        <v>41</v>
      </c>
      <c r="H169" s="456"/>
      <c r="I169" s="533"/>
      <c r="J169" s="537">
        <v>30133</v>
      </c>
      <c r="K169" s="543">
        <v>29921</v>
      </c>
      <c r="L169" s="537">
        <v>16056</v>
      </c>
      <c r="M169" s="543">
        <v>15716</v>
      </c>
      <c r="N169" s="537">
        <v>31275</v>
      </c>
      <c r="O169" s="533">
        <v>29986</v>
      </c>
      <c r="P169" s="449">
        <f t="shared" si="69"/>
        <v>77464</v>
      </c>
      <c r="Q169" s="450">
        <f t="shared" si="70"/>
        <v>2582.1333333333332</v>
      </c>
      <c r="R169" s="451">
        <f t="shared" si="71"/>
        <v>75623</v>
      </c>
      <c r="S169" s="452">
        <f t="shared" si="72"/>
        <v>2520.7666666666669</v>
      </c>
      <c r="T169" s="537">
        <v>10071</v>
      </c>
      <c r="U169" s="533">
        <v>6727</v>
      </c>
      <c r="V169" s="449">
        <f t="shared" si="73"/>
        <v>77464</v>
      </c>
      <c r="W169" s="448">
        <f t="shared" si="74"/>
        <v>75623</v>
      </c>
      <c r="X169" s="456"/>
      <c r="Y169" s="533"/>
      <c r="Z169" s="456"/>
      <c r="AA169" s="533"/>
      <c r="AB169" s="456"/>
      <c r="AC169" s="533"/>
      <c r="AD169" s="456"/>
      <c r="AE169" s="533"/>
      <c r="AF169" s="449">
        <f t="shared" si="75"/>
        <v>0</v>
      </c>
      <c r="AG169" s="450">
        <f t="shared" si="76"/>
        <v>0</v>
      </c>
      <c r="AH169" s="451">
        <f t="shared" si="77"/>
        <v>0</v>
      </c>
      <c r="AI169" s="451">
        <f t="shared" si="78"/>
        <v>0</v>
      </c>
      <c r="AJ169" s="456"/>
      <c r="AK169" s="533"/>
      <c r="AL169" s="449">
        <f t="shared" si="79"/>
        <v>0</v>
      </c>
      <c r="AM169" s="452">
        <f t="shared" si="80"/>
        <v>0</v>
      </c>
      <c r="AN169" s="456"/>
      <c r="AO169" s="533"/>
      <c r="AP169" s="456"/>
      <c r="AQ169" s="533"/>
      <c r="AR169" s="456"/>
      <c r="AS169" s="533"/>
      <c r="AT169" s="456"/>
      <c r="AU169" s="533"/>
      <c r="AV169" s="449">
        <f t="shared" si="81"/>
        <v>0</v>
      </c>
      <c r="AW169" s="453">
        <f t="shared" si="82"/>
        <v>0</v>
      </c>
      <c r="AX169" s="451">
        <f t="shared" si="83"/>
        <v>0</v>
      </c>
      <c r="AY169" s="454">
        <f t="shared" si="84"/>
        <v>0</v>
      </c>
      <c r="AZ169" s="455">
        <f t="shared" si="85"/>
        <v>2582.1333333333332</v>
      </c>
      <c r="BA169" s="451">
        <f t="shared" si="86"/>
        <v>2520.7666666666669</v>
      </c>
    </row>
    <row r="170" spans="1:53">
      <c r="A170" s="540" t="s">
        <v>142</v>
      </c>
      <c r="B170" s="534" t="s">
        <v>277</v>
      </c>
      <c r="C170" s="530"/>
      <c r="D170" s="531">
        <v>139278</v>
      </c>
      <c r="E170" s="532">
        <v>12</v>
      </c>
      <c r="F170" s="491" t="s">
        <v>41</v>
      </c>
      <c r="G170" s="492" t="s">
        <v>41</v>
      </c>
      <c r="H170" s="456"/>
      <c r="I170" s="533"/>
      <c r="J170" s="456">
        <v>59244</v>
      </c>
      <c r="K170" s="533">
        <v>54030</v>
      </c>
      <c r="L170" s="456">
        <v>24359</v>
      </c>
      <c r="M170" s="533">
        <v>22159</v>
      </c>
      <c r="N170" s="456">
        <v>58134</v>
      </c>
      <c r="O170" s="533">
        <v>56768</v>
      </c>
      <c r="P170" s="449">
        <f t="shared" si="69"/>
        <v>141737</v>
      </c>
      <c r="Q170" s="450">
        <f t="shared" si="70"/>
        <v>4724.5666666666666</v>
      </c>
      <c r="R170" s="451">
        <f t="shared" si="71"/>
        <v>132957</v>
      </c>
      <c r="S170" s="452">
        <f t="shared" si="72"/>
        <v>4431.8999999999996</v>
      </c>
      <c r="T170" s="456">
        <v>9335</v>
      </c>
      <c r="U170" s="533">
        <v>11882</v>
      </c>
      <c r="V170" s="449">
        <f t="shared" si="73"/>
        <v>141737</v>
      </c>
      <c r="W170" s="448">
        <f t="shared" si="74"/>
        <v>132957</v>
      </c>
      <c r="X170" s="456"/>
      <c r="Y170" s="533"/>
      <c r="Z170" s="456"/>
      <c r="AA170" s="533"/>
      <c r="AB170" s="456"/>
      <c r="AC170" s="533"/>
      <c r="AD170" s="456"/>
      <c r="AE170" s="533"/>
      <c r="AF170" s="449">
        <f t="shared" si="75"/>
        <v>0</v>
      </c>
      <c r="AG170" s="450">
        <f t="shared" si="76"/>
        <v>0</v>
      </c>
      <c r="AH170" s="451">
        <f t="shared" si="77"/>
        <v>0</v>
      </c>
      <c r="AI170" s="451">
        <f t="shared" si="78"/>
        <v>0</v>
      </c>
      <c r="AJ170" s="456"/>
      <c r="AK170" s="533"/>
      <c r="AL170" s="449">
        <f t="shared" si="79"/>
        <v>0</v>
      </c>
      <c r="AM170" s="452">
        <f t="shared" si="80"/>
        <v>0</v>
      </c>
      <c r="AN170" s="456"/>
      <c r="AO170" s="533"/>
      <c r="AP170" s="456"/>
      <c r="AQ170" s="533"/>
      <c r="AR170" s="456"/>
      <c r="AS170" s="533"/>
      <c r="AT170" s="456"/>
      <c r="AU170" s="533"/>
      <c r="AV170" s="449">
        <f t="shared" si="81"/>
        <v>0</v>
      </c>
      <c r="AW170" s="453">
        <f t="shared" si="82"/>
        <v>0</v>
      </c>
      <c r="AX170" s="451">
        <f t="shared" si="83"/>
        <v>0</v>
      </c>
      <c r="AY170" s="454">
        <f t="shared" si="84"/>
        <v>0</v>
      </c>
      <c r="AZ170" s="455">
        <f t="shared" si="85"/>
        <v>4724.5666666666666</v>
      </c>
      <c r="BA170" s="451">
        <f t="shared" si="86"/>
        <v>4431.8999999999996</v>
      </c>
    </row>
    <row r="171" spans="1:53">
      <c r="A171" s="535" t="s">
        <v>142</v>
      </c>
      <c r="B171" s="541" t="s">
        <v>278</v>
      </c>
      <c r="C171" s="530"/>
      <c r="D171" s="531">
        <v>141255</v>
      </c>
      <c r="E171" s="536">
        <v>12</v>
      </c>
      <c r="F171" s="491" t="s">
        <v>41</v>
      </c>
      <c r="G171" s="492" t="s">
        <v>41</v>
      </c>
      <c r="H171" s="456"/>
      <c r="I171" s="533"/>
      <c r="J171" s="456">
        <v>33843</v>
      </c>
      <c r="K171" s="533">
        <v>30812</v>
      </c>
      <c r="L171" s="456">
        <v>16926</v>
      </c>
      <c r="M171" s="533">
        <v>14892</v>
      </c>
      <c r="N171" s="456">
        <v>31743</v>
      </c>
      <c r="O171" s="542">
        <v>30013</v>
      </c>
      <c r="P171" s="449">
        <f t="shared" si="69"/>
        <v>82512</v>
      </c>
      <c r="Q171" s="450">
        <f t="shared" si="70"/>
        <v>2750.4</v>
      </c>
      <c r="R171" s="451">
        <f t="shared" si="71"/>
        <v>75717</v>
      </c>
      <c r="S171" s="452">
        <f t="shared" si="72"/>
        <v>2523.9</v>
      </c>
      <c r="T171" s="456">
        <v>8857</v>
      </c>
      <c r="U171" s="533">
        <v>11437</v>
      </c>
      <c r="V171" s="449">
        <f t="shared" si="73"/>
        <v>82512</v>
      </c>
      <c r="W171" s="448">
        <f t="shared" si="74"/>
        <v>75717</v>
      </c>
      <c r="X171" s="456"/>
      <c r="Y171" s="533"/>
      <c r="Z171" s="456"/>
      <c r="AA171" s="533"/>
      <c r="AB171" s="456"/>
      <c r="AC171" s="533"/>
      <c r="AD171" s="456"/>
      <c r="AE171" s="533"/>
      <c r="AF171" s="449">
        <f t="shared" si="75"/>
        <v>0</v>
      </c>
      <c r="AG171" s="450">
        <f t="shared" si="76"/>
        <v>0</v>
      </c>
      <c r="AH171" s="451">
        <f t="shared" si="77"/>
        <v>0</v>
      </c>
      <c r="AI171" s="451">
        <f t="shared" si="78"/>
        <v>0</v>
      </c>
      <c r="AJ171" s="456"/>
      <c r="AK171" s="533"/>
      <c r="AL171" s="449">
        <f t="shared" si="79"/>
        <v>0</v>
      </c>
      <c r="AM171" s="452">
        <f t="shared" si="80"/>
        <v>0</v>
      </c>
      <c r="AN171" s="456"/>
      <c r="AO171" s="533"/>
      <c r="AP171" s="456"/>
      <c r="AQ171" s="533"/>
      <c r="AR171" s="456"/>
      <c r="AS171" s="533"/>
      <c r="AT171" s="456"/>
      <c r="AU171" s="533"/>
      <c r="AV171" s="449">
        <f t="shared" si="81"/>
        <v>0</v>
      </c>
      <c r="AW171" s="453">
        <f t="shared" si="82"/>
        <v>0</v>
      </c>
      <c r="AX171" s="451">
        <f t="shared" si="83"/>
        <v>0</v>
      </c>
      <c r="AY171" s="454">
        <f t="shared" si="84"/>
        <v>0</v>
      </c>
      <c r="AZ171" s="455">
        <f t="shared" si="85"/>
        <v>2750.4</v>
      </c>
      <c r="BA171" s="451">
        <f t="shared" si="86"/>
        <v>2523.9</v>
      </c>
    </row>
    <row r="172" spans="1:53">
      <c r="A172" s="578" t="s">
        <v>219</v>
      </c>
      <c r="B172" s="583" t="s">
        <v>519</v>
      </c>
      <c r="C172" s="580"/>
      <c r="D172" s="636">
        <v>157085</v>
      </c>
      <c r="E172" s="586">
        <v>1</v>
      </c>
      <c r="F172" s="491" t="s">
        <v>41</v>
      </c>
      <c r="G172" s="492" t="s">
        <v>41</v>
      </c>
      <c r="H172" s="456"/>
      <c r="I172" s="493"/>
      <c r="J172" s="456">
        <v>273309</v>
      </c>
      <c r="K172" s="493">
        <v>283884</v>
      </c>
      <c r="L172" s="456">
        <v>25232</v>
      </c>
      <c r="M172" s="493">
        <v>24359</v>
      </c>
      <c r="N172" s="456">
        <v>310776</v>
      </c>
      <c r="O172" s="493">
        <v>319524</v>
      </c>
      <c r="P172" s="449">
        <f t="shared" si="69"/>
        <v>609317</v>
      </c>
      <c r="Q172" s="450">
        <f t="shared" si="70"/>
        <v>20310.566666666666</v>
      </c>
      <c r="R172" s="451">
        <f t="shared" si="71"/>
        <v>627767</v>
      </c>
      <c r="S172" s="452">
        <f t="shared" si="72"/>
        <v>20925.566666666666</v>
      </c>
      <c r="T172" s="456">
        <v>38</v>
      </c>
      <c r="U172" s="493">
        <v>33</v>
      </c>
      <c r="V172" s="449">
        <f t="shared" si="73"/>
        <v>609317</v>
      </c>
      <c r="W172" s="448">
        <f t="shared" si="74"/>
        <v>627767</v>
      </c>
      <c r="X172" s="456"/>
      <c r="Y172" s="493"/>
      <c r="Z172" s="456"/>
      <c r="AA172" s="493"/>
      <c r="AB172" s="456"/>
      <c r="AC172" s="493"/>
      <c r="AD172" s="456"/>
      <c r="AE172" s="493"/>
      <c r="AF172" s="449">
        <f t="shared" si="75"/>
        <v>0</v>
      </c>
      <c r="AG172" s="450">
        <f t="shared" si="76"/>
        <v>0</v>
      </c>
      <c r="AH172" s="451">
        <f t="shared" si="77"/>
        <v>0</v>
      </c>
      <c r="AI172" s="451">
        <f t="shared" si="78"/>
        <v>0</v>
      </c>
      <c r="AJ172" s="456"/>
      <c r="AK172" s="493"/>
      <c r="AL172" s="449">
        <f t="shared" si="79"/>
        <v>0</v>
      </c>
      <c r="AM172" s="452">
        <f t="shared" si="80"/>
        <v>0</v>
      </c>
      <c r="AN172" s="456"/>
      <c r="AO172" s="493"/>
      <c r="AP172" s="456">
        <v>36817</v>
      </c>
      <c r="AQ172" s="493">
        <v>35933</v>
      </c>
      <c r="AR172" s="456">
        <v>5589</v>
      </c>
      <c r="AS172" s="493">
        <v>5484</v>
      </c>
      <c r="AT172" s="456">
        <v>38360</v>
      </c>
      <c r="AU172" s="493">
        <v>38093</v>
      </c>
      <c r="AV172" s="449">
        <f t="shared" si="81"/>
        <v>80766</v>
      </c>
      <c r="AW172" s="453">
        <f t="shared" si="82"/>
        <v>3365.25</v>
      </c>
      <c r="AX172" s="451">
        <f t="shared" si="83"/>
        <v>79510</v>
      </c>
      <c r="AY172" s="454">
        <f t="shared" si="84"/>
        <v>3312.9166666666665</v>
      </c>
      <c r="AZ172" s="455">
        <f t="shared" si="85"/>
        <v>23675.816666666666</v>
      </c>
      <c r="BA172" s="451">
        <f t="shared" si="86"/>
        <v>24238.483333333334</v>
      </c>
    </row>
    <row r="173" spans="1:53">
      <c r="A173" s="578" t="s">
        <v>219</v>
      </c>
      <c r="B173" s="583" t="s">
        <v>520</v>
      </c>
      <c r="C173" s="580"/>
      <c r="D173" s="636">
        <v>157289</v>
      </c>
      <c r="E173" s="586">
        <v>1</v>
      </c>
      <c r="F173" s="491" t="s">
        <v>41</v>
      </c>
      <c r="G173" s="492" t="s">
        <v>41</v>
      </c>
      <c r="H173" s="456"/>
      <c r="I173" s="493"/>
      <c r="J173" s="456">
        <v>174603</v>
      </c>
      <c r="K173" s="493">
        <v>173781</v>
      </c>
      <c r="L173" s="456">
        <v>35635</v>
      </c>
      <c r="M173" s="493">
        <v>37541</v>
      </c>
      <c r="N173" s="456">
        <v>195293</v>
      </c>
      <c r="O173" s="493">
        <v>193484</v>
      </c>
      <c r="P173" s="449">
        <f t="shared" si="69"/>
        <v>405531</v>
      </c>
      <c r="Q173" s="450">
        <f t="shared" si="70"/>
        <v>13517.7</v>
      </c>
      <c r="R173" s="451">
        <f t="shared" si="71"/>
        <v>404806</v>
      </c>
      <c r="S173" s="452">
        <f t="shared" si="72"/>
        <v>13493.533333333333</v>
      </c>
      <c r="T173" s="456">
        <v>1613</v>
      </c>
      <c r="U173" s="493">
        <v>1939</v>
      </c>
      <c r="V173" s="449">
        <f t="shared" si="73"/>
        <v>405531</v>
      </c>
      <c r="W173" s="448">
        <f t="shared" si="74"/>
        <v>404806</v>
      </c>
      <c r="X173" s="456"/>
      <c r="Y173" s="493"/>
      <c r="Z173" s="456"/>
      <c r="AA173" s="493"/>
      <c r="AB173" s="456"/>
      <c r="AC173" s="493"/>
      <c r="AD173" s="456"/>
      <c r="AE173" s="493"/>
      <c r="AF173" s="449">
        <f t="shared" si="75"/>
        <v>0</v>
      </c>
      <c r="AG173" s="450">
        <f t="shared" si="76"/>
        <v>0</v>
      </c>
      <c r="AH173" s="451">
        <f t="shared" si="77"/>
        <v>0</v>
      </c>
      <c r="AI173" s="451">
        <f t="shared" si="78"/>
        <v>0</v>
      </c>
      <c r="AJ173" s="456"/>
      <c r="AK173" s="493"/>
      <c r="AL173" s="449">
        <f t="shared" si="79"/>
        <v>0</v>
      </c>
      <c r="AM173" s="452">
        <f t="shared" si="80"/>
        <v>0</v>
      </c>
      <c r="AN173" s="456"/>
      <c r="AO173" s="493"/>
      <c r="AP173" s="456">
        <v>31613</v>
      </c>
      <c r="AQ173" s="493">
        <v>31617</v>
      </c>
      <c r="AR173" s="456">
        <v>11529</v>
      </c>
      <c r="AS173" s="493">
        <v>12869</v>
      </c>
      <c r="AT173" s="456">
        <v>33735</v>
      </c>
      <c r="AU173" s="493">
        <v>33007</v>
      </c>
      <c r="AV173" s="449">
        <f t="shared" si="81"/>
        <v>76877</v>
      </c>
      <c r="AW173" s="453">
        <f t="shared" si="82"/>
        <v>3203.2083333333335</v>
      </c>
      <c r="AX173" s="451">
        <f t="shared" si="83"/>
        <v>77493</v>
      </c>
      <c r="AY173" s="454">
        <f t="shared" si="84"/>
        <v>3228.875</v>
      </c>
      <c r="AZ173" s="455">
        <f t="shared" si="85"/>
        <v>16720.908333333333</v>
      </c>
      <c r="BA173" s="451">
        <f t="shared" si="86"/>
        <v>16722.408333333333</v>
      </c>
    </row>
    <row r="174" spans="1:53">
      <c r="A174" s="578" t="s">
        <v>219</v>
      </c>
      <c r="B174" s="583" t="s">
        <v>521</v>
      </c>
      <c r="C174" s="580"/>
      <c r="D174" s="636">
        <v>156620</v>
      </c>
      <c r="E174" s="586">
        <v>3</v>
      </c>
      <c r="F174" s="491" t="s">
        <v>41</v>
      </c>
      <c r="G174" s="492" t="s">
        <v>41</v>
      </c>
      <c r="H174" s="456"/>
      <c r="I174" s="493"/>
      <c r="J174" s="456">
        <v>159741</v>
      </c>
      <c r="K174" s="493">
        <v>162997</v>
      </c>
      <c r="L174" s="456">
        <v>18990</v>
      </c>
      <c r="M174" s="493">
        <v>18605</v>
      </c>
      <c r="N174" s="456">
        <v>177679</v>
      </c>
      <c r="O174" s="493">
        <v>181140</v>
      </c>
      <c r="P174" s="449">
        <f t="shared" si="69"/>
        <v>356410</v>
      </c>
      <c r="Q174" s="450">
        <f t="shared" si="70"/>
        <v>11880.333333333334</v>
      </c>
      <c r="R174" s="451">
        <f t="shared" si="71"/>
        <v>362742</v>
      </c>
      <c r="S174" s="452">
        <f t="shared" si="72"/>
        <v>12091.4</v>
      </c>
      <c r="T174" s="456">
        <v>4776</v>
      </c>
      <c r="U174" s="493">
        <v>5958</v>
      </c>
      <c r="V174" s="449">
        <f t="shared" si="73"/>
        <v>356410</v>
      </c>
      <c r="W174" s="448">
        <f t="shared" si="74"/>
        <v>362742</v>
      </c>
      <c r="X174" s="456"/>
      <c r="Y174" s="493"/>
      <c r="Z174" s="456"/>
      <c r="AA174" s="493"/>
      <c r="AB174" s="456"/>
      <c r="AC174" s="493"/>
      <c r="AD174" s="456"/>
      <c r="AE174" s="493"/>
      <c r="AF174" s="449">
        <f t="shared" si="75"/>
        <v>0</v>
      </c>
      <c r="AG174" s="450">
        <f t="shared" si="76"/>
        <v>0</v>
      </c>
      <c r="AH174" s="451">
        <f t="shared" si="77"/>
        <v>0</v>
      </c>
      <c r="AI174" s="451">
        <f t="shared" si="78"/>
        <v>0</v>
      </c>
      <c r="AJ174" s="456"/>
      <c r="AK174" s="493"/>
      <c r="AL174" s="449">
        <f t="shared" si="79"/>
        <v>0</v>
      </c>
      <c r="AM174" s="452">
        <f t="shared" si="80"/>
        <v>0</v>
      </c>
      <c r="AN174" s="456"/>
      <c r="AO174" s="493"/>
      <c r="AP174" s="456">
        <v>15375</v>
      </c>
      <c r="AQ174" s="493">
        <v>16466</v>
      </c>
      <c r="AR174" s="456">
        <v>8794</v>
      </c>
      <c r="AS174" s="493">
        <v>9239</v>
      </c>
      <c r="AT174" s="456">
        <v>16182</v>
      </c>
      <c r="AU174" s="493">
        <v>17068</v>
      </c>
      <c r="AV174" s="449">
        <f t="shared" si="81"/>
        <v>40351</v>
      </c>
      <c r="AW174" s="453">
        <f t="shared" si="82"/>
        <v>1681.2916666666667</v>
      </c>
      <c r="AX174" s="451">
        <f t="shared" si="83"/>
        <v>42773</v>
      </c>
      <c r="AY174" s="454">
        <f t="shared" si="84"/>
        <v>1782.2083333333333</v>
      </c>
      <c r="AZ174" s="455">
        <f t="shared" si="85"/>
        <v>13561.625</v>
      </c>
      <c r="BA174" s="451">
        <f t="shared" si="86"/>
        <v>13873.608333333334</v>
      </c>
    </row>
    <row r="175" spans="1:53">
      <c r="A175" s="578" t="s">
        <v>219</v>
      </c>
      <c r="B175" s="637" t="s">
        <v>522</v>
      </c>
      <c r="C175" s="580"/>
      <c r="D175" s="636">
        <v>157386</v>
      </c>
      <c r="E175" s="586">
        <v>3</v>
      </c>
      <c r="F175" s="491" t="s">
        <v>41</v>
      </c>
      <c r="G175" s="492" t="s">
        <v>41</v>
      </c>
      <c r="H175" s="456"/>
      <c r="I175" s="493"/>
      <c r="J175" s="456">
        <v>94329</v>
      </c>
      <c r="K175" s="493">
        <v>93581</v>
      </c>
      <c r="L175" s="456">
        <v>7120</v>
      </c>
      <c r="M175" s="493">
        <v>7540</v>
      </c>
      <c r="N175" s="456">
        <v>106770</v>
      </c>
      <c r="O175" s="493">
        <v>105850</v>
      </c>
      <c r="P175" s="449">
        <f t="shared" si="69"/>
        <v>208219</v>
      </c>
      <c r="Q175" s="450">
        <f t="shared" si="70"/>
        <v>6940.6333333333332</v>
      </c>
      <c r="R175" s="451">
        <f t="shared" si="71"/>
        <v>206971</v>
      </c>
      <c r="S175" s="452">
        <f t="shared" si="72"/>
        <v>6899.0333333333338</v>
      </c>
      <c r="T175" s="456">
        <v>16600</v>
      </c>
      <c r="U175" s="493">
        <v>17436</v>
      </c>
      <c r="V175" s="449">
        <f t="shared" si="73"/>
        <v>208219</v>
      </c>
      <c r="W175" s="448">
        <f t="shared" si="74"/>
        <v>206971</v>
      </c>
      <c r="X175" s="456"/>
      <c r="Y175" s="493"/>
      <c r="Z175" s="456"/>
      <c r="AA175" s="493"/>
      <c r="AB175" s="456"/>
      <c r="AC175" s="493"/>
      <c r="AD175" s="456"/>
      <c r="AE175" s="493"/>
      <c r="AF175" s="449">
        <f t="shared" si="75"/>
        <v>0</v>
      </c>
      <c r="AG175" s="450">
        <f t="shared" si="76"/>
        <v>0</v>
      </c>
      <c r="AH175" s="451">
        <f t="shared" si="77"/>
        <v>0</v>
      </c>
      <c r="AI175" s="451">
        <f t="shared" si="78"/>
        <v>0</v>
      </c>
      <c r="AJ175" s="456"/>
      <c r="AK175" s="493"/>
      <c r="AL175" s="449">
        <f t="shared" si="79"/>
        <v>0</v>
      </c>
      <c r="AM175" s="452">
        <f t="shared" si="80"/>
        <v>0</v>
      </c>
      <c r="AN175" s="456"/>
      <c r="AO175" s="493"/>
      <c r="AP175" s="456">
        <v>7024</v>
      </c>
      <c r="AQ175" s="493">
        <v>6314</v>
      </c>
      <c r="AR175" s="456">
        <v>3396</v>
      </c>
      <c r="AS175" s="493">
        <v>3275</v>
      </c>
      <c r="AT175" s="456">
        <v>6712</v>
      </c>
      <c r="AU175" s="493">
        <v>6414</v>
      </c>
      <c r="AV175" s="449">
        <f t="shared" si="81"/>
        <v>17132</v>
      </c>
      <c r="AW175" s="453">
        <f t="shared" si="82"/>
        <v>713.83333333333337</v>
      </c>
      <c r="AX175" s="451">
        <f t="shared" si="83"/>
        <v>16003</v>
      </c>
      <c r="AY175" s="454">
        <f t="shared" si="84"/>
        <v>666.79166666666663</v>
      </c>
      <c r="AZ175" s="455">
        <f t="shared" si="85"/>
        <v>7654.4666666666662</v>
      </c>
      <c r="BA175" s="451">
        <f t="shared" si="86"/>
        <v>7565.8250000000007</v>
      </c>
    </row>
    <row r="176" spans="1:53">
      <c r="A176" s="578" t="s">
        <v>219</v>
      </c>
      <c r="B176" s="583" t="s">
        <v>523</v>
      </c>
      <c r="C176" s="580"/>
      <c r="D176" s="636">
        <v>157401</v>
      </c>
      <c r="E176" s="586">
        <v>3</v>
      </c>
      <c r="F176" s="491" t="s">
        <v>41</v>
      </c>
      <c r="G176" s="492" t="s">
        <v>41</v>
      </c>
      <c r="H176" s="456"/>
      <c r="I176" s="493"/>
      <c r="J176" s="456">
        <v>106696</v>
      </c>
      <c r="K176" s="493">
        <v>109878</v>
      </c>
      <c r="L176" s="456">
        <v>8016</v>
      </c>
      <c r="M176" s="493">
        <v>8530</v>
      </c>
      <c r="N176" s="456">
        <v>119608</v>
      </c>
      <c r="O176" s="493">
        <v>117423</v>
      </c>
      <c r="P176" s="449">
        <f t="shared" si="69"/>
        <v>234320</v>
      </c>
      <c r="Q176" s="450">
        <f t="shared" si="70"/>
        <v>7810.666666666667</v>
      </c>
      <c r="R176" s="451">
        <f t="shared" si="71"/>
        <v>235831</v>
      </c>
      <c r="S176" s="452">
        <f t="shared" si="72"/>
        <v>7861.0333333333338</v>
      </c>
      <c r="T176" s="456">
        <v>5085</v>
      </c>
      <c r="U176" s="493">
        <v>6579</v>
      </c>
      <c r="V176" s="449">
        <f t="shared" si="73"/>
        <v>234320</v>
      </c>
      <c r="W176" s="448">
        <f t="shared" si="74"/>
        <v>235831</v>
      </c>
      <c r="X176" s="456"/>
      <c r="Y176" s="493"/>
      <c r="Z176" s="456"/>
      <c r="AA176" s="493"/>
      <c r="AB176" s="456"/>
      <c r="AC176" s="493"/>
      <c r="AD176" s="456"/>
      <c r="AE176" s="493"/>
      <c r="AF176" s="449">
        <f t="shared" si="75"/>
        <v>0</v>
      </c>
      <c r="AG176" s="450">
        <f t="shared" si="76"/>
        <v>0</v>
      </c>
      <c r="AH176" s="451">
        <f t="shared" si="77"/>
        <v>0</v>
      </c>
      <c r="AI176" s="451">
        <f t="shared" si="78"/>
        <v>0</v>
      </c>
      <c r="AJ176" s="456"/>
      <c r="AK176" s="493"/>
      <c r="AL176" s="449">
        <f t="shared" si="79"/>
        <v>0</v>
      </c>
      <c r="AM176" s="452">
        <f t="shared" si="80"/>
        <v>0</v>
      </c>
      <c r="AN176" s="456"/>
      <c r="AO176" s="493"/>
      <c r="AP176" s="456">
        <v>11578</v>
      </c>
      <c r="AQ176" s="493">
        <v>11682</v>
      </c>
      <c r="AR176" s="456">
        <v>4901</v>
      </c>
      <c r="AS176" s="493">
        <v>5044</v>
      </c>
      <c r="AT176" s="456">
        <v>11659</v>
      </c>
      <c r="AU176" s="493">
        <v>11649</v>
      </c>
      <c r="AV176" s="449">
        <f t="shared" si="81"/>
        <v>28138</v>
      </c>
      <c r="AW176" s="453">
        <f t="shared" si="82"/>
        <v>1172.4166666666667</v>
      </c>
      <c r="AX176" s="451">
        <f t="shared" si="83"/>
        <v>28375</v>
      </c>
      <c r="AY176" s="454">
        <f t="shared" si="84"/>
        <v>1182.2916666666667</v>
      </c>
      <c r="AZ176" s="455">
        <f t="shared" si="85"/>
        <v>8983.0833333333339</v>
      </c>
      <c r="BA176" s="451">
        <f t="shared" si="86"/>
        <v>9043.3250000000007</v>
      </c>
    </row>
    <row r="177" spans="1:53">
      <c r="A177" s="578" t="s">
        <v>219</v>
      </c>
      <c r="B177" s="583" t="s">
        <v>524</v>
      </c>
      <c r="C177" s="585"/>
      <c r="D177" s="636">
        <v>157447</v>
      </c>
      <c r="E177" s="641">
        <v>3</v>
      </c>
      <c r="F177" s="491" t="s">
        <v>41</v>
      </c>
      <c r="G177" s="492" t="s">
        <v>41</v>
      </c>
      <c r="H177" s="456"/>
      <c r="I177" s="493"/>
      <c r="J177" s="456">
        <v>145971</v>
      </c>
      <c r="K177" s="493">
        <v>144915</v>
      </c>
      <c r="L177" s="456">
        <v>17095</v>
      </c>
      <c r="M177" s="493">
        <v>15585</v>
      </c>
      <c r="N177" s="456">
        <v>158873</v>
      </c>
      <c r="O177" s="493">
        <v>156966</v>
      </c>
      <c r="P177" s="449">
        <f t="shared" si="69"/>
        <v>321939</v>
      </c>
      <c r="Q177" s="450">
        <f t="shared" si="70"/>
        <v>10731.3</v>
      </c>
      <c r="R177" s="451">
        <f t="shared" si="71"/>
        <v>317466</v>
      </c>
      <c r="S177" s="452">
        <f t="shared" si="72"/>
        <v>10582.2</v>
      </c>
      <c r="T177" s="456">
        <v>6004</v>
      </c>
      <c r="U177" s="493">
        <v>7461</v>
      </c>
      <c r="V177" s="449">
        <f t="shared" si="73"/>
        <v>321939</v>
      </c>
      <c r="W177" s="448">
        <f t="shared" si="74"/>
        <v>317466</v>
      </c>
      <c r="X177" s="456"/>
      <c r="Y177" s="493"/>
      <c r="Z177" s="456"/>
      <c r="AA177" s="493"/>
      <c r="AB177" s="456"/>
      <c r="AC177" s="493"/>
      <c r="AD177" s="456"/>
      <c r="AE177" s="493"/>
      <c r="AF177" s="449">
        <f t="shared" si="75"/>
        <v>0</v>
      </c>
      <c r="AG177" s="450">
        <f t="shared" si="76"/>
        <v>0</v>
      </c>
      <c r="AH177" s="451">
        <f t="shared" si="77"/>
        <v>0</v>
      </c>
      <c r="AI177" s="451">
        <f t="shared" si="78"/>
        <v>0</v>
      </c>
      <c r="AJ177" s="456"/>
      <c r="AK177" s="493"/>
      <c r="AL177" s="449">
        <f t="shared" si="79"/>
        <v>0</v>
      </c>
      <c r="AM177" s="452">
        <f t="shared" si="80"/>
        <v>0</v>
      </c>
      <c r="AN177" s="456"/>
      <c r="AO177" s="493"/>
      <c r="AP177" s="456">
        <v>15817</v>
      </c>
      <c r="AQ177" s="493">
        <v>14027</v>
      </c>
      <c r="AR177" s="456">
        <v>5570</v>
      </c>
      <c r="AS177" s="493">
        <v>4691</v>
      </c>
      <c r="AT177" s="456">
        <v>14727</v>
      </c>
      <c r="AU177" s="493">
        <v>14471</v>
      </c>
      <c r="AV177" s="449">
        <f t="shared" si="81"/>
        <v>36114</v>
      </c>
      <c r="AW177" s="453">
        <f t="shared" si="82"/>
        <v>1504.75</v>
      </c>
      <c r="AX177" s="451">
        <f t="shared" si="83"/>
        <v>33189</v>
      </c>
      <c r="AY177" s="454">
        <f t="shared" si="84"/>
        <v>1382.875</v>
      </c>
      <c r="AZ177" s="455">
        <f t="shared" si="85"/>
        <v>12236.05</v>
      </c>
      <c r="BA177" s="451">
        <f t="shared" si="86"/>
        <v>11965.075000000001</v>
      </c>
    </row>
    <row r="178" spans="1:53">
      <c r="A178" s="578" t="s">
        <v>219</v>
      </c>
      <c r="B178" s="583" t="s">
        <v>525</v>
      </c>
      <c r="C178" s="580"/>
      <c r="D178" s="636">
        <v>157951</v>
      </c>
      <c r="E178" s="586">
        <v>3</v>
      </c>
      <c r="F178" s="491" t="s">
        <v>41</v>
      </c>
      <c r="G178" s="492" t="s">
        <v>41</v>
      </c>
      <c r="H178" s="456"/>
      <c r="I178" s="493"/>
      <c r="J178" s="456">
        <v>200601</v>
      </c>
      <c r="K178" s="493">
        <v>198661</v>
      </c>
      <c r="L178" s="456">
        <v>22467</v>
      </c>
      <c r="M178" s="493">
        <v>21715</v>
      </c>
      <c r="N178" s="456">
        <v>213456</v>
      </c>
      <c r="O178" s="493">
        <v>212833</v>
      </c>
      <c r="P178" s="449">
        <f t="shared" si="69"/>
        <v>436524</v>
      </c>
      <c r="Q178" s="450">
        <f t="shared" si="70"/>
        <v>14550.8</v>
      </c>
      <c r="R178" s="451">
        <f t="shared" si="71"/>
        <v>433209</v>
      </c>
      <c r="S178" s="452">
        <f t="shared" si="72"/>
        <v>14440.3</v>
      </c>
      <c r="T178" s="456">
        <v>14533</v>
      </c>
      <c r="U178" s="493">
        <v>16299</v>
      </c>
      <c r="V178" s="449">
        <f t="shared" si="73"/>
        <v>436524</v>
      </c>
      <c r="W178" s="448">
        <f t="shared" si="74"/>
        <v>433209</v>
      </c>
      <c r="X178" s="456"/>
      <c r="Y178" s="493"/>
      <c r="Z178" s="456"/>
      <c r="AA178" s="493"/>
      <c r="AB178" s="456"/>
      <c r="AC178" s="493"/>
      <c r="AD178" s="456"/>
      <c r="AE178" s="493"/>
      <c r="AF178" s="449">
        <f t="shared" si="75"/>
        <v>0</v>
      </c>
      <c r="AG178" s="450">
        <f t="shared" si="76"/>
        <v>0</v>
      </c>
      <c r="AH178" s="451">
        <f t="shared" si="77"/>
        <v>0</v>
      </c>
      <c r="AI178" s="451">
        <f t="shared" si="78"/>
        <v>0</v>
      </c>
      <c r="AJ178" s="456"/>
      <c r="AK178" s="493"/>
      <c r="AL178" s="449">
        <f t="shared" si="79"/>
        <v>0</v>
      </c>
      <c r="AM178" s="452">
        <f t="shared" si="80"/>
        <v>0</v>
      </c>
      <c r="AN178" s="456"/>
      <c r="AO178" s="493"/>
      <c r="AP178" s="456">
        <v>17635</v>
      </c>
      <c r="AQ178" s="493">
        <v>17430</v>
      </c>
      <c r="AR178" s="456">
        <v>7380</v>
      </c>
      <c r="AS178" s="493">
        <v>7874</v>
      </c>
      <c r="AT178" s="456">
        <v>17326</v>
      </c>
      <c r="AU178" s="493">
        <v>17400</v>
      </c>
      <c r="AV178" s="449">
        <f t="shared" si="81"/>
        <v>42341</v>
      </c>
      <c r="AW178" s="453">
        <f t="shared" si="82"/>
        <v>1764.2083333333333</v>
      </c>
      <c r="AX178" s="451">
        <f t="shared" si="83"/>
        <v>42704</v>
      </c>
      <c r="AY178" s="454">
        <f t="shared" si="84"/>
        <v>1779.3333333333333</v>
      </c>
      <c r="AZ178" s="455">
        <f t="shared" si="85"/>
        <v>16315.008333333333</v>
      </c>
      <c r="BA178" s="451">
        <f t="shared" si="86"/>
        <v>16219.633333333333</v>
      </c>
    </row>
    <row r="179" spans="1:53">
      <c r="A179" s="578" t="s">
        <v>219</v>
      </c>
      <c r="B179" s="637" t="s">
        <v>526</v>
      </c>
      <c r="C179" s="580"/>
      <c r="D179" s="636">
        <v>157058</v>
      </c>
      <c r="E179" s="586">
        <v>4</v>
      </c>
      <c r="F179" s="491" t="s">
        <v>41</v>
      </c>
      <c r="G179" s="492" t="s">
        <v>41</v>
      </c>
      <c r="H179" s="456"/>
      <c r="I179" s="493"/>
      <c r="J179" s="456">
        <v>22361</v>
      </c>
      <c r="K179" s="493">
        <v>21950</v>
      </c>
      <c r="L179" s="456">
        <v>1839</v>
      </c>
      <c r="M179" s="493">
        <v>805</v>
      </c>
      <c r="N179" s="456">
        <v>22943</v>
      </c>
      <c r="O179" s="493">
        <v>18401</v>
      </c>
      <c r="P179" s="449">
        <f t="shared" si="69"/>
        <v>47143</v>
      </c>
      <c r="Q179" s="450">
        <f t="shared" si="70"/>
        <v>1571.4333333333334</v>
      </c>
      <c r="R179" s="451">
        <f t="shared" si="71"/>
        <v>41156</v>
      </c>
      <c r="S179" s="452">
        <f t="shared" si="72"/>
        <v>1371.8666666666666</v>
      </c>
      <c r="T179" s="456">
        <v>1470</v>
      </c>
      <c r="U179" s="493">
        <v>1697</v>
      </c>
      <c r="V179" s="449">
        <f t="shared" si="73"/>
        <v>47143</v>
      </c>
      <c r="W179" s="448">
        <f t="shared" si="74"/>
        <v>41156</v>
      </c>
      <c r="X179" s="456"/>
      <c r="Y179" s="493"/>
      <c r="Z179" s="456"/>
      <c r="AA179" s="493"/>
      <c r="AB179" s="456"/>
      <c r="AC179" s="493"/>
      <c r="AD179" s="456"/>
      <c r="AE179" s="493"/>
      <c r="AF179" s="449">
        <f t="shared" si="75"/>
        <v>0</v>
      </c>
      <c r="AG179" s="450">
        <f t="shared" si="76"/>
        <v>0</v>
      </c>
      <c r="AH179" s="451">
        <f t="shared" si="77"/>
        <v>0</v>
      </c>
      <c r="AI179" s="451">
        <f t="shared" si="78"/>
        <v>0</v>
      </c>
      <c r="AJ179" s="456"/>
      <c r="AK179" s="493"/>
      <c r="AL179" s="449">
        <f t="shared" si="79"/>
        <v>0</v>
      </c>
      <c r="AM179" s="452">
        <f t="shared" si="80"/>
        <v>0</v>
      </c>
      <c r="AN179" s="456"/>
      <c r="AO179" s="493"/>
      <c r="AP179" s="456">
        <v>959</v>
      </c>
      <c r="AQ179" s="493">
        <v>959</v>
      </c>
      <c r="AR179" s="456">
        <v>93</v>
      </c>
      <c r="AS179" s="493">
        <v>148</v>
      </c>
      <c r="AT179" s="456">
        <v>969</v>
      </c>
      <c r="AU179" s="493">
        <v>1102</v>
      </c>
      <c r="AV179" s="449">
        <f t="shared" si="81"/>
        <v>2021</v>
      </c>
      <c r="AW179" s="453">
        <f t="shared" si="82"/>
        <v>84.208333333333329</v>
      </c>
      <c r="AX179" s="451">
        <f t="shared" si="83"/>
        <v>2209</v>
      </c>
      <c r="AY179" s="454">
        <f t="shared" si="84"/>
        <v>92.041666666666671</v>
      </c>
      <c r="AZ179" s="455">
        <f t="shared" si="85"/>
        <v>1655.6416666666667</v>
      </c>
      <c r="BA179" s="451">
        <f t="shared" si="86"/>
        <v>1463.9083333333333</v>
      </c>
    </row>
    <row r="180" spans="1:53">
      <c r="A180" s="578" t="s">
        <v>219</v>
      </c>
      <c r="B180" s="583" t="s">
        <v>527</v>
      </c>
      <c r="C180" s="584"/>
      <c r="D180" s="581">
        <v>157173</v>
      </c>
      <c r="E180" s="582">
        <v>8</v>
      </c>
      <c r="F180" s="491" t="s">
        <v>41</v>
      </c>
      <c r="G180" s="492" t="s">
        <v>41</v>
      </c>
      <c r="H180" s="456"/>
      <c r="I180" s="493"/>
      <c r="J180" s="456">
        <v>99969</v>
      </c>
      <c r="K180" s="493">
        <v>89936</v>
      </c>
      <c r="L180" s="456">
        <v>19109</v>
      </c>
      <c r="M180" s="493">
        <v>17502</v>
      </c>
      <c r="N180" s="456">
        <v>102655</v>
      </c>
      <c r="O180" s="493">
        <v>96789</v>
      </c>
      <c r="P180" s="449">
        <f t="shared" si="69"/>
        <v>221733</v>
      </c>
      <c r="Q180" s="450">
        <f t="shared" si="70"/>
        <v>7391.1</v>
      </c>
      <c r="R180" s="451">
        <f t="shared" si="71"/>
        <v>204227</v>
      </c>
      <c r="S180" s="452">
        <f t="shared" si="72"/>
        <v>6807.5666666666666</v>
      </c>
      <c r="T180" s="456">
        <v>7257</v>
      </c>
      <c r="U180" s="493">
        <v>7589</v>
      </c>
      <c r="V180" s="449">
        <f t="shared" si="73"/>
        <v>221733</v>
      </c>
      <c r="W180" s="448">
        <f t="shared" si="74"/>
        <v>204227</v>
      </c>
      <c r="X180" s="456"/>
      <c r="Y180" s="493"/>
      <c r="Z180" s="456"/>
      <c r="AA180" s="493"/>
      <c r="AB180" s="456"/>
      <c r="AC180" s="493"/>
      <c r="AD180" s="456"/>
      <c r="AE180" s="493"/>
      <c r="AF180" s="449">
        <f t="shared" si="75"/>
        <v>0</v>
      </c>
      <c r="AG180" s="450">
        <f t="shared" si="76"/>
        <v>0</v>
      </c>
      <c r="AH180" s="451">
        <f t="shared" si="77"/>
        <v>0</v>
      </c>
      <c r="AI180" s="451">
        <f t="shared" si="78"/>
        <v>0</v>
      </c>
      <c r="AJ180" s="456"/>
      <c r="AK180" s="493"/>
      <c r="AL180" s="449">
        <f t="shared" si="79"/>
        <v>0</v>
      </c>
      <c r="AM180" s="452">
        <f t="shared" si="80"/>
        <v>0</v>
      </c>
      <c r="AN180" s="456"/>
      <c r="AO180" s="493"/>
      <c r="AP180" s="456"/>
      <c r="AQ180" s="493"/>
      <c r="AR180" s="456"/>
      <c r="AS180" s="493"/>
      <c r="AT180" s="456"/>
      <c r="AU180" s="493"/>
      <c r="AV180" s="449">
        <f t="shared" si="81"/>
        <v>0</v>
      </c>
      <c r="AW180" s="453">
        <f t="shared" si="82"/>
        <v>0</v>
      </c>
      <c r="AX180" s="451">
        <f t="shared" si="83"/>
        <v>0</v>
      </c>
      <c r="AY180" s="454">
        <f t="shared" si="84"/>
        <v>0</v>
      </c>
      <c r="AZ180" s="455">
        <f t="shared" si="85"/>
        <v>7391.1</v>
      </c>
      <c r="BA180" s="451">
        <f t="shared" si="86"/>
        <v>6807.5666666666666</v>
      </c>
    </row>
    <row r="181" spans="1:53">
      <c r="A181" s="578" t="s">
        <v>219</v>
      </c>
      <c r="B181" s="583" t="s">
        <v>528</v>
      </c>
      <c r="C181" s="584"/>
      <c r="D181" s="581">
        <v>156921</v>
      </c>
      <c r="E181" s="582">
        <v>8</v>
      </c>
      <c r="F181" s="491" t="s">
        <v>41</v>
      </c>
      <c r="G181" s="492" t="s">
        <v>41</v>
      </c>
      <c r="H181" s="456"/>
      <c r="I181" s="493"/>
      <c r="J181" s="456">
        <v>94840</v>
      </c>
      <c r="K181" s="493">
        <v>97225</v>
      </c>
      <c r="L181" s="456">
        <v>14499</v>
      </c>
      <c r="M181" s="493">
        <v>14450</v>
      </c>
      <c r="N181" s="456">
        <v>110903</v>
      </c>
      <c r="O181" s="493">
        <v>102031</v>
      </c>
      <c r="P181" s="449">
        <f t="shared" si="69"/>
        <v>220242</v>
      </c>
      <c r="Q181" s="450">
        <f t="shared" si="70"/>
        <v>7341.4</v>
      </c>
      <c r="R181" s="451">
        <f t="shared" si="71"/>
        <v>213706</v>
      </c>
      <c r="S181" s="452">
        <f t="shared" si="72"/>
        <v>7123.5333333333338</v>
      </c>
      <c r="T181" s="456">
        <v>10934</v>
      </c>
      <c r="U181" s="493">
        <v>11730</v>
      </c>
      <c r="V181" s="449">
        <f t="shared" si="73"/>
        <v>220242</v>
      </c>
      <c r="W181" s="448">
        <f t="shared" si="74"/>
        <v>213706</v>
      </c>
      <c r="X181" s="456"/>
      <c r="Y181" s="493"/>
      <c r="Z181" s="456"/>
      <c r="AA181" s="493"/>
      <c r="AB181" s="456"/>
      <c r="AC181" s="493"/>
      <c r="AD181" s="456"/>
      <c r="AE181" s="493"/>
      <c r="AF181" s="449">
        <f t="shared" si="75"/>
        <v>0</v>
      </c>
      <c r="AG181" s="450">
        <f t="shared" si="76"/>
        <v>0</v>
      </c>
      <c r="AH181" s="451">
        <f t="shared" si="77"/>
        <v>0</v>
      </c>
      <c r="AI181" s="451">
        <f t="shared" si="78"/>
        <v>0</v>
      </c>
      <c r="AJ181" s="456"/>
      <c r="AK181" s="493"/>
      <c r="AL181" s="449">
        <f t="shared" si="79"/>
        <v>0</v>
      </c>
      <c r="AM181" s="452">
        <f t="shared" si="80"/>
        <v>0</v>
      </c>
      <c r="AN181" s="456"/>
      <c r="AO181" s="493"/>
      <c r="AP181" s="456"/>
      <c r="AQ181" s="493"/>
      <c r="AR181" s="456"/>
      <c r="AS181" s="493"/>
      <c r="AT181" s="456"/>
      <c r="AU181" s="493"/>
      <c r="AV181" s="449">
        <f t="shared" si="81"/>
        <v>0</v>
      </c>
      <c r="AW181" s="453">
        <f t="shared" si="82"/>
        <v>0</v>
      </c>
      <c r="AX181" s="451">
        <f t="shared" si="83"/>
        <v>0</v>
      </c>
      <c r="AY181" s="454">
        <f t="shared" si="84"/>
        <v>0</v>
      </c>
      <c r="AZ181" s="455">
        <f t="shared" si="85"/>
        <v>7341.4</v>
      </c>
      <c r="BA181" s="451">
        <f t="shared" si="86"/>
        <v>7123.5333333333338</v>
      </c>
    </row>
    <row r="182" spans="1:53">
      <c r="A182" s="578" t="s">
        <v>219</v>
      </c>
      <c r="B182" s="583" t="s">
        <v>529</v>
      </c>
      <c r="C182" s="584"/>
      <c r="D182" s="581">
        <v>156231</v>
      </c>
      <c r="E182" s="582">
        <v>9</v>
      </c>
      <c r="F182" s="491" t="s">
        <v>41</v>
      </c>
      <c r="G182" s="492" t="s">
        <v>41</v>
      </c>
      <c r="H182" s="456"/>
      <c r="I182" s="493"/>
      <c r="J182" s="456">
        <v>33666</v>
      </c>
      <c r="K182" s="493">
        <v>27667</v>
      </c>
      <c r="L182" s="456">
        <v>5823</v>
      </c>
      <c r="M182" s="493">
        <v>4452</v>
      </c>
      <c r="N182" s="456">
        <v>33936</v>
      </c>
      <c r="O182" s="493">
        <v>30228</v>
      </c>
      <c r="P182" s="449">
        <f t="shared" si="69"/>
        <v>73425</v>
      </c>
      <c r="Q182" s="450">
        <f t="shared" si="70"/>
        <v>2447.5</v>
      </c>
      <c r="R182" s="451">
        <f t="shared" si="71"/>
        <v>62347</v>
      </c>
      <c r="S182" s="452">
        <f t="shared" si="72"/>
        <v>2078.2333333333331</v>
      </c>
      <c r="T182" s="456">
        <v>3897</v>
      </c>
      <c r="U182" s="493">
        <v>3619</v>
      </c>
      <c r="V182" s="449">
        <f t="shared" si="73"/>
        <v>73425</v>
      </c>
      <c r="W182" s="448">
        <f t="shared" si="74"/>
        <v>62347</v>
      </c>
      <c r="X182" s="456"/>
      <c r="Y182" s="493"/>
      <c r="Z182" s="456"/>
      <c r="AA182" s="493"/>
      <c r="AB182" s="456"/>
      <c r="AC182" s="493"/>
      <c r="AD182" s="456"/>
      <c r="AE182" s="493"/>
      <c r="AF182" s="449">
        <f t="shared" si="75"/>
        <v>0</v>
      </c>
      <c r="AG182" s="450">
        <f t="shared" si="76"/>
        <v>0</v>
      </c>
      <c r="AH182" s="451">
        <f t="shared" si="77"/>
        <v>0</v>
      </c>
      <c r="AI182" s="451">
        <f t="shared" si="78"/>
        <v>0</v>
      </c>
      <c r="AJ182" s="456"/>
      <c r="AK182" s="493"/>
      <c r="AL182" s="449">
        <f t="shared" si="79"/>
        <v>0</v>
      </c>
      <c r="AM182" s="452">
        <f t="shared" si="80"/>
        <v>0</v>
      </c>
      <c r="AN182" s="456"/>
      <c r="AO182" s="493"/>
      <c r="AP182" s="456"/>
      <c r="AQ182" s="493"/>
      <c r="AR182" s="456"/>
      <c r="AS182" s="493"/>
      <c r="AT182" s="456"/>
      <c r="AU182" s="493"/>
      <c r="AV182" s="449">
        <f t="shared" si="81"/>
        <v>0</v>
      </c>
      <c r="AW182" s="453">
        <f t="shared" si="82"/>
        <v>0</v>
      </c>
      <c r="AX182" s="451">
        <f t="shared" si="83"/>
        <v>0</v>
      </c>
      <c r="AY182" s="454">
        <f t="shared" si="84"/>
        <v>0</v>
      </c>
      <c r="AZ182" s="455">
        <f t="shared" si="85"/>
        <v>2447.5</v>
      </c>
      <c r="BA182" s="451">
        <f t="shared" si="86"/>
        <v>2078.2333333333331</v>
      </c>
    </row>
    <row r="183" spans="1:53">
      <c r="A183" s="578" t="s">
        <v>219</v>
      </c>
      <c r="B183" s="583" t="s">
        <v>530</v>
      </c>
      <c r="C183" s="584"/>
      <c r="D183" s="638">
        <v>157553</v>
      </c>
      <c r="E183" s="582">
        <v>9</v>
      </c>
      <c r="F183" s="491" t="s">
        <v>41</v>
      </c>
      <c r="G183" s="492" t="s">
        <v>41</v>
      </c>
      <c r="H183" s="456"/>
      <c r="I183" s="493"/>
      <c r="J183" s="456">
        <v>34031</v>
      </c>
      <c r="K183" s="493">
        <v>33971</v>
      </c>
      <c r="L183" s="456">
        <v>4088</v>
      </c>
      <c r="M183" s="493">
        <v>3529</v>
      </c>
      <c r="N183" s="456">
        <v>37235</v>
      </c>
      <c r="O183" s="493">
        <v>36500</v>
      </c>
      <c r="P183" s="449">
        <f t="shared" si="69"/>
        <v>75354</v>
      </c>
      <c r="Q183" s="450">
        <f t="shared" si="70"/>
        <v>2511.8000000000002</v>
      </c>
      <c r="R183" s="451">
        <f t="shared" si="71"/>
        <v>74000</v>
      </c>
      <c r="S183" s="452">
        <f t="shared" si="72"/>
        <v>2466.6666666666665</v>
      </c>
      <c r="T183" s="456">
        <v>2759</v>
      </c>
      <c r="U183" s="493">
        <v>4007</v>
      </c>
      <c r="V183" s="449">
        <f t="shared" si="73"/>
        <v>75354</v>
      </c>
      <c r="W183" s="448">
        <f t="shared" si="74"/>
        <v>74000</v>
      </c>
      <c r="X183" s="456"/>
      <c r="Y183" s="493"/>
      <c r="Z183" s="456"/>
      <c r="AA183" s="493"/>
      <c r="AB183" s="456"/>
      <c r="AC183" s="493"/>
      <c r="AD183" s="456"/>
      <c r="AE183" s="493"/>
      <c r="AF183" s="449">
        <f t="shared" si="75"/>
        <v>0</v>
      </c>
      <c r="AG183" s="450">
        <f t="shared" si="76"/>
        <v>0</v>
      </c>
      <c r="AH183" s="451">
        <f t="shared" si="77"/>
        <v>0</v>
      </c>
      <c r="AI183" s="451">
        <f t="shared" si="78"/>
        <v>0</v>
      </c>
      <c r="AJ183" s="456"/>
      <c r="AK183" s="493"/>
      <c r="AL183" s="449">
        <f t="shared" si="79"/>
        <v>0</v>
      </c>
      <c r="AM183" s="452">
        <f t="shared" si="80"/>
        <v>0</v>
      </c>
      <c r="AN183" s="456"/>
      <c r="AO183" s="493"/>
      <c r="AP183" s="456"/>
      <c r="AQ183" s="493"/>
      <c r="AR183" s="456"/>
      <c r="AS183" s="493"/>
      <c r="AT183" s="456"/>
      <c r="AU183" s="493"/>
      <c r="AV183" s="449">
        <f t="shared" si="81"/>
        <v>0</v>
      </c>
      <c r="AW183" s="453">
        <f t="shared" si="82"/>
        <v>0</v>
      </c>
      <c r="AX183" s="451">
        <f t="shared" si="83"/>
        <v>0</v>
      </c>
      <c r="AY183" s="454">
        <f t="shared" si="84"/>
        <v>0</v>
      </c>
      <c r="AZ183" s="455">
        <f t="shared" si="85"/>
        <v>2511.8000000000002</v>
      </c>
      <c r="BA183" s="451">
        <f t="shared" si="86"/>
        <v>2466.6666666666665</v>
      </c>
    </row>
    <row r="184" spans="1:53">
      <c r="A184" s="578" t="s">
        <v>219</v>
      </c>
      <c r="B184" s="583" t="s">
        <v>531</v>
      </c>
      <c r="C184" s="584"/>
      <c r="D184" s="638">
        <v>156648</v>
      </c>
      <c r="E184" s="582">
        <v>9</v>
      </c>
      <c r="F184" s="491" t="s">
        <v>41</v>
      </c>
      <c r="G184" s="492" t="s">
        <v>41</v>
      </c>
      <c r="H184" s="456"/>
      <c r="I184" s="493"/>
      <c r="J184" s="456">
        <v>49471</v>
      </c>
      <c r="K184" s="493">
        <v>46819</v>
      </c>
      <c r="L184" s="456">
        <v>7296</v>
      </c>
      <c r="M184" s="493">
        <v>7749</v>
      </c>
      <c r="N184" s="456">
        <v>55276</v>
      </c>
      <c r="O184" s="493">
        <v>50945</v>
      </c>
      <c r="P184" s="449">
        <f t="shared" si="69"/>
        <v>112043</v>
      </c>
      <c r="Q184" s="450">
        <f t="shared" si="70"/>
        <v>3734.7666666666669</v>
      </c>
      <c r="R184" s="451">
        <f t="shared" si="71"/>
        <v>105513</v>
      </c>
      <c r="S184" s="452">
        <f t="shared" si="72"/>
        <v>3517.1</v>
      </c>
      <c r="T184" s="456">
        <v>4245</v>
      </c>
      <c r="U184" s="493">
        <v>4074</v>
      </c>
      <c r="V184" s="449">
        <f t="shared" si="73"/>
        <v>112043</v>
      </c>
      <c r="W184" s="448">
        <f t="shared" si="74"/>
        <v>105513</v>
      </c>
      <c r="X184" s="456"/>
      <c r="Y184" s="493"/>
      <c r="Z184" s="456"/>
      <c r="AA184" s="493"/>
      <c r="AB184" s="456"/>
      <c r="AC184" s="493"/>
      <c r="AD184" s="456"/>
      <c r="AE184" s="493"/>
      <c r="AF184" s="449">
        <f t="shared" si="75"/>
        <v>0</v>
      </c>
      <c r="AG184" s="450">
        <f t="shared" si="76"/>
        <v>0</v>
      </c>
      <c r="AH184" s="451">
        <f t="shared" si="77"/>
        <v>0</v>
      </c>
      <c r="AI184" s="451">
        <f t="shared" si="78"/>
        <v>0</v>
      </c>
      <c r="AJ184" s="456"/>
      <c r="AK184" s="493"/>
      <c r="AL184" s="449">
        <f t="shared" si="79"/>
        <v>0</v>
      </c>
      <c r="AM184" s="452">
        <f t="shared" si="80"/>
        <v>0</v>
      </c>
      <c r="AN184" s="456"/>
      <c r="AO184" s="493"/>
      <c r="AP184" s="456"/>
      <c r="AQ184" s="493"/>
      <c r="AR184" s="456"/>
      <c r="AS184" s="493"/>
      <c r="AT184" s="456"/>
      <c r="AU184" s="493"/>
      <c r="AV184" s="449">
        <f t="shared" si="81"/>
        <v>0</v>
      </c>
      <c r="AW184" s="453">
        <f t="shared" si="82"/>
        <v>0</v>
      </c>
      <c r="AX184" s="451">
        <f t="shared" si="83"/>
        <v>0</v>
      </c>
      <c r="AY184" s="454">
        <f t="shared" si="84"/>
        <v>0</v>
      </c>
      <c r="AZ184" s="455">
        <f t="shared" si="85"/>
        <v>3734.7666666666669</v>
      </c>
      <c r="BA184" s="451">
        <f t="shared" si="86"/>
        <v>3517.1</v>
      </c>
    </row>
    <row r="185" spans="1:53">
      <c r="A185" s="578" t="s">
        <v>219</v>
      </c>
      <c r="B185" s="637" t="s">
        <v>532</v>
      </c>
      <c r="C185" s="580" t="s">
        <v>316</v>
      </c>
      <c r="D185" s="638">
        <v>156790</v>
      </c>
      <c r="E185" s="586">
        <v>9</v>
      </c>
      <c r="F185" s="491" t="s">
        <v>41</v>
      </c>
      <c r="G185" s="492" t="s">
        <v>41</v>
      </c>
      <c r="H185" s="456"/>
      <c r="I185" s="493"/>
      <c r="J185" s="456">
        <v>26524</v>
      </c>
      <c r="K185" s="493">
        <v>25359</v>
      </c>
      <c r="L185" s="456">
        <v>3846</v>
      </c>
      <c r="M185" s="493">
        <v>4221</v>
      </c>
      <c r="N185" s="456">
        <v>29625</v>
      </c>
      <c r="O185" s="493">
        <v>26819</v>
      </c>
      <c r="P185" s="449">
        <f t="shared" si="69"/>
        <v>59995</v>
      </c>
      <c r="Q185" s="450">
        <f t="shared" si="70"/>
        <v>1999.8333333333333</v>
      </c>
      <c r="R185" s="451">
        <f t="shared" si="71"/>
        <v>56399</v>
      </c>
      <c r="S185" s="452">
        <f t="shared" si="72"/>
        <v>1879.9666666666667</v>
      </c>
      <c r="T185" s="456">
        <v>3437</v>
      </c>
      <c r="U185" s="493">
        <v>3474</v>
      </c>
      <c r="V185" s="449">
        <f t="shared" si="73"/>
        <v>59995</v>
      </c>
      <c r="W185" s="448">
        <f t="shared" si="74"/>
        <v>56399</v>
      </c>
      <c r="X185" s="456"/>
      <c r="Y185" s="493"/>
      <c r="Z185" s="456"/>
      <c r="AA185" s="493"/>
      <c r="AB185" s="456"/>
      <c r="AC185" s="493"/>
      <c r="AD185" s="456"/>
      <c r="AE185" s="493"/>
      <c r="AF185" s="449">
        <f t="shared" si="75"/>
        <v>0</v>
      </c>
      <c r="AG185" s="450">
        <f t="shared" si="76"/>
        <v>0</v>
      </c>
      <c r="AH185" s="451">
        <f t="shared" si="77"/>
        <v>0</v>
      </c>
      <c r="AI185" s="451">
        <f t="shared" si="78"/>
        <v>0</v>
      </c>
      <c r="AJ185" s="456"/>
      <c r="AK185" s="493"/>
      <c r="AL185" s="449">
        <f t="shared" si="79"/>
        <v>0</v>
      </c>
      <c r="AM185" s="452">
        <f t="shared" si="80"/>
        <v>0</v>
      </c>
      <c r="AN185" s="456"/>
      <c r="AO185" s="493"/>
      <c r="AP185" s="456"/>
      <c r="AQ185" s="493"/>
      <c r="AR185" s="456"/>
      <c r="AS185" s="493"/>
      <c r="AT185" s="456"/>
      <c r="AU185" s="493"/>
      <c r="AV185" s="449">
        <f t="shared" si="81"/>
        <v>0</v>
      </c>
      <c r="AW185" s="453">
        <f t="shared" si="82"/>
        <v>0</v>
      </c>
      <c r="AX185" s="451">
        <f t="shared" si="83"/>
        <v>0</v>
      </c>
      <c r="AY185" s="454">
        <f t="shared" si="84"/>
        <v>0</v>
      </c>
      <c r="AZ185" s="455">
        <f t="shared" si="85"/>
        <v>1999.8333333333333</v>
      </c>
      <c r="BA185" s="451">
        <f t="shared" si="86"/>
        <v>1879.9666666666667</v>
      </c>
    </row>
    <row r="186" spans="1:53">
      <c r="A186" s="578" t="s">
        <v>219</v>
      </c>
      <c r="B186" s="637" t="s">
        <v>533</v>
      </c>
      <c r="C186" s="580" t="s">
        <v>516</v>
      </c>
      <c r="D186" s="638">
        <v>156860</v>
      </c>
      <c r="E186" s="586">
        <v>9</v>
      </c>
      <c r="F186" s="491" t="s">
        <v>41</v>
      </c>
      <c r="G186" s="492" t="s">
        <v>41</v>
      </c>
      <c r="H186" s="456"/>
      <c r="I186" s="493"/>
      <c r="J186" s="456">
        <v>28380</v>
      </c>
      <c r="K186" s="493">
        <v>26880</v>
      </c>
      <c r="L186" s="456">
        <v>5772</v>
      </c>
      <c r="M186" s="493">
        <v>5869</v>
      </c>
      <c r="N186" s="456">
        <v>29631</v>
      </c>
      <c r="O186" s="493">
        <v>26295</v>
      </c>
      <c r="P186" s="449">
        <f t="shared" si="69"/>
        <v>63783</v>
      </c>
      <c r="Q186" s="450">
        <f t="shared" si="70"/>
        <v>2126.1</v>
      </c>
      <c r="R186" s="451">
        <f t="shared" si="71"/>
        <v>59044</v>
      </c>
      <c r="S186" s="452">
        <f t="shared" si="72"/>
        <v>1968.1333333333334</v>
      </c>
      <c r="T186" s="456">
        <v>2330</v>
      </c>
      <c r="U186" s="493">
        <v>2098</v>
      </c>
      <c r="V186" s="449">
        <f t="shared" si="73"/>
        <v>63783</v>
      </c>
      <c r="W186" s="448">
        <f t="shared" si="74"/>
        <v>59044</v>
      </c>
      <c r="X186" s="456"/>
      <c r="Y186" s="493"/>
      <c r="Z186" s="456"/>
      <c r="AA186" s="493"/>
      <c r="AB186" s="456"/>
      <c r="AC186" s="493"/>
      <c r="AD186" s="456"/>
      <c r="AE186" s="493"/>
      <c r="AF186" s="449">
        <f t="shared" si="75"/>
        <v>0</v>
      </c>
      <c r="AG186" s="450">
        <f t="shared" si="76"/>
        <v>0</v>
      </c>
      <c r="AH186" s="451">
        <f t="shared" si="77"/>
        <v>0</v>
      </c>
      <c r="AI186" s="451">
        <f t="shared" si="78"/>
        <v>0</v>
      </c>
      <c r="AJ186" s="456"/>
      <c r="AK186" s="493"/>
      <c r="AL186" s="449">
        <f t="shared" si="79"/>
        <v>0</v>
      </c>
      <c r="AM186" s="452">
        <f t="shared" si="80"/>
        <v>0</v>
      </c>
      <c r="AN186" s="456"/>
      <c r="AO186" s="493"/>
      <c r="AP186" s="456"/>
      <c r="AQ186" s="493"/>
      <c r="AR186" s="456"/>
      <c r="AS186" s="493"/>
      <c r="AT186" s="456"/>
      <c r="AU186" s="493"/>
      <c r="AV186" s="449">
        <f t="shared" si="81"/>
        <v>0</v>
      </c>
      <c r="AW186" s="453">
        <f t="shared" si="82"/>
        <v>0</v>
      </c>
      <c r="AX186" s="451">
        <f t="shared" si="83"/>
        <v>0</v>
      </c>
      <c r="AY186" s="454">
        <f t="shared" si="84"/>
        <v>0</v>
      </c>
      <c r="AZ186" s="455">
        <f t="shared" si="85"/>
        <v>2126.1</v>
      </c>
      <c r="BA186" s="451">
        <f t="shared" si="86"/>
        <v>1968.1333333333334</v>
      </c>
    </row>
    <row r="187" spans="1:53">
      <c r="A187" s="578" t="s">
        <v>219</v>
      </c>
      <c r="B187" s="583" t="s">
        <v>534</v>
      </c>
      <c r="C187" s="580" t="s">
        <v>516</v>
      </c>
      <c r="D187" s="638">
        <v>157304</v>
      </c>
      <c r="E187" s="640">
        <v>9</v>
      </c>
      <c r="F187" s="491" t="s">
        <v>41</v>
      </c>
      <c r="G187" s="492" t="s">
        <v>41</v>
      </c>
      <c r="H187" s="456"/>
      <c r="I187" s="493"/>
      <c r="J187" s="456">
        <v>28372</v>
      </c>
      <c r="K187" s="493">
        <v>24209</v>
      </c>
      <c r="L187" s="456">
        <v>4227</v>
      </c>
      <c r="M187" s="493">
        <v>3661</v>
      </c>
      <c r="N187" s="456">
        <v>30661</v>
      </c>
      <c r="O187" s="493">
        <v>28272</v>
      </c>
      <c r="P187" s="449">
        <f t="shared" si="69"/>
        <v>63260</v>
      </c>
      <c r="Q187" s="450">
        <f t="shared" si="70"/>
        <v>2108.6666666666665</v>
      </c>
      <c r="R187" s="451">
        <f t="shared" si="71"/>
        <v>56142</v>
      </c>
      <c r="S187" s="452">
        <f t="shared" si="72"/>
        <v>1871.4</v>
      </c>
      <c r="T187" s="456">
        <v>6067</v>
      </c>
      <c r="U187" s="493">
        <v>6021</v>
      </c>
      <c r="V187" s="449">
        <f t="shared" si="73"/>
        <v>63260</v>
      </c>
      <c r="W187" s="448">
        <f t="shared" si="74"/>
        <v>56142</v>
      </c>
      <c r="X187" s="456"/>
      <c r="Y187" s="493"/>
      <c r="Z187" s="456"/>
      <c r="AA187" s="493"/>
      <c r="AB187" s="456"/>
      <c r="AC187" s="493"/>
      <c r="AD187" s="456"/>
      <c r="AE187" s="493"/>
      <c r="AF187" s="449">
        <f t="shared" si="75"/>
        <v>0</v>
      </c>
      <c r="AG187" s="450">
        <f t="shared" si="76"/>
        <v>0</v>
      </c>
      <c r="AH187" s="451">
        <f t="shared" si="77"/>
        <v>0</v>
      </c>
      <c r="AI187" s="451">
        <f t="shared" si="78"/>
        <v>0</v>
      </c>
      <c r="AJ187" s="456"/>
      <c r="AK187" s="493"/>
      <c r="AL187" s="449">
        <f t="shared" si="79"/>
        <v>0</v>
      </c>
      <c r="AM187" s="452">
        <f t="shared" si="80"/>
        <v>0</v>
      </c>
      <c r="AN187" s="456"/>
      <c r="AO187" s="493"/>
      <c r="AP187" s="456"/>
      <c r="AQ187" s="493"/>
      <c r="AR187" s="456"/>
      <c r="AS187" s="493"/>
      <c r="AT187" s="456"/>
      <c r="AU187" s="493"/>
      <c r="AV187" s="449">
        <f t="shared" si="81"/>
        <v>0</v>
      </c>
      <c r="AW187" s="453">
        <f t="shared" si="82"/>
        <v>0</v>
      </c>
      <c r="AX187" s="451">
        <f t="shared" si="83"/>
        <v>0</v>
      </c>
      <c r="AY187" s="454">
        <f t="shared" si="84"/>
        <v>0</v>
      </c>
      <c r="AZ187" s="455">
        <f t="shared" si="85"/>
        <v>2108.6666666666665</v>
      </c>
      <c r="BA187" s="451">
        <f t="shared" si="86"/>
        <v>1871.4</v>
      </c>
    </row>
    <row r="188" spans="1:53">
      <c r="A188" s="578" t="s">
        <v>219</v>
      </c>
      <c r="B188" s="583" t="s">
        <v>535</v>
      </c>
      <c r="C188" s="639"/>
      <c r="D188" s="638">
        <v>157331</v>
      </c>
      <c r="E188" s="640">
        <v>9</v>
      </c>
      <c r="F188" s="491" t="s">
        <v>41</v>
      </c>
      <c r="G188" s="492" t="s">
        <v>41</v>
      </c>
      <c r="H188" s="456"/>
      <c r="I188" s="493"/>
      <c r="J188" s="456">
        <v>36946</v>
      </c>
      <c r="K188" s="493">
        <v>32155</v>
      </c>
      <c r="L188" s="456">
        <v>6034</v>
      </c>
      <c r="M188" s="493">
        <v>4748</v>
      </c>
      <c r="N188" s="456">
        <v>34866</v>
      </c>
      <c r="O188" s="493">
        <v>31009</v>
      </c>
      <c r="P188" s="449">
        <f t="shared" si="69"/>
        <v>77846</v>
      </c>
      <c r="Q188" s="450">
        <f t="shared" si="70"/>
        <v>2594.8666666666668</v>
      </c>
      <c r="R188" s="451">
        <f t="shared" si="71"/>
        <v>67912</v>
      </c>
      <c r="S188" s="452">
        <f t="shared" si="72"/>
        <v>2263.7333333333331</v>
      </c>
      <c r="T188" s="456">
        <v>5216</v>
      </c>
      <c r="U188" s="493">
        <v>5797</v>
      </c>
      <c r="V188" s="449">
        <f t="shared" si="73"/>
        <v>77846</v>
      </c>
      <c r="W188" s="448">
        <f t="shared" si="74"/>
        <v>67912</v>
      </c>
      <c r="X188" s="456"/>
      <c r="Y188" s="493"/>
      <c r="Z188" s="456"/>
      <c r="AA188" s="493"/>
      <c r="AB188" s="456"/>
      <c r="AC188" s="493"/>
      <c r="AD188" s="456"/>
      <c r="AE188" s="493"/>
      <c r="AF188" s="449">
        <f t="shared" si="75"/>
        <v>0</v>
      </c>
      <c r="AG188" s="450">
        <f t="shared" si="76"/>
        <v>0</v>
      </c>
      <c r="AH188" s="451">
        <f t="shared" si="77"/>
        <v>0</v>
      </c>
      <c r="AI188" s="451">
        <f t="shared" si="78"/>
        <v>0</v>
      </c>
      <c r="AJ188" s="456"/>
      <c r="AK188" s="493"/>
      <c r="AL188" s="449">
        <f t="shared" si="79"/>
        <v>0</v>
      </c>
      <c r="AM188" s="452">
        <f t="shared" si="80"/>
        <v>0</v>
      </c>
      <c r="AN188" s="456"/>
      <c r="AO188" s="493"/>
      <c r="AP188" s="456"/>
      <c r="AQ188" s="493"/>
      <c r="AR188" s="456"/>
      <c r="AS188" s="493"/>
      <c r="AT188" s="456"/>
      <c r="AU188" s="493"/>
      <c r="AV188" s="449">
        <f t="shared" si="81"/>
        <v>0</v>
      </c>
      <c r="AW188" s="453">
        <f t="shared" si="82"/>
        <v>0</v>
      </c>
      <c r="AX188" s="451">
        <f t="shared" si="83"/>
        <v>0</v>
      </c>
      <c r="AY188" s="454">
        <f t="shared" si="84"/>
        <v>0</v>
      </c>
      <c r="AZ188" s="455">
        <f t="shared" si="85"/>
        <v>2594.8666666666668</v>
      </c>
      <c r="BA188" s="451">
        <f t="shared" si="86"/>
        <v>2263.7333333333331</v>
      </c>
    </row>
    <row r="189" spans="1:53">
      <c r="A189" s="578" t="s">
        <v>219</v>
      </c>
      <c r="B189" s="583" t="s">
        <v>536</v>
      </c>
      <c r="C189" s="584"/>
      <c r="D189" s="638">
        <v>247940</v>
      </c>
      <c r="E189" s="582">
        <v>9</v>
      </c>
      <c r="F189" s="491" t="s">
        <v>41</v>
      </c>
      <c r="G189" s="492" t="s">
        <v>41</v>
      </c>
      <c r="H189" s="456"/>
      <c r="I189" s="493"/>
      <c r="J189" s="456">
        <v>34045</v>
      </c>
      <c r="K189" s="493">
        <v>27884</v>
      </c>
      <c r="L189" s="456">
        <v>4281</v>
      </c>
      <c r="M189" s="493">
        <v>3952</v>
      </c>
      <c r="N189" s="456">
        <v>36511</v>
      </c>
      <c r="O189" s="493">
        <v>34073</v>
      </c>
      <c r="P189" s="449">
        <f t="shared" si="69"/>
        <v>74837</v>
      </c>
      <c r="Q189" s="450">
        <f t="shared" si="70"/>
        <v>2494.5666666666666</v>
      </c>
      <c r="R189" s="451">
        <f t="shared" si="71"/>
        <v>65909</v>
      </c>
      <c r="S189" s="452">
        <f t="shared" si="72"/>
        <v>2196.9666666666667</v>
      </c>
      <c r="T189" s="456">
        <v>6720</v>
      </c>
      <c r="U189" s="493">
        <v>8652</v>
      </c>
      <c r="V189" s="449">
        <f t="shared" si="73"/>
        <v>74837</v>
      </c>
      <c r="W189" s="448">
        <f t="shared" si="74"/>
        <v>65909</v>
      </c>
      <c r="X189" s="456"/>
      <c r="Y189" s="493"/>
      <c r="Z189" s="456"/>
      <c r="AA189" s="493"/>
      <c r="AB189" s="456"/>
      <c r="AC189" s="493"/>
      <c r="AD189" s="456"/>
      <c r="AE189" s="493"/>
      <c r="AF189" s="449">
        <f t="shared" si="75"/>
        <v>0</v>
      </c>
      <c r="AG189" s="450">
        <f t="shared" si="76"/>
        <v>0</v>
      </c>
      <c r="AH189" s="451">
        <f t="shared" si="77"/>
        <v>0</v>
      </c>
      <c r="AI189" s="451">
        <f t="shared" si="78"/>
        <v>0</v>
      </c>
      <c r="AJ189" s="456"/>
      <c r="AK189" s="493"/>
      <c r="AL189" s="449">
        <f t="shared" si="79"/>
        <v>0</v>
      </c>
      <c r="AM189" s="452">
        <f t="shared" si="80"/>
        <v>0</v>
      </c>
      <c r="AN189" s="456"/>
      <c r="AO189" s="493"/>
      <c r="AP189" s="456"/>
      <c r="AQ189" s="493"/>
      <c r="AR189" s="456"/>
      <c r="AS189" s="493"/>
      <c r="AT189" s="456"/>
      <c r="AU189" s="493"/>
      <c r="AV189" s="449">
        <f t="shared" si="81"/>
        <v>0</v>
      </c>
      <c r="AW189" s="453">
        <f t="shared" si="82"/>
        <v>0</v>
      </c>
      <c r="AX189" s="451">
        <f t="shared" si="83"/>
        <v>0</v>
      </c>
      <c r="AY189" s="454">
        <f t="shared" si="84"/>
        <v>0</v>
      </c>
      <c r="AZ189" s="455">
        <f t="shared" si="85"/>
        <v>2494.5666666666666</v>
      </c>
      <c r="BA189" s="451">
        <f t="shared" si="86"/>
        <v>2196.9666666666667</v>
      </c>
    </row>
    <row r="190" spans="1:53">
      <c r="A190" s="578" t="s">
        <v>219</v>
      </c>
      <c r="B190" s="583" t="s">
        <v>537</v>
      </c>
      <c r="C190" s="580"/>
      <c r="D190" s="638">
        <v>157711</v>
      </c>
      <c r="E190" s="582">
        <v>9</v>
      </c>
      <c r="F190" s="491" t="s">
        <v>41</v>
      </c>
      <c r="G190" s="492" t="s">
        <v>41</v>
      </c>
      <c r="H190" s="456"/>
      <c r="I190" s="493"/>
      <c r="J190" s="456">
        <v>60299</v>
      </c>
      <c r="K190" s="493">
        <v>57579</v>
      </c>
      <c r="L190" s="456">
        <v>7573</v>
      </c>
      <c r="M190" s="493">
        <v>8389</v>
      </c>
      <c r="N190" s="456">
        <v>66376</v>
      </c>
      <c r="O190" s="493">
        <v>60806</v>
      </c>
      <c r="P190" s="449">
        <f t="shared" si="69"/>
        <v>134248</v>
      </c>
      <c r="Q190" s="450">
        <f t="shared" si="70"/>
        <v>4474.9333333333334</v>
      </c>
      <c r="R190" s="451">
        <f t="shared" si="71"/>
        <v>126774</v>
      </c>
      <c r="S190" s="452">
        <f t="shared" si="72"/>
        <v>4225.8</v>
      </c>
      <c r="T190" s="456">
        <v>5137</v>
      </c>
      <c r="U190" s="493">
        <v>5491</v>
      </c>
      <c r="V190" s="449">
        <f t="shared" si="73"/>
        <v>134248</v>
      </c>
      <c r="W190" s="448">
        <f t="shared" si="74"/>
        <v>126774</v>
      </c>
      <c r="X190" s="456"/>
      <c r="Y190" s="493"/>
      <c r="Z190" s="456"/>
      <c r="AA190" s="493"/>
      <c r="AB190" s="456"/>
      <c r="AC190" s="493"/>
      <c r="AD190" s="456"/>
      <c r="AE190" s="493"/>
      <c r="AF190" s="449">
        <f t="shared" si="75"/>
        <v>0</v>
      </c>
      <c r="AG190" s="450">
        <f t="shared" si="76"/>
        <v>0</v>
      </c>
      <c r="AH190" s="451">
        <f t="shared" si="77"/>
        <v>0</v>
      </c>
      <c r="AI190" s="451">
        <f t="shared" si="78"/>
        <v>0</v>
      </c>
      <c r="AJ190" s="456"/>
      <c r="AK190" s="493"/>
      <c r="AL190" s="449">
        <f t="shared" si="79"/>
        <v>0</v>
      </c>
      <c r="AM190" s="452">
        <f t="shared" si="80"/>
        <v>0</v>
      </c>
      <c r="AN190" s="456"/>
      <c r="AO190" s="493"/>
      <c r="AP190" s="456"/>
      <c r="AQ190" s="493"/>
      <c r="AR190" s="456"/>
      <c r="AS190" s="493"/>
      <c r="AT190" s="456"/>
      <c r="AU190" s="493"/>
      <c r="AV190" s="449">
        <f t="shared" si="81"/>
        <v>0</v>
      </c>
      <c r="AW190" s="453">
        <f t="shared" si="82"/>
        <v>0</v>
      </c>
      <c r="AX190" s="451">
        <f t="shared" si="83"/>
        <v>0</v>
      </c>
      <c r="AY190" s="454">
        <f t="shared" si="84"/>
        <v>0</v>
      </c>
      <c r="AZ190" s="455">
        <f t="shared" si="85"/>
        <v>4474.9333333333334</v>
      </c>
      <c r="BA190" s="451">
        <f t="shared" si="86"/>
        <v>4225.8</v>
      </c>
    </row>
    <row r="191" spans="1:53">
      <c r="A191" s="578" t="s">
        <v>219</v>
      </c>
      <c r="B191" s="637" t="s">
        <v>538</v>
      </c>
      <c r="C191" s="580" t="s">
        <v>516</v>
      </c>
      <c r="D191" s="638">
        <v>157739</v>
      </c>
      <c r="E191" s="582">
        <v>9</v>
      </c>
      <c r="F191" s="491" t="s">
        <v>41</v>
      </c>
      <c r="G191" s="492" t="s">
        <v>41</v>
      </c>
      <c r="H191" s="456"/>
      <c r="I191" s="493"/>
      <c r="J191" s="456">
        <v>29175</v>
      </c>
      <c r="K191" s="493">
        <v>25316</v>
      </c>
      <c r="L191" s="456">
        <v>2252</v>
      </c>
      <c r="M191" s="493">
        <v>2262</v>
      </c>
      <c r="N191" s="456">
        <v>30924</v>
      </c>
      <c r="O191" s="493">
        <v>27904</v>
      </c>
      <c r="P191" s="449">
        <f t="shared" si="69"/>
        <v>62351</v>
      </c>
      <c r="Q191" s="450">
        <f t="shared" si="70"/>
        <v>2078.3666666666668</v>
      </c>
      <c r="R191" s="451">
        <f t="shared" si="71"/>
        <v>55482</v>
      </c>
      <c r="S191" s="452">
        <f t="shared" si="72"/>
        <v>1849.4</v>
      </c>
      <c r="T191" s="456">
        <v>5302</v>
      </c>
      <c r="U191" s="493">
        <v>4572</v>
      </c>
      <c r="V191" s="449">
        <f t="shared" si="73"/>
        <v>62351</v>
      </c>
      <c r="W191" s="448">
        <f t="shared" si="74"/>
        <v>55482</v>
      </c>
      <c r="X191" s="456"/>
      <c r="Y191" s="493"/>
      <c r="Z191" s="456"/>
      <c r="AA191" s="493"/>
      <c r="AB191" s="456"/>
      <c r="AC191" s="493"/>
      <c r="AD191" s="456"/>
      <c r="AE191" s="493"/>
      <c r="AF191" s="449">
        <f t="shared" si="75"/>
        <v>0</v>
      </c>
      <c r="AG191" s="450">
        <f t="shared" si="76"/>
        <v>0</v>
      </c>
      <c r="AH191" s="451">
        <f t="shared" si="77"/>
        <v>0</v>
      </c>
      <c r="AI191" s="451">
        <f t="shared" si="78"/>
        <v>0</v>
      </c>
      <c r="AJ191" s="456"/>
      <c r="AK191" s="493"/>
      <c r="AL191" s="449">
        <f t="shared" si="79"/>
        <v>0</v>
      </c>
      <c r="AM191" s="452">
        <f t="shared" si="80"/>
        <v>0</v>
      </c>
      <c r="AN191" s="456"/>
      <c r="AO191" s="493"/>
      <c r="AP191" s="456"/>
      <c r="AQ191" s="493"/>
      <c r="AR191" s="456"/>
      <c r="AS191" s="493"/>
      <c r="AT191" s="456"/>
      <c r="AU191" s="493"/>
      <c r="AV191" s="449">
        <f t="shared" si="81"/>
        <v>0</v>
      </c>
      <c r="AW191" s="453">
        <f t="shared" si="82"/>
        <v>0</v>
      </c>
      <c r="AX191" s="451">
        <f t="shared" si="83"/>
        <v>0</v>
      </c>
      <c r="AY191" s="454">
        <f t="shared" si="84"/>
        <v>0</v>
      </c>
      <c r="AZ191" s="455">
        <f t="shared" si="85"/>
        <v>2078.3666666666668</v>
      </c>
      <c r="BA191" s="451">
        <f t="shared" si="86"/>
        <v>1849.4</v>
      </c>
    </row>
    <row r="192" spans="1:53">
      <c r="A192" s="578" t="s">
        <v>219</v>
      </c>
      <c r="B192" s="583" t="s">
        <v>539</v>
      </c>
      <c r="C192" s="584"/>
      <c r="D192" s="638">
        <v>157483</v>
      </c>
      <c r="E192" s="582">
        <v>9</v>
      </c>
      <c r="F192" s="491" t="s">
        <v>41</v>
      </c>
      <c r="G192" s="492" t="s">
        <v>41</v>
      </c>
      <c r="H192" s="456"/>
      <c r="I192" s="493"/>
      <c r="J192" s="456">
        <v>51809</v>
      </c>
      <c r="K192" s="493">
        <v>47634</v>
      </c>
      <c r="L192" s="456">
        <v>9669</v>
      </c>
      <c r="M192" s="493">
        <v>8863</v>
      </c>
      <c r="N192" s="456">
        <v>55875</v>
      </c>
      <c r="O192" s="493">
        <v>50352</v>
      </c>
      <c r="P192" s="449">
        <f t="shared" si="69"/>
        <v>117353</v>
      </c>
      <c r="Q192" s="450">
        <f t="shared" si="70"/>
        <v>3911.7666666666669</v>
      </c>
      <c r="R192" s="451">
        <f t="shared" si="71"/>
        <v>106849</v>
      </c>
      <c r="S192" s="452">
        <f t="shared" si="72"/>
        <v>3561.6333333333332</v>
      </c>
      <c r="T192" s="456">
        <v>8823</v>
      </c>
      <c r="U192" s="493">
        <v>7955</v>
      </c>
      <c r="V192" s="449">
        <f t="shared" si="73"/>
        <v>117353</v>
      </c>
      <c r="W192" s="448">
        <f t="shared" si="74"/>
        <v>106849</v>
      </c>
      <c r="X192" s="456"/>
      <c r="Y192" s="493"/>
      <c r="Z192" s="456"/>
      <c r="AA192" s="493"/>
      <c r="AB192" s="456"/>
      <c r="AC192" s="493"/>
      <c r="AD192" s="456"/>
      <c r="AE192" s="493"/>
      <c r="AF192" s="449">
        <f t="shared" si="75"/>
        <v>0</v>
      </c>
      <c r="AG192" s="450">
        <f t="shared" si="76"/>
        <v>0</v>
      </c>
      <c r="AH192" s="451">
        <f t="shared" si="77"/>
        <v>0</v>
      </c>
      <c r="AI192" s="451">
        <f t="shared" si="78"/>
        <v>0</v>
      </c>
      <c r="AJ192" s="456"/>
      <c r="AK192" s="493"/>
      <c r="AL192" s="449">
        <f t="shared" si="79"/>
        <v>0</v>
      </c>
      <c r="AM192" s="452">
        <f t="shared" si="80"/>
        <v>0</v>
      </c>
      <c r="AN192" s="456"/>
      <c r="AO192" s="493"/>
      <c r="AP192" s="456"/>
      <c r="AQ192" s="493"/>
      <c r="AR192" s="456"/>
      <c r="AS192" s="493"/>
      <c r="AT192" s="456"/>
      <c r="AU192" s="493"/>
      <c r="AV192" s="449">
        <f t="shared" si="81"/>
        <v>0</v>
      </c>
      <c r="AW192" s="453">
        <f t="shared" si="82"/>
        <v>0</v>
      </c>
      <c r="AX192" s="451">
        <f t="shared" si="83"/>
        <v>0</v>
      </c>
      <c r="AY192" s="454">
        <f t="shared" si="84"/>
        <v>0</v>
      </c>
      <c r="AZ192" s="455">
        <f t="shared" si="85"/>
        <v>3911.7666666666669</v>
      </c>
      <c r="BA192" s="451">
        <f t="shared" si="86"/>
        <v>3561.6333333333332</v>
      </c>
    </row>
    <row r="193" spans="1:53">
      <c r="A193" s="578" t="s">
        <v>219</v>
      </c>
      <c r="B193" s="583" t="s">
        <v>540</v>
      </c>
      <c r="C193" s="584"/>
      <c r="D193" s="638">
        <v>156851</v>
      </c>
      <c r="E193" s="582">
        <v>10</v>
      </c>
      <c r="F193" s="491" t="s">
        <v>41</v>
      </c>
      <c r="G193" s="492" t="s">
        <v>41</v>
      </c>
      <c r="H193" s="456"/>
      <c r="I193" s="493"/>
      <c r="J193" s="456">
        <v>15506</v>
      </c>
      <c r="K193" s="493">
        <v>13679</v>
      </c>
      <c r="L193" s="456">
        <v>2360</v>
      </c>
      <c r="M193" s="493">
        <v>1980</v>
      </c>
      <c r="N193" s="456">
        <v>15997</v>
      </c>
      <c r="O193" s="493">
        <v>13692</v>
      </c>
      <c r="P193" s="449">
        <f t="shared" si="69"/>
        <v>33863</v>
      </c>
      <c r="Q193" s="450">
        <f t="shared" si="70"/>
        <v>1128.7666666666667</v>
      </c>
      <c r="R193" s="451">
        <f t="shared" si="71"/>
        <v>29351</v>
      </c>
      <c r="S193" s="452">
        <f t="shared" si="72"/>
        <v>978.36666666666667</v>
      </c>
      <c r="T193" s="456">
        <v>2103</v>
      </c>
      <c r="U193" s="493">
        <v>1799</v>
      </c>
      <c r="V193" s="449">
        <f t="shared" si="73"/>
        <v>33863</v>
      </c>
      <c r="W193" s="448">
        <f t="shared" si="74"/>
        <v>29351</v>
      </c>
      <c r="X193" s="456"/>
      <c r="Y193" s="493"/>
      <c r="Z193" s="456"/>
      <c r="AA193" s="493"/>
      <c r="AB193" s="456"/>
      <c r="AC193" s="493"/>
      <c r="AD193" s="456"/>
      <c r="AE193" s="493"/>
      <c r="AF193" s="449">
        <f t="shared" si="75"/>
        <v>0</v>
      </c>
      <c r="AG193" s="450">
        <f t="shared" si="76"/>
        <v>0</v>
      </c>
      <c r="AH193" s="451">
        <f t="shared" si="77"/>
        <v>0</v>
      </c>
      <c r="AI193" s="451">
        <f t="shared" si="78"/>
        <v>0</v>
      </c>
      <c r="AJ193" s="456"/>
      <c r="AK193" s="493"/>
      <c r="AL193" s="449">
        <f t="shared" si="79"/>
        <v>0</v>
      </c>
      <c r="AM193" s="452">
        <f t="shared" si="80"/>
        <v>0</v>
      </c>
      <c r="AN193" s="456"/>
      <c r="AO193" s="493"/>
      <c r="AP193" s="456"/>
      <c r="AQ193" s="493"/>
      <c r="AR193" s="456"/>
      <c r="AS193" s="493"/>
      <c r="AT193" s="456"/>
      <c r="AU193" s="493"/>
      <c r="AV193" s="449">
        <f t="shared" si="81"/>
        <v>0</v>
      </c>
      <c r="AW193" s="453">
        <f t="shared" si="82"/>
        <v>0</v>
      </c>
      <c r="AX193" s="451">
        <f t="shared" si="83"/>
        <v>0</v>
      </c>
      <c r="AY193" s="454">
        <f t="shared" si="84"/>
        <v>0</v>
      </c>
      <c r="AZ193" s="455">
        <f t="shared" si="85"/>
        <v>1128.7666666666667</v>
      </c>
      <c r="BA193" s="451">
        <f t="shared" si="86"/>
        <v>978.36666666666667</v>
      </c>
    </row>
    <row r="194" spans="1:53">
      <c r="A194" s="587" t="s">
        <v>219</v>
      </c>
      <c r="B194" s="583" t="s">
        <v>541</v>
      </c>
      <c r="C194" s="639"/>
      <c r="D194" s="638">
        <v>157438</v>
      </c>
      <c r="E194" s="640">
        <v>12</v>
      </c>
      <c r="F194" s="491" t="s">
        <v>41</v>
      </c>
      <c r="G194" s="492" t="s">
        <v>41</v>
      </c>
      <c r="H194" s="456"/>
      <c r="I194" s="493"/>
      <c r="J194" s="456">
        <v>31802</v>
      </c>
      <c r="K194" s="493">
        <v>31222</v>
      </c>
      <c r="L194" s="456">
        <v>6228</v>
      </c>
      <c r="M194" s="493">
        <v>6082</v>
      </c>
      <c r="N194" s="456">
        <v>35341</v>
      </c>
      <c r="O194" s="493">
        <v>33918</v>
      </c>
      <c r="P194" s="449">
        <f t="shared" si="69"/>
        <v>73371</v>
      </c>
      <c r="Q194" s="450">
        <f t="shared" si="70"/>
        <v>2445.6999999999998</v>
      </c>
      <c r="R194" s="451">
        <f t="shared" si="71"/>
        <v>71222</v>
      </c>
      <c r="S194" s="452">
        <f t="shared" si="72"/>
        <v>2374.0666666666666</v>
      </c>
      <c r="T194" s="456">
        <v>3359</v>
      </c>
      <c r="U194" s="493">
        <v>4899</v>
      </c>
      <c r="V194" s="449">
        <f t="shared" si="73"/>
        <v>73371</v>
      </c>
      <c r="W194" s="448">
        <f t="shared" si="74"/>
        <v>71222</v>
      </c>
      <c r="X194" s="456"/>
      <c r="Y194" s="493"/>
      <c r="Z194" s="456"/>
      <c r="AA194" s="493"/>
      <c r="AB194" s="456"/>
      <c r="AC194" s="493"/>
      <c r="AD194" s="456"/>
      <c r="AE194" s="493"/>
      <c r="AF194" s="449">
        <f t="shared" si="75"/>
        <v>0</v>
      </c>
      <c r="AG194" s="450">
        <f t="shared" si="76"/>
        <v>0</v>
      </c>
      <c r="AH194" s="451">
        <f t="shared" si="77"/>
        <v>0</v>
      </c>
      <c r="AI194" s="451">
        <f t="shared" si="78"/>
        <v>0</v>
      </c>
      <c r="AJ194" s="456"/>
      <c r="AK194" s="493"/>
      <c r="AL194" s="449">
        <f t="shared" si="79"/>
        <v>0</v>
      </c>
      <c r="AM194" s="452">
        <f t="shared" si="80"/>
        <v>0</v>
      </c>
      <c r="AN194" s="456"/>
      <c r="AO194" s="493"/>
      <c r="AP194" s="456"/>
      <c r="AQ194" s="493"/>
      <c r="AR194" s="456"/>
      <c r="AS194" s="493"/>
      <c r="AT194" s="456"/>
      <c r="AU194" s="493"/>
      <c r="AV194" s="449">
        <f t="shared" si="81"/>
        <v>0</v>
      </c>
      <c r="AW194" s="453">
        <f t="shared" si="82"/>
        <v>0</v>
      </c>
      <c r="AX194" s="451">
        <f t="shared" si="83"/>
        <v>0</v>
      </c>
      <c r="AY194" s="454">
        <f t="shared" si="84"/>
        <v>0</v>
      </c>
      <c r="AZ194" s="455">
        <f t="shared" si="85"/>
        <v>2445.6999999999998</v>
      </c>
      <c r="BA194" s="451">
        <f t="shared" si="86"/>
        <v>2374.0666666666666</v>
      </c>
    </row>
    <row r="195" spans="1:53">
      <c r="A195" s="587" t="s">
        <v>219</v>
      </c>
      <c r="B195" s="583" t="s">
        <v>542</v>
      </c>
      <c r="C195" s="584"/>
      <c r="D195" s="638">
        <v>156338</v>
      </c>
      <c r="E195" s="582">
        <v>12</v>
      </c>
      <c r="F195" s="491" t="s">
        <v>41</v>
      </c>
      <c r="G195" s="492" t="s">
        <v>41</v>
      </c>
      <c r="H195" s="456"/>
      <c r="I195" s="493"/>
      <c r="J195" s="456">
        <v>35339</v>
      </c>
      <c r="K195" s="493">
        <v>33527</v>
      </c>
      <c r="L195" s="456">
        <v>5818</v>
      </c>
      <c r="M195" s="493">
        <v>5293</v>
      </c>
      <c r="N195" s="456">
        <v>38434</v>
      </c>
      <c r="O195" s="493">
        <v>36919</v>
      </c>
      <c r="P195" s="449">
        <f t="shared" si="69"/>
        <v>79591</v>
      </c>
      <c r="Q195" s="450">
        <f t="shared" si="70"/>
        <v>2653.0333333333333</v>
      </c>
      <c r="R195" s="451">
        <f t="shared" si="71"/>
        <v>75739</v>
      </c>
      <c r="S195" s="452">
        <f t="shared" si="72"/>
        <v>2524.6333333333332</v>
      </c>
      <c r="T195" s="456">
        <v>4468</v>
      </c>
      <c r="U195" s="493">
        <v>6111</v>
      </c>
      <c r="V195" s="449">
        <f t="shared" si="73"/>
        <v>79591</v>
      </c>
      <c r="W195" s="448">
        <f t="shared" si="74"/>
        <v>75739</v>
      </c>
      <c r="X195" s="456"/>
      <c r="Y195" s="493"/>
      <c r="Z195" s="456"/>
      <c r="AA195" s="493"/>
      <c r="AB195" s="456"/>
      <c r="AC195" s="493"/>
      <c r="AD195" s="456"/>
      <c r="AE195" s="493"/>
      <c r="AF195" s="449">
        <f t="shared" si="75"/>
        <v>0</v>
      </c>
      <c r="AG195" s="450">
        <f t="shared" si="76"/>
        <v>0</v>
      </c>
      <c r="AH195" s="451">
        <f t="shared" si="77"/>
        <v>0</v>
      </c>
      <c r="AI195" s="451">
        <f t="shared" si="78"/>
        <v>0</v>
      </c>
      <c r="AJ195" s="456"/>
      <c r="AK195" s="493"/>
      <c r="AL195" s="449">
        <f t="shared" si="79"/>
        <v>0</v>
      </c>
      <c r="AM195" s="452">
        <f t="shared" si="80"/>
        <v>0</v>
      </c>
      <c r="AN195" s="456"/>
      <c r="AO195" s="493"/>
      <c r="AP195" s="456"/>
      <c r="AQ195" s="493"/>
      <c r="AR195" s="456"/>
      <c r="AS195" s="493"/>
      <c r="AT195" s="456"/>
      <c r="AU195" s="493"/>
      <c r="AV195" s="449">
        <f t="shared" si="81"/>
        <v>0</v>
      </c>
      <c r="AW195" s="453">
        <f t="shared" si="82"/>
        <v>0</v>
      </c>
      <c r="AX195" s="451">
        <f t="shared" si="83"/>
        <v>0</v>
      </c>
      <c r="AY195" s="454">
        <f t="shared" si="84"/>
        <v>0</v>
      </c>
      <c r="AZ195" s="455">
        <f t="shared" si="85"/>
        <v>2653.0333333333333</v>
      </c>
      <c r="BA195" s="451">
        <f t="shared" si="86"/>
        <v>2524.6333333333332</v>
      </c>
    </row>
    <row r="196" spans="1:53" ht="15">
      <c r="A196" s="642" t="s">
        <v>228</v>
      </c>
      <c r="B196" s="643" t="s">
        <v>543</v>
      </c>
      <c r="C196" s="644"/>
      <c r="D196" s="645">
        <v>159391</v>
      </c>
      <c r="E196" s="646">
        <v>1</v>
      </c>
      <c r="F196" s="491" t="s">
        <v>41</v>
      </c>
      <c r="G196" s="667" t="s">
        <v>41</v>
      </c>
      <c r="H196" s="456"/>
      <c r="I196" s="533"/>
      <c r="J196" s="456">
        <v>323884</v>
      </c>
      <c r="K196" s="533">
        <v>330491</v>
      </c>
      <c r="L196" s="456">
        <v>38216</v>
      </c>
      <c r="M196" s="533">
        <v>38259</v>
      </c>
      <c r="N196" s="456">
        <v>364326</v>
      </c>
      <c r="O196" s="533">
        <v>369742</v>
      </c>
      <c r="P196" s="449">
        <f t="shared" si="69"/>
        <v>726426</v>
      </c>
      <c r="Q196" s="450">
        <f t="shared" si="70"/>
        <v>24214.2</v>
      </c>
      <c r="R196" s="451">
        <f t="shared" si="71"/>
        <v>738492</v>
      </c>
      <c r="S196" s="452">
        <f t="shared" si="72"/>
        <v>24616.400000000001</v>
      </c>
      <c r="T196" s="456">
        <v>4569</v>
      </c>
      <c r="U196" s="647">
        <v>5864</v>
      </c>
      <c r="V196" s="449">
        <f t="shared" si="73"/>
        <v>726426</v>
      </c>
      <c r="W196" s="448">
        <f t="shared" si="74"/>
        <v>738492</v>
      </c>
      <c r="X196" s="456"/>
      <c r="Y196" s="533"/>
      <c r="Z196" s="456"/>
      <c r="AA196" s="533"/>
      <c r="AB196" s="456"/>
      <c r="AC196" s="533"/>
      <c r="AD196" s="456"/>
      <c r="AE196" s="533"/>
      <c r="AF196" s="449">
        <f t="shared" si="75"/>
        <v>0</v>
      </c>
      <c r="AG196" s="450">
        <f t="shared" si="76"/>
        <v>0</v>
      </c>
      <c r="AH196" s="451">
        <f t="shared" si="77"/>
        <v>0</v>
      </c>
      <c r="AI196" s="451">
        <f t="shared" si="78"/>
        <v>0</v>
      </c>
      <c r="AJ196" s="456"/>
      <c r="AK196" s="533"/>
      <c r="AL196" s="449">
        <f t="shared" si="79"/>
        <v>0</v>
      </c>
      <c r="AM196" s="452">
        <f t="shared" si="80"/>
        <v>0</v>
      </c>
      <c r="AN196" s="456"/>
      <c r="AO196" s="533"/>
      <c r="AP196" s="456">
        <v>57120.5</v>
      </c>
      <c r="AQ196" s="533">
        <v>56479</v>
      </c>
      <c r="AR196" s="456">
        <v>15528</v>
      </c>
      <c r="AS196" s="533">
        <v>16110.3</v>
      </c>
      <c r="AT196" s="456">
        <v>58219.5</v>
      </c>
      <c r="AU196" s="533">
        <v>58126</v>
      </c>
      <c r="AV196" s="449">
        <f t="shared" si="81"/>
        <v>130868</v>
      </c>
      <c r="AW196" s="453">
        <f t="shared" si="82"/>
        <v>5452.833333333333</v>
      </c>
      <c r="AX196" s="451">
        <f t="shared" si="83"/>
        <v>130715.3</v>
      </c>
      <c r="AY196" s="454">
        <f t="shared" si="84"/>
        <v>5446.4708333333338</v>
      </c>
      <c r="AZ196" s="455">
        <f t="shared" si="85"/>
        <v>29667.033333333333</v>
      </c>
      <c r="BA196" s="451">
        <f t="shared" si="86"/>
        <v>30062.870833333334</v>
      </c>
    </row>
    <row r="197" spans="1:53" ht="15">
      <c r="A197" s="642" t="s">
        <v>228</v>
      </c>
      <c r="B197" s="643" t="s">
        <v>544</v>
      </c>
      <c r="C197" s="644"/>
      <c r="D197" s="645">
        <v>159647</v>
      </c>
      <c r="E197" s="646">
        <v>2</v>
      </c>
      <c r="F197" s="648" t="s">
        <v>545</v>
      </c>
      <c r="G197" s="668" t="s">
        <v>545</v>
      </c>
      <c r="H197" s="456">
        <v>65995</v>
      </c>
      <c r="I197" s="533">
        <v>69475</v>
      </c>
      <c r="J197" s="456">
        <v>67896</v>
      </c>
      <c r="K197" s="533">
        <v>70586</v>
      </c>
      <c r="L197" s="456">
        <v>16680</v>
      </c>
      <c r="M197" s="533">
        <v>15877</v>
      </c>
      <c r="N197" s="456">
        <v>81552</v>
      </c>
      <c r="O197" s="533">
        <v>88556</v>
      </c>
      <c r="P197" s="449">
        <f t="shared" si="69"/>
        <v>232123</v>
      </c>
      <c r="Q197" s="450">
        <f t="shared" si="70"/>
        <v>7737.4333333333334</v>
      </c>
      <c r="R197" s="451">
        <f t="shared" si="71"/>
        <v>244494</v>
      </c>
      <c r="S197" s="452">
        <f t="shared" si="72"/>
        <v>8149.8</v>
      </c>
      <c r="T197" s="456">
        <v>15119</v>
      </c>
      <c r="U197" s="647">
        <v>17880</v>
      </c>
      <c r="V197" s="449">
        <f t="shared" si="73"/>
        <v>232123</v>
      </c>
      <c r="W197" s="448">
        <f t="shared" si="74"/>
        <v>244494</v>
      </c>
      <c r="X197" s="456"/>
      <c r="Y197" s="533"/>
      <c r="Z197" s="456"/>
      <c r="AA197" s="533"/>
      <c r="AB197" s="456"/>
      <c r="AC197" s="533"/>
      <c r="AD197" s="456"/>
      <c r="AE197" s="533"/>
      <c r="AF197" s="449">
        <f t="shared" si="75"/>
        <v>0</v>
      </c>
      <c r="AG197" s="450">
        <f t="shared" si="76"/>
        <v>0</v>
      </c>
      <c r="AH197" s="451">
        <f t="shared" si="77"/>
        <v>0</v>
      </c>
      <c r="AI197" s="451">
        <f t="shared" si="78"/>
        <v>0</v>
      </c>
      <c r="AJ197" s="456"/>
      <c r="AK197" s="533"/>
      <c r="AL197" s="449">
        <f t="shared" si="79"/>
        <v>0</v>
      </c>
      <c r="AM197" s="452">
        <f t="shared" si="80"/>
        <v>0</v>
      </c>
      <c r="AN197" s="456">
        <v>7442</v>
      </c>
      <c r="AO197" s="533">
        <v>6939</v>
      </c>
      <c r="AP197" s="456">
        <v>7226</v>
      </c>
      <c r="AQ197" s="533">
        <v>7269</v>
      </c>
      <c r="AR197" s="456">
        <v>4146</v>
      </c>
      <c r="AS197" s="533">
        <v>4299</v>
      </c>
      <c r="AT197" s="456">
        <v>9197</v>
      </c>
      <c r="AU197" s="533">
        <v>8580</v>
      </c>
      <c r="AV197" s="449">
        <f t="shared" si="81"/>
        <v>28011</v>
      </c>
      <c r="AW197" s="453">
        <f t="shared" si="82"/>
        <v>1167.125</v>
      </c>
      <c r="AX197" s="451">
        <f t="shared" si="83"/>
        <v>27087</v>
      </c>
      <c r="AY197" s="454">
        <f t="shared" si="84"/>
        <v>1128.625</v>
      </c>
      <c r="AZ197" s="455">
        <f t="shared" si="85"/>
        <v>8904.5583333333343</v>
      </c>
      <c r="BA197" s="451">
        <f t="shared" si="86"/>
        <v>9278.4249999999993</v>
      </c>
    </row>
    <row r="198" spans="1:53" ht="15">
      <c r="A198" s="642" t="s">
        <v>228</v>
      </c>
      <c r="B198" s="643" t="s">
        <v>546</v>
      </c>
      <c r="C198" s="644"/>
      <c r="D198" s="645">
        <v>160658</v>
      </c>
      <c r="E198" s="646">
        <v>2</v>
      </c>
      <c r="F198" s="491" t="s">
        <v>41</v>
      </c>
      <c r="G198" s="667" t="s">
        <v>41</v>
      </c>
      <c r="H198" s="456"/>
      <c r="I198" s="533"/>
      <c r="J198" s="456">
        <v>181933</v>
      </c>
      <c r="K198" s="533">
        <v>187469</v>
      </c>
      <c r="L198" s="456">
        <v>23417</v>
      </c>
      <c r="M198" s="533">
        <v>23366</v>
      </c>
      <c r="N198" s="456">
        <v>200217</v>
      </c>
      <c r="O198" s="533">
        <v>208673</v>
      </c>
      <c r="P198" s="449">
        <f t="shared" si="69"/>
        <v>405567</v>
      </c>
      <c r="Q198" s="450">
        <f t="shared" si="70"/>
        <v>13518.9</v>
      </c>
      <c r="R198" s="451">
        <f t="shared" si="71"/>
        <v>419508</v>
      </c>
      <c r="S198" s="452">
        <f t="shared" si="72"/>
        <v>13983.6</v>
      </c>
      <c r="T198" s="456">
        <v>3996</v>
      </c>
      <c r="U198" s="647">
        <v>4385</v>
      </c>
      <c r="V198" s="449">
        <f t="shared" si="73"/>
        <v>405567</v>
      </c>
      <c r="W198" s="448">
        <f t="shared" si="74"/>
        <v>419508</v>
      </c>
      <c r="X198" s="456"/>
      <c r="Y198" s="533"/>
      <c r="Z198" s="456"/>
      <c r="AA198" s="533"/>
      <c r="AB198" s="456"/>
      <c r="AC198" s="533"/>
      <c r="AD198" s="456"/>
      <c r="AE198" s="533"/>
      <c r="AF198" s="449">
        <f t="shared" si="75"/>
        <v>0</v>
      </c>
      <c r="AG198" s="450">
        <f t="shared" si="76"/>
        <v>0</v>
      </c>
      <c r="AH198" s="451">
        <f t="shared" si="77"/>
        <v>0</v>
      </c>
      <c r="AI198" s="451">
        <f t="shared" si="78"/>
        <v>0</v>
      </c>
      <c r="AJ198" s="456"/>
      <c r="AK198" s="533"/>
      <c r="AL198" s="449">
        <f t="shared" si="79"/>
        <v>0</v>
      </c>
      <c r="AM198" s="452">
        <f t="shared" si="80"/>
        <v>0</v>
      </c>
      <c r="AN198" s="456"/>
      <c r="AO198" s="533"/>
      <c r="AP198" s="456">
        <v>12510</v>
      </c>
      <c r="AQ198" s="533">
        <v>12458</v>
      </c>
      <c r="AR198" s="456">
        <v>3540</v>
      </c>
      <c r="AS198" s="533">
        <v>3689</v>
      </c>
      <c r="AT198" s="456">
        <v>13305</v>
      </c>
      <c r="AU198" s="533">
        <v>13465</v>
      </c>
      <c r="AV198" s="449">
        <f t="shared" si="81"/>
        <v>29355</v>
      </c>
      <c r="AW198" s="453">
        <f t="shared" si="82"/>
        <v>1223.125</v>
      </c>
      <c r="AX198" s="451">
        <f t="shared" si="83"/>
        <v>29612</v>
      </c>
      <c r="AY198" s="454">
        <f t="shared" si="84"/>
        <v>1233.8333333333333</v>
      </c>
      <c r="AZ198" s="455">
        <f t="shared" si="85"/>
        <v>14742.025</v>
      </c>
      <c r="BA198" s="451">
        <f t="shared" si="86"/>
        <v>15217.433333333334</v>
      </c>
    </row>
    <row r="199" spans="1:53" ht="15">
      <c r="A199" s="642" t="s">
        <v>228</v>
      </c>
      <c r="B199" s="643" t="s">
        <v>547</v>
      </c>
      <c r="C199" s="644"/>
      <c r="D199" s="645">
        <v>159939</v>
      </c>
      <c r="E199" s="646">
        <v>2</v>
      </c>
      <c r="F199" s="491" t="s">
        <v>41</v>
      </c>
      <c r="G199" s="667" t="s">
        <v>41</v>
      </c>
      <c r="H199" s="456"/>
      <c r="I199" s="533"/>
      <c r="J199" s="456">
        <v>78461</v>
      </c>
      <c r="K199" s="533">
        <v>78935</v>
      </c>
      <c r="L199" s="456">
        <v>15402</v>
      </c>
      <c r="M199" s="533">
        <v>13146</v>
      </c>
      <c r="N199" s="456">
        <v>84962</v>
      </c>
      <c r="O199" s="533">
        <v>82013</v>
      </c>
      <c r="P199" s="449">
        <f t="shared" si="69"/>
        <v>178825</v>
      </c>
      <c r="Q199" s="450">
        <f t="shared" si="70"/>
        <v>5960.833333333333</v>
      </c>
      <c r="R199" s="451">
        <f t="shared" si="71"/>
        <v>174094</v>
      </c>
      <c r="S199" s="452">
        <f t="shared" si="72"/>
        <v>5803.1333333333332</v>
      </c>
      <c r="T199" s="456">
        <v>1307</v>
      </c>
      <c r="U199" s="647">
        <v>1530</v>
      </c>
      <c r="V199" s="449">
        <f t="shared" si="73"/>
        <v>178825</v>
      </c>
      <c r="W199" s="448">
        <f t="shared" si="74"/>
        <v>174094</v>
      </c>
      <c r="X199" s="456"/>
      <c r="Y199" s="533"/>
      <c r="Z199" s="456"/>
      <c r="AA199" s="533"/>
      <c r="AB199" s="456"/>
      <c r="AC199" s="533"/>
      <c r="AD199" s="456"/>
      <c r="AE199" s="533"/>
      <c r="AF199" s="449">
        <f t="shared" si="75"/>
        <v>0</v>
      </c>
      <c r="AG199" s="450">
        <f t="shared" si="76"/>
        <v>0</v>
      </c>
      <c r="AH199" s="451">
        <f t="shared" si="77"/>
        <v>0</v>
      </c>
      <c r="AI199" s="451">
        <f t="shared" si="78"/>
        <v>0</v>
      </c>
      <c r="AJ199" s="456"/>
      <c r="AK199" s="533"/>
      <c r="AL199" s="449">
        <f t="shared" si="79"/>
        <v>0</v>
      </c>
      <c r="AM199" s="452">
        <f t="shared" si="80"/>
        <v>0</v>
      </c>
      <c r="AN199" s="456"/>
      <c r="AO199" s="533"/>
      <c r="AP199" s="456">
        <v>13809</v>
      </c>
      <c r="AQ199" s="533">
        <v>13474</v>
      </c>
      <c r="AR199" s="456">
        <v>3505</v>
      </c>
      <c r="AS199" s="533">
        <v>3170</v>
      </c>
      <c r="AT199" s="456">
        <v>15461</v>
      </c>
      <c r="AU199" s="533">
        <v>13296</v>
      </c>
      <c r="AV199" s="449">
        <f t="shared" si="81"/>
        <v>32775</v>
      </c>
      <c r="AW199" s="453">
        <f t="shared" si="82"/>
        <v>1365.625</v>
      </c>
      <c r="AX199" s="451">
        <f t="shared" si="83"/>
        <v>29940</v>
      </c>
      <c r="AY199" s="454">
        <f t="shared" si="84"/>
        <v>1247.5</v>
      </c>
      <c r="AZ199" s="455">
        <f t="shared" si="85"/>
        <v>7326.458333333333</v>
      </c>
      <c r="BA199" s="451">
        <f t="shared" si="86"/>
        <v>7050.6333333333332</v>
      </c>
    </row>
    <row r="200" spans="1:53" ht="15">
      <c r="A200" s="642" t="s">
        <v>228</v>
      </c>
      <c r="B200" s="643" t="s">
        <v>548</v>
      </c>
      <c r="C200" s="644"/>
      <c r="D200" s="645">
        <v>160612</v>
      </c>
      <c r="E200" s="646">
        <v>3</v>
      </c>
      <c r="F200" s="491" t="s">
        <v>41</v>
      </c>
      <c r="G200" s="667" t="s">
        <v>41</v>
      </c>
      <c r="H200" s="456"/>
      <c r="I200" s="533"/>
      <c r="J200" s="456">
        <v>153563</v>
      </c>
      <c r="K200" s="533">
        <v>150275</v>
      </c>
      <c r="L200" s="456">
        <v>18317</v>
      </c>
      <c r="M200" s="533">
        <v>16313</v>
      </c>
      <c r="N200" s="456">
        <v>160359</v>
      </c>
      <c r="O200" s="533">
        <v>157528</v>
      </c>
      <c r="P200" s="449">
        <f t="shared" ref="P200:P263" si="87">SUM(H200,J200,L200,N200)</f>
        <v>332239</v>
      </c>
      <c r="Q200" s="450">
        <f t="shared" ref="Q200:Q263" si="88">+P200/30</f>
        <v>11074.633333333333</v>
      </c>
      <c r="R200" s="451">
        <f t="shared" ref="R200:R263" si="89">SUM(I200,K200,M200,O200)</f>
        <v>324116</v>
      </c>
      <c r="S200" s="452">
        <f t="shared" ref="S200:S263" si="90">+R200/30</f>
        <v>10803.866666666667</v>
      </c>
      <c r="T200" s="456">
        <v>17806</v>
      </c>
      <c r="U200" s="647">
        <v>20626</v>
      </c>
      <c r="V200" s="449">
        <f t="shared" ref="V200:V263" si="91">IF(ISBLANK(T200),0,P200)</f>
        <v>332239</v>
      </c>
      <c r="W200" s="448">
        <f t="shared" ref="W200:W263" si="92">IF(ISBLANK(U200),0,R200)</f>
        <v>324116</v>
      </c>
      <c r="X200" s="456"/>
      <c r="Y200" s="533"/>
      <c r="Z200" s="456"/>
      <c r="AA200" s="533"/>
      <c r="AB200" s="456"/>
      <c r="AC200" s="533"/>
      <c r="AD200" s="456"/>
      <c r="AE200" s="533"/>
      <c r="AF200" s="449">
        <f t="shared" ref="AF200:AF263" si="93">SUM(X200,Z200,AB200,AD200)</f>
        <v>0</v>
      </c>
      <c r="AG200" s="450">
        <f t="shared" ref="AG200:AG263" si="94">+AF200/900</f>
        <v>0</v>
      </c>
      <c r="AH200" s="451">
        <f t="shared" ref="AH200:AH263" si="95">SUM(Y200,AA200,AC200,AE200)</f>
        <v>0</v>
      </c>
      <c r="AI200" s="451">
        <f t="shared" ref="AI200:AI263" si="96">+AH200/900</f>
        <v>0</v>
      </c>
      <c r="AJ200" s="456"/>
      <c r="AK200" s="533"/>
      <c r="AL200" s="449">
        <f t="shared" ref="AL200:AL263" si="97">IF(ISBLANK(AJ200),0,AF200)</f>
        <v>0</v>
      </c>
      <c r="AM200" s="452">
        <f t="shared" ref="AM200:AM263" si="98">IF(ISBLANK(AK200),0,AH200)</f>
        <v>0</v>
      </c>
      <c r="AN200" s="456"/>
      <c r="AO200" s="533"/>
      <c r="AP200" s="456">
        <v>7550</v>
      </c>
      <c r="AQ200" s="533">
        <v>7273</v>
      </c>
      <c r="AR200" s="456">
        <v>3865</v>
      </c>
      <c r="AS200" s="533">
        <v>3304</v>
      </c>
      <c r="AT200" s="456">
        <v>7621</v>
      </c>
      <c r="AU200" s="533">
        <v>7070</v>
      </c>
      <c r="AV200" s="449">
        <f t="shared" ref="AV200:AV263" si="99">SUM(AN200,AP200,AR200,AT200)</f>
        <v>19036</v>
      </c>
      <c r="AW200" s="453">
        <f t="shared" ref="AW200:AW263" si="100">+AV200/24</f>
        <v>793.16666666666663</v>
      </c>
      <c r="AX200" s="451">
        <f t="shared" ref="AX200:AX263" si="101">SUM(AO200,AQ200,AS200,AU200)</f>
        <v>17647</v>
      </c>
      <c r="AY200" s="454">
        <f t="shared" ref="AY200:AY263" si="102">+AX200/24</f>
        <v>735.29166666666663</v>
      </c>
      <c r="AZ200" s="455">
        <f t="shared" ref="AZ200:AZ263" si="103">SUM(Q200,AG200,AW200)</f>
        <v>11867.8</v>
      </c>
      <c r="BA200" s="451">
        <f t="shared" ref="BA200:BA263" si="104">SUM(S200,AI200,AY200)</f>
        <v>11539.158333333333</v>
      </c>
    </row>
    <row r="201" spans="1:53" ht="15">
      <c r="A201" s="642" t="s">
        <v>228</v>
      </c>
      <c r="B201" s="643" t="s">
        <v>549</v>
      </c>
      <c r="C201" s="644"/>
      <c r="D201" s="645">
        <v>160621</v>
      </c>
      <c r="E201" s="646">
        <v>3</v>
      </c>
      <c r="F201" s="491" t="s">
        <v>41</v>
      </c>
      <c r="G201" s="667" t="s">
        <v>41</v>
      </c>
      <c r="H201" s="456"/>
      <c r="I201" s="533"/>
      <c r="J201" s="456">
        <v>70096</v>
      </c>
      <c r="K201" s="533">
        <v>62751</v>
      </c>
      <c r="L201" s="456">
        <v>8593</v>
      </c>
      <c r="M201" s="533">
        <v>8983</v>
      </c>
      <c r="N201" s="456">
        <v>71695</v>
      </c>
      <c r="O201" s="533">
        <v>73099</v>
      </c>
      <c r="P201" s="449">
        <f t="shared" si="87"/>
        <v>150384</v>
      </c>
      <c r="Q201" s="450">
        <f t="shared" si="88"/>
        <v>5012.8</v>
      </c>
      <c r="R201" s="451">
        <f t="shared" si="89"/>
        <v>144833</v>
      </c>
      <c r="S201" s="452">
        <f t="shared" si="90"/>
        <v>4827.7666666666664</v>
      </c>
      <c r="T201" s="456">
        <v>605</v>
      </c>
      <c r="U201" s="647">
        <v>1001</v>
      </c>
      <c r="V201" s="449">
        <f t="shared" si="91"/>
        <v>150384</v>
      </c>
      <c r="W201" s="448">
        <f t="shared" si="92"/>
        <v>144833</v>
      </c>
      <c r="X201" s="456"/>
      <c r="Y201" s="533"/>
      <c r="Z201" s="456"/>
      <c r="AA201" s="533"/>
      <c r="AB201" s="456"/>
      <c r="AC201" s="533"/>
      <c r="AD201" s="456"/>
      <c r="AE201" s="533"/>
      <c r="AF201" s="449">
        <f t="shared" si="93"/>
        <v>0</v>
      </c>
      <c r="AG201" s="450">
        <f t="shared" si="94"/>
        <v>0</v>
      </c>
      <c r="AH201" s="451">
        <f t="shared" si="95"/>
        <v>0</v>
      </c>
      <c r="AI201" s="451">
        <f t="shared" si="96"/>
        <v>0</v>
      </c>
      <c r="AJ201" s="456"/>
      <c r="AK201" s="533"/>
      <c r="AL201" s="449">
        <f t="shared" si="97"/>
        <v>0</v>
      </c>
      <c r="AM201" s="452">
        <f t="shared" si="98"/>
        <v>0</v>
      </c>
      <c r="AN201" s="456"/>
      <c r="AO201" s="533"/>
      <c r="AP201" s="456">
        <v>15880</v>
      </c>
      <c r="AQ201" s="533">
        <v>15654</v>
      </c>
      <c r="AR201" s="456">
        <v>4040</v>
      </c>
      <c r="AS201" s="533">
        <v>4052</v>
      </c>
      <c r="AT201" s="456">
        <v>16476</v>
      </c>
      <c r="AU201" s="533">
        <v>16660</v>
      </c>
      <c r="AV201" s="449">
        <f t="shared" si="99"/>
        <v>36396</v>
      </c>
      <c r="AW201" s="453">
        <f t="shared" si="100"/>
        <v>1516.5</v>
      </c>
      <c r="AX201" s="451">
        <f t="shared" si="101"/>
        <v>36366</v>
      </c>
      <c r="AY201" s="454">
        <f t="shared" si="102"/>
        <v>1515.25</v>
      </c>
      <c r="AZ201" s="455">
        <f t="shared" si="103"/>
        <v>6529.3</v>
      </c>
      <c r="BA201" s="451">
        <f t="shared" si="104"/>
        <v>6343.0166666666664</v>
      </c>
    </row>
    <row r="202" spans="1:53" ht="15">
      <c r="A202" s="642" t="s">
        <v>228</v>
      </c>
      <c r="B202" s="643" t="s">
        <v>550</v>
      </c>
      <c r="C202" s="644"/>
      <c r="D202" s="645">
        <v>159993</v>
      </c>
      <c r="E202" s="646">
        <v>3</v>
      </c>
      <c r="F202" s="491" t="s">
        <v>41</v>
      </c>
      <c r="G202" s="667" t="s">
        <v>41</v>
      </c>
      <c r="H202" s="456">
        <v>2405</v>
      </c>
      <c r="I202" s="533">
        <v>2342</v>
      </c>
      <c r="J202" s="456">
        <v>74599</v>
      </c>
      <c r="K202" s="533">
        <v>74615</v>
      </c>
      <c r="L202" s="456">
        <v>10086</v>
      </c>
      <c r="M202" s="533">
        <v>13876</v>
      </c>
      <c r="N202" s="456">
        <v>85866</v>
      </c>
      <c r="O202" s="533">
        <v>89293</v>
      </c>
      <c r="P202" s="449">
        <f t="shared" si="87"/>
        <v>172956</v>
      </c>
      <c r="Q202" s="450">
        <f t="shared" si="88"/>
        <v>5765.2</v>
      </c>
      <c r="R202" s="451">
        <f t="shared" si="89"/>
        <v>180126</v>
      </c>
      <c r="S202" s="452">
        <f t="shared" si="90"/>
        <v>6004.2</v>
      </c>
      <c r="T202" s="456">
        <v>12095</v>
      </c>
      <c r="U202" s="647">
        <v>13845</v>
      </c>
      <c r="V202" s="449">
        <f t="shared" si="91"/>
        <v>172956</v>
      </c>
      <c r="W202" s="448">
        <f t="shared" si="92"/>
        <v>180126</v>
      </c>
      <c r="X202" s="456"/>
      <c r="Y202" s="533"/>
      <c r="Z202" s="456"/>
      <c r="AA202" s="533"/>
      <c r="AB202" s="456"/>
      <c r="AC202" s="533"/>
      <c r="AD202" s="456"/>
      <c r="AE202" s="533"/>
      <c r="AF202" s="449">
        <f t="shared" si="93"/>
        <v>0</v>
      </c>
      <c r="AG202" s="450">
        <f t="shared" si="94"/>
        <v>0</v>
      </c>
      <c r="AH202" s="451">
        <f t="shared" si="95"/>
        <v>0</v>
      </c>
      <c r="AI202" s="451">
        <f t="shared" si="96"/>
        <v>0</v>
      </c>
      <c r="AJ202" s="456"/>
      <c r="AK202" s="533"/>
      <c r="AL202" s="449">
        <f t="shared" si="97"/>
        <v>0</v>
      </c>
      <c r="AM202" s="452">
        <f t="shared" si="98"/>
        <v>0</v>
      </c>
      <c r="AN202" s="456">
        <v>357</v>
      </c>
      <c r="AO202" s="533">
        <v>132</v>
      </c>
      <c r="AP202" s="456">
        <v>13566</v>
      </c>
      <c r="AQ202" s="533">
        <v>13212</v>
      </c>
      <c r="AR202" s="456">
        <v>6074</v>
      </c>
      <c r="AS202" s="533">
        <v>5738</v>
      </c>
      <c r="AT202" s="456">
        <v>14477</v>
      </c>
      <c r="AU202" s="533">
        <v>14340</v>
      </c>
      <c r="AV202" s="449">
        <f t="shared" si="99"/>
        <v>34474</v>
      </c>
      <c r="AW202" s="453">
        <f t="shared" si="100"/>
        <v>1436.4166666666667</v>
      </c>
      <c r="AX202" s="451">
        <f t="shared" si="101"/>
        <v>33422</v>
      </c>
      <c r="AY202" s="454">
        <f t="shared" si="102"/>
        <v>1392.5833333333333</v>
      </c>
      <c r="AZ202" s="455">
        <f t="shared" si="103"/>
        <v>7201.6166666666668</v>
      </c>
      <c r="BA202" s="451">
        <f t="shared" si="104"/>
        <v>7396.7833333333328</v>
      </c>
    </row>
    <row r="203" spans="1:53" ht="15">
      <c r="A203" s="642" t="s">
        <v>228</v>
      </c>
      <c r="B203" s="643" t="s">
        <v>551</v>
      </c>
      <c r="C203" s="644"/>
      <c r="D203" s="645">
        <v>159009</v>
      </c>
      <c r="E203" s="646">
        <v>4</v>
      </c>
      <c r="F203" s="491" t="s">
        <v>41</v>
      </c>
      <c r="G203" s="667" t="s">
        <v>41</v>
      </c>
      <c r="H203" s="456"/>
      <c r="I203" s="533"/>
      <c r="J203" s="456">
        <v>50170</v>
      </c>
      <c r="K203" s="533">
        <v>44274</v>
      </c>
      <c r="L203" s="456">
        <v>8473</v>
      </c>
      <c r="M203" s="533">
        <v>8326</v>
      </c>
      <c r="N203" s="456">
        <v>48330</v>
      </c>
      <c r="O203" s="533">
        <v>49027</v>
      </c>
      <c r="P203" s="449">
        <f t="shared" si="87"/>
        <v>106973</v>
      </c>
      <c r="Q203" s="450">
        <f t="shared" si="88"/>
        <v>3565.7666666666669</v>
      </c>
      <c r="R203" s="451">
        <f t="shared" si="89"/>
        <v>101627</v>
      </c>
      <c r="S203" s="452">
        <f t="shared" si="90"/>
        <v>3387.5666666666666</v>
      </c>
      <c r="T203" s="456">
        <v>243</v>
      </c>
      <c r="U203" s="647">
        <v>166</v>
      </c>
      <c r="V203" s="449">
        <f t="shared" si="91"/>
        <v>106973</v>
      </c>
      <c r="W203" s="448">
        <f t="shared" si="92"/>
        <v>101627</v>
      </c>
      <c r="X203" s="456"/>
      <c r="Y203" s="533"/>
      <c r="Z203" s="456"/>
      <c r="AA203" s="533"/>
      <c r="AB203" s="456"/>
      <c r="AC203" s="533"/>
      <c r="AD203" s="456"/>
      <c r="AE203" s="533"/>
      <c r="AF203" s="449">
        <f t="shared" si="93"/>
        <v>0</v>
      </c>
      <c r="AG203" s="450">
        <f t="shared" si="94"/>
        <v>0</v>
      </c>
      <c r="AH203" s="451">
        <f t="shared" si="95"/>
        <v>0</v>
      </c>
      <c r="AI203" s="451">
        <f t="shared" si="96"/>
        <v>0</v>
      </c>
      <c r="AJ203" s="456"/>
      <c r="AK203" s="533"/>
      <c r="AL203" s="449">
        <f t="shared" si="97"/>
        <v>0</v>
      </c>
      <c r="AM203" s="452">
        <f t="shared" si="98"/>
        <v>0</v>
      </c>
      <c r="AN203" s="456"/>
      <c r="AO203" s="533"/>
      <c r="AP203" s="456">
        <v>7343</v>
      </c>
      <c r="AQ203" s="533">
        <v>7382</v>
      </c>
      <c r="AR203" s="456">
        <v>2687</v>
      </c>
      <c r="AS203" s="533">
        <v>2961</v>
      </c>
      <c r="AT203" s="456">
        <v>7431</v>
      </c>
      <c r="AU203" s="533">
        <v>7253</v>
      </c>
      <c r="AV203" s="449">
        <f t="shared" si="99"/>
        <v>17461</v>
      </c>
      <c r="AW203" s="453">
        <f t="shared" si="100"/>
        <v>727.54166666666663</v>
      </c>
      <c r="AX203" s="451">
        <f t="shared" si="101"/>
        <v>17596</v>
      </c>
      <c r="AY203" s="454">
        <f t="shared" si="102"/>
        <v>733.16666666666663</v>
      </c>
      <c r="AZ203" s="455">
        <f t="shared" si="103"/>
        <v>4293.3083333333334</v>
      </c>
      <c r="BA203" s="451">
        <f t="shared" si="104"/>
        <v>4120.7333333333336</v>
      </c>
    </row>
    <row r="204" spans="1:53" ht="15">
      <c r="A204" s="642" t="s">
        <v>228</v>
      </c>
      <c r="B204" s="643" t="s">
        <v>552</v>
      </c>
      <c r="C204" s="644"/>
      <c r="D204" s="645">
        <v>159416</v>
      </c>
      <c r="E204" s="646">
        <v>4</v>
      </c>
      <c r="F204" s="491" t="s">
        <v>41</v>
      </c>
      <c r="G204" s="667" t="s">
        <v>41</v>
      </c>
      <c r="H204" s="456"/>
      <c r="I204" s="533"/>
      <c r="J204" s="456">
        <v>32421</v>
      </c>
      <c r="K204" s="533">
        <v>30950</v>
      </c>
      <c r="L204" s="456">
        <v>5828</v>
      </c>
      <c r="M204" s="533">
        <v>4663</v>
      </c>
      <c r="N204" s="456">
        <v>34333</v>
      </c>
      <c r="O204" s="533">
        <v>30936</v>
      </c>
      <c r="P204" s="449">
        <f t="shared" si="87"/>
        <v>72582</v>
      </c>
      <c r="Q204" s="450">
        <f t="shared" si="88"/>
        <v>2419.4</v>
      </c>
      <c r="R204" s="451">
        <f t="shared" si="89"/>
        <v>66549</v>
      </c>
      <c r="S204" s="452">
        <f t="shared" si="90"/>
        <v>2218.3000000000002</v>
      </c>
      <c r="T204" s="456">
        <v>6748</v>
      </c>
      <c r="U204" s="647">
        <v>3825</v>
      </c>
      <c r="V204" s="449">
        <f t="shared" si="91"/>
        <v>72582</v>
      </c>
      <c r="W204" s="448">
        <f t="shared" si="92"/>
        <v>66549</v>
      </c>
      <c r="X204" s="456"/>
      <c r="Y204" s="533"/>
      <c r="Z204" s="456"/>
      <c r="AA204" s="533"/>
      <c r="AB204" s="456"/>
      <c r="AC204" s="533"/>
      <c r="AD204" s="456"/>
      <c r="AE204" s="533"/>
      <c r="AF204" s="449">
        <f t="shared" si="93"/>
        <v>0</v>
      </c>
      <c r="AG204" s="450">
        <f t="shared" si="94"/>
        <v>0</v>
      </c>
      <c r="AH204" s="451">
        <f t="shared" si="95"/>
        <v>0</v>
      </c>
      <c r="AI204" s="451">
        <f t="shared" si="96"/>
        <v>0</v>
      </c>
      <c r="AJ204" s="456"/>
      <c r="AK204" s="533"/>
      <c r="AL204" s="449">
        <f t="shared" si="97"/>
        <v>0</v>
      </c>
      <c r="AM204" s="452">
        <f t="shared" si="98"/>
        <v>0</v>
      </c>
      <c r="AN204" s="456"/>
      <c r="AO204" s="533"/>
      <c r="AP204" s="649">
        <v>2693</v>
      </c>
      <c r="AQ204" s="650">
        <v>7551</v>
      </c>
      <c r="AR204" s="649">
        <v>2874</v>
      </c>
      <c r="AS204" s="650">
        <v>5967</v>
      </c>
      <c r="AT204" s="649">
        <v>4849</v>
      </c>
      <c r="AU204" s="650">
        <v>9918</v>
      </c>
      <c r="AV204" s="449">
        <f t="shared" si="99"/>
        <v>10416</v>
      </c>
      <c r="AW204" s="453">
        <f t="shared" si="100"/>
        <v>434</v>
      </c>
      <c r="AX204" s="451">
        <f t="shared" si="101"/>
        <v>23436</v>
      </c>
      <c r="AY204" s="454">
        <f t="shared" si="102"/>
        <v>976.5</v>
      </c>
      <c r="AZ204" s="455">
        <f t="shared" si="103"/>
        <v>2853.4</v>
      </c>
      <c r="BA204" s="451">
        <f t="shared" si="104"/>
        <v>3194.8</v>
      </c>
    </row>
    <row r="205" spans="1:53" ht="15">
      <c r="A205" s="642" t="s">
        <v>228</v>
      </c>
      <c r="B205" s="643" t="s">
        <v>553</v>
      </c>
      <c r="C205" s="644" t="s">
        <v>310</v>
      </c>
      <c r="D205" s="645">
        <v>159717</v>
      </c>
      <c r="E205" s="646">
        <v>4</v>
      </c>
      <c r="F205" s="491" t="s">
        <v>41</v>
      </c>
      <c r="G205" s="667" t="s">
        <v>41</v>
      </c>
      <c r="H205" s="456"/>
      <c r="I205" s="533"/>
      <c r="J205" s="456">
        <v>91454</v>
      </c>
      <c r="K205" s="533">
        <v>88847</v>
      </c>
      <c r="L205" s="456">
        <v>10028</v>
      </c>
      <c r="M205" s="533">
        <v>9340</v>
      </c>
      <c r="N205" s="456">
        <v>95221</v>
      </c>
      <c r="O205" s="533">
        <v>96581</v>
      </c>
      <c r="P205" s="449">
        <f t="shared" si="87"/>
        <v>196703</v>
      </c>
      <c r="Q205" s="450">
        <f t="shared" si="88"/>
        <v>6556.7666666666664</v>
      </c>
      <c r="R205" s="451">
        <f t="shared" si="89"/>
        <v>194768</v>
      </c>
      <c r="S205" s="452">
        <f t="shared" si="90"/>
        <v>6492.2666666666664</v>
      </c>
      <c r="T205" s="456">
        <v>6391</v>
      </c>
      <c r="U205" s="647">
        <v>7233</v>
      </c>
      <c r="V205" s="449">
        <f t="shared" si="91"/>
        <v>196703</v>
      </c>
      <c r="W205" s="448">
        <f t="shared" si="92"/>
        <v>194768</v>
      </c>
      <c r="X205" s="456"/>
      <c r="Y205" s="533"/>
      <c r="Z205" s="456"/>
      <c r="AA205" s="533"/>
      <c r="AB205" s="456"/>
      <c r="AC205" s="533"/>
      <c r="AD205" s="456"/>
      <c r="AE205" s="533"/>
      <c r="AF205" s="449">
        <f t="shared" si="93"/>
        <v>0</v>
      </c>
      <c r="AG205" s="450">
        <f t="shared" si="94"/>
        <v>0</v>
      </c>
      <c r="AH205" s="451">
        <f t="shared" si="95"/>
        <v>0</v>
      </c>
      <c r="AI205" s="451">
        <f t="shared" si="96"/>
        <v>0</v>
      </c>
      <c r="AJ205" s="456"/>
      <c r="AK205" s="533"/>
      <c r="AL205" s="449">
        <f t="shared" si="97"/>
        <v>0</v>
      </c>
      <c r="AM205" s="452">
        <f t="shared" si="98"/>
        <v>0</v>
      </c>
      <c r="AN205" s="456"/>
      <c r="AO205" s="533"/>
      <c r="AP205" s="456">
        <v>5032</v>
      </c>
      <c r="AQ205" s="533">
        <v>5185</v>
      </c>
      <c r="AR205" s="456">
        <v>1534</v>
      </c>
      <c r="AS205" s="533">
        <v>1334</v>
      </c>
      <c r="AT205" s="456">
        <v>5286</v>
      </c>
      <c r="AU205" s="533">
        <v>5223</v>
      </c>
      <c r="AV205" s="449">
        <f t="shared" si="99"/>
        <v>11852</v>
      </c>
      <c r="AW205" s="453">
        <f t="shared" si="100"/>
        <v>493.83333333333331</v>
      </c>
      <c r="AX205" s="451">
        <f t="shared" si="101"/>
        <v>11742</v>
      </c>
      <c r="AY205" s="454">
        <f t="shared" si="102"/>
        <v>489.25</v>
      </c>
      <c r="AZ205" s="455">
        <f t="shared" si="103"/>
        <v>7050.5999999999995</v>
      </c>
      <c r="BA205" s="451">
        <f t="shared" si="104"/>
        <v>6981.5166666666664</v>
      </c>
    </row>
    <row r="206" spans="1:53" ht="15">
      <c r="A206" s="642" t="s">
        <v>228</v>
      </c>
      <c r="B206" s="643" t="s">
        <v>554</v>
      </c>
      <c r="C206" s="644"/>
      <c r="D206" s="645">
        <v>159966</v>
      </c>
      <c r="E206" s="646">
        <v>4</v>
      </c>
      <c r="F206" s="491" t="s">
        <v>41</v>
      </c>
      <c r="G206" s="667" t="s">
        <v>41</v>
      </c>
      <c r="H206" s="456"/>
      <c r="I206" s="533"/>
      <c r="J206" s="456">
        <v>70672</v>
      </c>
      <c r="K206" s="533">
        <v>67864</v>
      </c>
      <c r="L206" s="456">
        <v>9802</v>
      </c>
      <c r="M206" s="533">
        <v>9440</v>
      </c>
      <c r="N206" s="456">
        <v>77212</v>
      </c>
      <c r="O206" s="533">
        <v>73298</v>
      </c>
      <c r="P206" s="449">
        <f t="shared" si="87"/>
        <v>157686</v>
      </c>
      <c r="Q206" s="450">
        <f t="shared" si="88"/>
        <v>5256.2</v>
      </c>
      <c r="R206" s="451">
        <f t="shared" si="89"/>
        <v>150602</v>
      </c>
      <c r="S206" s="452">
        <f t="shared" si="90"/>
        <v>5020.0666666666666</v>
      </c>
      <c r="T206" s="456">
        <v>1307</v>
      </c>
      <c r="U206" s="647">
        <v>1480</v>
      </c>
      <c r="V206" s="449">
        <f t="shared" si="91"/>
        <v>157686</v>
      </c>
      <c r="W206" s="448">
        <f t="shared" si="92"/>
        <v>150602</v>
      </c>
      <c r="X206" s="456"/>
      <c r="Y206" s="533"/>
      <c r="Z206" s="456"/>
      <c r="AA206" s="533"/>
      <c r="AB206" s="456"/>
      <c r="AC206" s="533"/>
      <c r="AD206" s="456"/>
      <c r="AE206" s="533"/>
      <c r="AF206" s="449">
        <f t="shared" si="93"/>
        <v>0</v>
      </c>
      <c r="AG206" s="450">
        <f t="shared" si="94"/>
        <v>0</v>
      </c>
      <c r="AH206" s="451">
        <f t="shared" si="95"/>
        <v>0</v>
      </c>
      <c r="AI206" s="451">
        <f t="shared" si="96"/>
        <v>0</v>
      </c>
      <c r="AJ206" s="456"/>
      <c r="AK206" s="533"/>
      <c r="AL206" s="449">
        <f t="shared" si="97"/>
        <v>0</v>
      </c>
      <c r="AM206" s="452">
        <f t="shared" si="98"/>
        <v>0</v>
      </c>
      <c r="AN206" s="456"/>
      <c r="AO206" s="533"/>
      <c r="AP206" s="456">
        <v>4174</v>
      </c>
      <c r="AQ206" s="533">
        <v>4228</v>
      </c>
      <c r="AR206" s="456">
        <v>2635</v>
      </c>
      <c r="AS206" s="533">
        <v>3037</v>
      </c>
      <c r="AT206" s="456">
        <v>3985</v>
      </c>
      <c r="AU206" s="533">
        <v>4496</v>
      </c>
      <c r="AV206" s="449">
        <f t="shared" si="99"/>
        <v>10794</v>
      </c>
      <c r="AW206" s="453">
        <f t="shared" si="100"/>
        <v>449.75</v>
      </c>
      <c r="AX206" s="451">
        <f t="shared" si="101"/>
        <v>11761</v>
      </c>
      <c r="AY206" s="454">
        <f t="shared" si="102"/>
        <v>490.04166666666669</v>
      </c>
      <c r="AZ206" s="455">
        <f t="shared" si="103"/>
        <v>5705.95</v>
      </c>
      <c r="BA206" s="451">
        <f t="shared" si="104"/>
        <v>5510.1083333333336</v>
      </c>
    </row>
    <row r="207" spans="1:53" ht="15">
      <c r="A207" s="642" t="s">
        <v>228</v>
      </c>
      <c r="B207" s="643" t="s">
        <v>555</v>
      </c>
      <c r="C207" s="644"/>
      <c r="D207" s="645">
        <v>160038</v>
      </c>
      <c r="E207" s="646">
        <v>4</v>
      </c>
      <c r="F207" s="491" t="s">
        <v>41</v>
      </c>
      <c r="G207" s="667" t="s">
        <v>41</v>
      </c>
      <c r="H207" s="456"/>
      <c r="I207" s="533"/>
      <c r="J207" s="456">
        <v>89205</v>
      </c>
      <c r="K207" s="533">
        <v>85837</v>
      </c>
      <c r="L207" s="456">
        <v>16140</v>
      </c>
      <c r="M207" s="533">
        <v>14374</v>
      </c>
      <c r="N207" s="456">
        <v>95953</v>
      </c>
      <c r="O207" s="533">
        <v>98408</v>
      </c>
      <c r="P207" s="449">
        <f t="shared" si="87"/>
        <v>201298</v>
      </c>
      <c r="Q207" s="450">
        <f t="shared" si="88"/>
        <v>6709.9333333333334</v>
      </c>
      <c r="R207" s="451">
        <f t="shared" si="89"/>
        <v>198619</v>
      </c>
      <c r="S207" s="452">
        <f t="shared" si="90"/>
        <v>6620.6333333333332</v>
      </c>
      <c r="T207" s="456">
        <v>8142</v>
      </c>
      <c r="U207" s="647">
        <v>10020</v>
      </c>
      <c r="V207" s="449">
        <f t="shared" si="91"/>
        <v>201298</v>
      </c>
      <c r="W207" s="448">
        <f t="shared" si="92"/>
        <v>198619</v>
      </c>
      <c r="X207" s="456"/>
      <c r="Y207" s="533"/>
      <c r="Z207" s="456"/>
      <c r="AA207" s="533"/>
      <c r="AB207" s="456"/>
      <c r="AC207" s="533"/>
      <c r="AD207" s="456"/>
      <c r="AE207" s="533"/>
      <c r="AF207" s="449">
        <f t="shared" si="93"/>
        <v>0</v>
      </c>
      <c r="AG207" s="450">
        <f t="shared" si="94"/>
        <v>0</v>
      </c>
      <c r="AH207" s="451">
        <f t="shared" si="95"/>
        <v>0</v>
      </c>
      <c r="AI207" s="451">
        <f t="shared" si="96"/>
        <v>0</v>
      </c>
      <c r="AJ207" s="456"/>
      <c r="AK207" s="533"/>
      <c r="AL207" s="449">
        <f t="shared" si="97"/>
        <v>0</v>
      </c>
      <c r="AM207" s="452">
        <f t="shared" si="98"/>
        <v>0</v>
      </c>
      <c r="AN207" s="456"/>
      <c r="AO207" s="533"/>
      <c r="AP207" s="456">
        <v>6064</v>
      </c>
      <c r="AQ207" s="533">
        <v>6486</v>
      </c>
      <c r="AR207" s="456">
        <v>3616</v>
      </c>
      <c r="AS207" s="533">
        <v>4177</v>
      </c>
      <c r="AT207" s="456">
        <v>6570</v>
      </c>
      <c r="AU207" s="533">
        <v>6634</v>
      </c>
      <c r="AV207" s="449">
        <f t="shared" si="99"/>
        <v>16250</v>
      </c>
      <c r="AW207" s="453">
        <f t="shared" si="100"/>
        <v>677.08333333333337</v>
      </c>
      <c r="AX207" s="451">
        <f t="shared" si="101"/>
        <v>17297</v>
      </c>
      <c r="AY207" s="454">
        <f t="shared" si="102"/>
        <v>720.70833333333337</v>
      </c>
      <c r="AZ207" s="455">
        <f t="shared" si="103"/>
        <v>7387.0166666666664</v>
      </c>
      <c r="BA207" s="451">
        <f t="shared" si="104"/>
        <v>7341.3416666666662</v>
      </c>
    </row>
    <row r="208" spans="1:53" ht="15">
      <c r="A208" s="642" t="s">
        <v>228</v>
      </c>
      <c r="B208" s="651" t="s">
        <v>556</v>
      </c>
      <c r="C208" s="652"/>
      <c r="D208" s="645">
        <v>160630</v>
      </c>
      <c r="E208" s="661">
        <v>5</v>
      </c>
      <c r="F208" s="491" t="s">
        <v>41</v>
      </c>
      <c r="G208" s="667" t="s">
        <v>41</v>
      </c>
      <c r="H208" s="456"/>
      <c r="I208" s="533"/>
      <c r="J208" s="456">
        <v>32574</v>
      </c>
      <c r="K208" s="533">
        <v>27808</v>
      </c>
      <c r="L208" s="456">
        <v>2655</v>
      </c>
      <c r="M208" s="533"/>
      <c r="N208" s="456">
        <v>29843</v>
      </c>
      <c r="O208" s="533">
        <v>29562</v>
      </c>
      <c r="P208" s="449">
        <f t="shared" si="87"/>
        <v>65072</v>
      </c>
      <c r="Q208" s="450">
        <f t="shared" si="88"/>
        <v>2169.0666666666666</v>
      </c>
      <c r="R208" s="451">
        <f t="shared" si="89"/>
        <v>57370</v>
      </c>
      <c r="S208" s="452">
        <f t="shared" si="90"/>
        <v>1912.3333333333333</v>
      </c>
      <c r="T208" s="456">
        <v>1371</v>
      </c>
      <c r="U208" s="647">
        <v>1404</v>
      </c>
      <c r="V208" s="449">
        <f t="shared" si="91"/>
        <v>65072</v>
      </c>
      <c r="W208" s="448">
        <f t="shared" si="92"/>
        <v>57370</v>
      </c>
      <c r="X208" s="456"/>
      <c r="Y208" s="533"/>
      <c r="Z208" s="456"/>
      <c r="AA208" s="533"/>
      <c r="AB208" s="456"/>
      <c r="AC208" s="533"/>
      <c r="AD208" s="456"/>
      <c r="AE208" s="533"/>
      <c r="AF208" s="449">
        <f t="shared" si="93"/>
        <v>0</v>
      </c>
      <c r="AG208" s="450">
        <f t="shared" si="94"/>
        <v>0</v>
      </c>
      <c r="AH208" s="451">
        <f t="shared" si="95"/>
        <v>0</v>
      </c>
      <c r="AI208" s="451">
        <f t="shared" si="96"/>
        <v>0</v>
      </c>
      <c r="AJ208" s="456"/>
      <c r="AK208" s="533"/>
      <c r="AL208" s="449">
        <f t="shared" si="97"/>
        <v>0</v>
      </c>
      <c r="AM208" s="452">
        <f t="shared" si="98"/>
        <v>0</v>
      </c>
      <c r="AN208" s="456"/>
      <c r="AO208" s="533"/>
      <c r="AP208" s="456">
        <v>981</v>
      </c>
      <c r="AQ208" s="533">
        <v>1081</v>
      </c>
      <c r="AR208" s="456">
        <v>160</v>
      </c>
      <c r="AS208" s="533">
        <v>160</v>
      </c>
      <c r="AT208" s="456">
        <v>915</v>
      </c>
      <c r="AU208" s="533">
        <v>1085</v>
      </c>
      <c r="AV208" s="449">
        <f t="shared" si="99"/>
        <v>2056</v>
      </c>
      <c r="AW208" s="453">
        <f t="shared" si="100"/>
        <v>85.666666666666671</v>
      </c>
      <c r="AX208" s="451">
        <f t="shared" si="101"/>
        <v>2326</v>
      </c>
      <c r="AY208" s="454">
        <f t="shared" si="102"/>
        <v>96.916666666666671</v>
      </c>
      <c r="AZ208" s="455">
        <f t="shared" si="103"/>
        <v>2254.7333333333331</v>
      </c>
      <c r="BA208" s="451">
        <f t="shared" si="104"/>
        <v>2009.25</v>
      </c>
    </row>
    <row r="209" spans="1:53" ht="15">
      <c r="A209" s="642" t="s">
        <v>228</v>
      </c>
      <c r="B209" s="651" t="s">
        <v>557</v>
      </c>
      <c r="C209" s="652"/>
      <c r="D209" s="645">
        <v>159382</v>
      </c>
      <c r="E209" s="646">
        <v>6</v>
      </c>
      <c r="F209" s="491" t="s">
        <v>41</v>
      </c>
      <c r="G209" s="667" t="s">
        <v>41</v>
      </c>
      <c r="H209" s="456"/>
      <c r="I209" s="533"/>
      <c r="J209" s="456">
        <v>21849</v>
      </c>
      <c r="K209" s="533">
        <v>26034</v>
      </c>
      <c r="L209" s="456">
        <v>4413</v>
      </c>
      <c r="M209" s="533">
        <v>4195</v>
      </c>
      <c r="N209" s="456">
        <v>29103</v>
      </c>
      <c r="O209" s="533">
        <v>30569</v>
      </c>
      <c r="P209" s="449">
        <f t="shared" si="87"/>
        <v>55365</v>
      </c>
      <c r="Q209" s="450">
        <f t="shared" si="88"/>
        <v>1845.5</v>
      </c>
      <c r="R209" s="451">
        <f t="shared" si="89"/>
        <v>60798</v>
      </c>
      <c r="S209" s="452">
        <f t="shared" si="90"/>
        <v>2026.6</v>
      </c>
      <c r="T209" s="456">
        <v>3437</v>
      </c>
      <c r="U209" s="647">
        <v>5555</v>
      </c>
      <c r="V209" s="449">
        <f t="shared" si="91"/>
        <v>55365</v>
      </c>
      <c r="W209" s="448">
        <f t="shared" si="92"/>
        <v>60798</v>
      </c>
      <c r="X209" s="456"/>
      <c r="Y209" s="533"/>
      <c r="Z209" s="456"/>
      <c r="AA209" s="533"/>
      <c r="AB209" s="456"/>
      <c r="AC209" s="533"/>
      <c r="AD209" s="456"/>
      <c r="AE209" s="533"/>
      <c r="AF209" s="449">
        <f t="shared" si="93"/>
        <v>0</v>
      </c>
      <c r="AG209" s="450">
        <f t="shared" si="94"/>
        <v>0</v>
      </c>
      <c r="AH209" s="451">
        <f t="shared" si="95"/>
        <v>0</v>
      </c>
      <c r="AI209" s="451">
        <f t="shared" si="96"/>
        <v>0</v>
      </c>
      <c r="AJ209" s="456"/>
      <c r="AK209" s="533"/>
      <c r="AL209" s="449">
        <f t="shared" si="97"/>
        <v>0</v>
      </c>
      <c r="AM209" s="452">
        <f t="shared" si="98"/>
        <v>0</v>
      </c>
      <c r="AN209" s="456"/>
      <c r="AO209" s="533"/>
      <c r="AP209" s="456"/>
      <c r="AQ209" s="533"/>
      <c r="AR209" s="456"/>
      <c r="AS209" s="533"/>
      <c r="AT209" s="456"/>
      <c r="AU209" s="533"/>
      <c r="AV209" s="449">
        <f t="shared" si="99"/>
        <v>0</v>
      </c>
      <c r="AW209" s="453">
        <f t="shared" si="100"/>
        <v>0</v>
      </c>
      <c r="AX209" s="451">
        <f t="shared" si="101"/>
        <v>0</v>
      </c>
      <c r="AY209" s="454">
        <f t="shared" si="102"/>
        <v>0</v>
      </c>
      <c r="AZ209" s="455">
        <f t="shared" si="103"/>
        <v>1845.5</v>
      </c>
      <c r="BA209" s="451">
        <f t="shared" si="104"/>
        <v>2026.6</v>
      </c>
    </row>
    <row r="210" spans="1:53" ht="15">
      <c r="A210" s="642" t="s">
        <v>228</v>
      </c>
      <c r="B210" s="654" t="s">
        <v>558</v>
      </c>
      <c r="C210" s="655"/>
      <c r="D210" s="645">
        <v>437103</v>
      </c>
      <c r="E210" s="656">
        <v>8</v>
      </c>
      <c r="F210" s="491" t="s">
        <v>41</v>
      </c>
      <c r="G210" s="667" t="s">
        <v>41</v>
      </c>
      <c r="H210" s="456"/>
      <c r="I210" s="533"/>
      <c r="J210" s="456">
        <v>92171</v>
      </c>
      <c r="K210" s="657">
        <v>94476.5</v>
      </c>
      <c r="L210" s="456">
        <v>16402.5</v>
      </c>
      <c r="M210" s="658">
        <v>16249</v>
      </c>
      <c r="N210" s="456">
        <v>104547</v>
      </c>
      <c r="O210" s="659">
        <v>92329.5</v>
      </c>
      <c r="P210" s="449">
        <f t="shared" si="87"/>
        <v>213120.5</v>
      </c>
      <c r="Q210" s="450">
        <f t="shared" si="88"/>
        <v>7104.0166666666664</v>
      </c>
      <c r="R210" s="451">
        <f t="shared" si="89"/>
        <v>203055</v>
      </c>
      <c r="S210" s="452">
        <f t="shared" si="90"/>
        <v>6768.5</v>
      </c>
      <c r="T210" s="456">
        <v>6868</v>
      </c>
      <c r="U210" s="647">
        <v>4650</v>
      </c>
      <c r="V210" s="449">
        <f t="shared" si="91"/>
        <v>213120.5</v>
      </c>
      <c r="W210" s="448">
        <f t="shared" si="92"/>
        <v>203055</v>
      </c>
      <c r="X210" s="456"/>
      <c r="Y210" s="533"/>
      <c r="Z210" s="456"/>
      <c r="AA210" s="533"/>
      <c r="AB210" s="456"/>
      <c r="AC210" s="533"/>
      <c r="AD210" s="456"/>
      <c r="AE210" s="533"/>
      <c r="AF210" s="449">
        <f t="shared" si="93"/>
        <v>0</v>
      </c>
      <c r="AG210" s="450">
        <f t="shared" si="94"/>
        <v>0</v>
      </c>
      <c r="AH210" s="451">
        <f t="shared" si="95"/>
        <v>0</v>
      </c>
      <c r="AI210" s="451">
        <f t="shared" si="96"/>
        <v>0</v>
      </c>
      <c r="AJ210" s="456"/>
      <c r="AK210" s="533"/>
      <c r="AL210" s="449">
        <f t="shared" si="97"/>
        <v>0</v>
      </c>
      <c r="AM210" s="452">
        <f t="shared" si="98"/>
        <v>0</v>
      </c>
      <c r="AN210" s="456"/>
      <c r="AO210" s="533"/>
      <c r="AP210" s="456"/>
      <c r="AQ210" s="533"/>
      <c r="AR210" s="456"/>
      <c r="AS210" s="533"/>
      <c r="AT210" s="456"/>
      <c r="AU210" s="533"/>
      <c r="AV210" s="449">
        <f t="shared" si="99"/>
        <v>0</v>
      </c>
      <c r="AW210" s="453">
        <f t="shared" si="100"/>
        <v>0</v>
      </c>
      <c r="AX210" s="451">
        <f t="shared" si="101"/>
        <v>0</v>
      </c>
      <c r="AY210" s="454">
        <f t="shared" si="102"/>
        <v>0</v>
      </c>
      <c r="AZ210" s="455">
        <f t="shared" si="103"/>
        <v>7104.0166666666664</v>
      </c>
      <c r="BA210" s="451">
        <f t="shared" si="104"/>
        <v>6768.5</v>
      </c>
    </row>
    <row r="211" spans="1:53" ht="15">
      <c r="A211" s="642" t="s">
        <v>228</v>
      </c>
      <c r="B211" s="651" t="s">
        <v>559</v>
      </c>
      <c r="C211" s="652"/>
      <c r="D211" s="645">
        <v>158431</v>
      </c>
      <c r="E211" s="646">
        <v>8</v>
      </c>
      <c r="F211" s="491" t="s">
        <v>41</v>
      </c>
      <c r="G211" s="667" t="s">
        <v>41</v>
      </c>
      <c r="H211" s="456"/>
      <c r="I211" s="533"/>
      <c r="J211" s="456">
        <v>80366</v>
      </c>
      <c r="K211" s="657">
        <v>79734</v>
      </c>
      <c r="L211" s="456">
        <v>13204</v>
      </c>
      <c r="M211" s="658">
        <v>10443</v>
      </c>
      <c r="N211" s="456">
        <v>91051</v>
      </c>
      <c r="O211" s="659">
        <v>61503</v>
      </c>
      <c r="P211" s="449">
        <f t="shared" si="87"/>
        <v>184621</v>
      </c>
      <c r="Q211" s="450">
        <f t="shared" si="88"/>
        <v>6154.0333333333338</v>
      </c>
      <c r="R211" s="451">
        <f t="shared" si="89"/>
        <v>151680</v>
      </c>
      <c r="S211" s="452">
        <f t="shared" si="90"/>
        <v>5056</v>
      </c>
      <c r="T211" s="456">
        <v>5302</v>
      </c>
      <c r="U211" s="647">
        <v>5454</v>
      </c>
      <c r="V211" s="449">
        <f t="shared" si="91"/>
        <v>184621</v>
      </c>
      <c r="W211" s="448">
        <f t="shared" si="92"/>
        <v>151680</v>
      </c>
      <c r="X211" s="456"/>
      <c r="Y211" s="533"/>
      <c r="Z211" s="456"/>
      <c r="AA211" s="533"/>
      <c r="AB211" s="456"/>
      <c r="AC211" s="533"/>
      <c r="AD211" s="456"/>
      <c r="AE211" s="533"/>
      <c r="AF211" s="449">
        <f t="shared" si="93"/>
        <v>0</v>
      </c>
      <c r="AG211" s="450">
        <f t="shared" si="94"/>
        <v>0</v>
      </c>
      <c r="AH211" s="451">
        <f t="shared" si="95"/>
        <v>0</v>
      </c>
      <c r="AI211" s="451">
        <f t="shared" si="96"/>
        <v>0</v>
      </c>
      <c r="AJ211" s="456"/>
      <c r="AK211" s="533"/>
      <c r="AL211" s="449">
        <f t="shared" si="97"/>
        <v>0</v>
      </c>
      <c r="AM211" s="452">
        <f t="shared" si="98"/>
        <v>0</v>
      </c>
      <c r="AN211" s="456"/>
      <c r="AO211" s="533"/>
      <c r="AP211" s="456"/>
      <c r="AQ211" s="533"/>
      <c r="AR211" s="456"/>
      <c r="AS211" s="533"/>
      <c r="AT211" s="456"/>
      <c r="AU211" s="533"/>
      <c r="AV211" s="449">
        <f t="shared" si="99"/>
        <v>0</v>
      </c>
      <c r="AW211" s="453">
        <f t="shared" si="100"/>
        <v>0</v>
      </c>
      <c r="AX211" s="451">
        <f t="shared" si="101"/>
        <v>0</v>
      </c>
      <c r="AY211" s="454">
        <f t="shared" si="102"/>
        <v>0</v>
      </c>
      <c r="AZ211" s="455">
        <f t="shared" si="103"/>
        <v>6154.0333333333338</v>
      </c>
      <c r="BA211" s="451">
        <f t="shared" si="104"/>
        <v>5056</v>
      </c>
    </row>
    <row r="212" spans="1:53" ht="15">
      <c r="A212" s="642" t="s">
        <v>228</v>
      </c>
      <c r="B212" s="651" t="s">
        <v>560</v>
      </c>
      <c r="C212" s="655"/>
      <c r="D212" s="645">
        <v>158662</v>
      </c>
      <c r="E212" s="660">
        <v>8</v>
      </c>
      <c r="F212" s="491" t="s">
        <v>41</v>
      </c>
      <c r="G212" s="667" t="s">
        <v>41</v>
      </c>
      <c r="H212" s="456"/>
      <c r="I212" s="533"/>
      <c r="J212" s="456">
        <v>157043</v>
      </c>
      <c r="K212" s="657">
        <v>156464</v>
      </c>
      <c r="L212" s="456">
        <v>27485</v>
      </c>
      <c r="M212" s="658">
        <v>27599</v>
      </c>
      <c r="N212" s="456">
        <v>160950</v>
      </c>
      <c r="O212" s="659">
        <v>149920</v>
      </c>
      <c r="P212" s="449">
        <f t="shared" si="87"/>
        <v>345478</v>
      </c>
      <c r="Q212" s="450">
        <f t="shared" si="88"/>
        <v>11515.933333333332</v>
      </c>
      <c r="R212" s="451">
        <f t="shared" si="89"/>
        <v>333983</v>
      </c>
      <c r="S212" s="452">
        <f t="shared" si="90"/>
        <v>11132.766666666666</v>
      </c>
      <c r="T212" s="456">
        <v>2725</v>
      </c>
      <c r="U212" s="647">
        <v>3243</v>
      </c>
      <c r="V212" s="449">
        <f t="shared" si="91"/>
        <v>345478</v>
      </c>
      <c r="W212" s="448">
        <f t="shared" si="92"/>
        <v>333983</v>
      </c>
      <c r="X212" s="456"/>
      <c r="Y212" s="533"/>
      <c r="Z212" s="456"/>
      <c r="AA212" s="533"/>
      <c r="AB212" s="456"/>
      <c r="AC212" s="533"/>
      <c r="AD212" s="456"/>
      <c r="AE212" s="533"/>
      <c r="AF212" s="449">
        <f t="shared" si="93"/>
        <v>0</v>
      </c>
      <c r="AG212" s="450">
        <f t="shared" si="94"/>
        <v>0</v>
      </c>
      <c r="AH212" s="451">
        <f t="shared" si="95"/>
        <v>0</v>
      </c>
      <c r="AI212" s="451">
        <f t="shared" si="96"/>
        <v>0</v>
      </c>
      <c r="AJ212" s="456"/>
      <c r="AK212" s="533"/>
      <c r="AL212" s="449">
        <f t="shared" si="97"/>
        <v>0</v>
      </c>
      <c r="AM212" s="452">
        <f t="shared" si="98"/>
        <v>0</v>
      </c>
      <c r="AN212" s="456"/>
      <c r="AO212" s="533"/>
      <c r="AP212" s="456"/>
      <c r="AQ212" s="533"/>
      <c r="AR212" s="456"/>
      <c r="AS212" s="533"/>
      <c r="AT212" s="456"/>
      <c r="AU212" s="533"/>
      <c r="AV212" s="449">
        <f t="shared" si="99"/>
        <v>0</v>
      </c>
      <c r="AW212" s="453">
        <f t="shared" si="100"/>
        <v>0</v>
      </c>
      <c r="AX212" s="451">
        <f t="shared" si="101"/>
        <v>0</v>
      </c>
      <c r="AY212" s="454">
        <f t="shared" si="102"/>
        <v>0</v>
      </c>
      <c r="AZ212" s="455">
        <f t="shared" si="103"/>
        <v>11515.933333333332</v>
      </c>
      <c r="BA212" s="451">
        <f t="shared" si="104"/>
        <v>11132.766666666666</v>
      </c>
    </row>
    <row r="213" spans="1:53" ht="15">
      <c r="A213" s="642" t="s">
        <v>228</v>
      </c>
      <c r="B213" s="651" t="s">
        <v>561</v>
      </c>
      <c r="C213" s="652"/>
      <c r="D213" s="645">
        <v>440624</v>
      </c>
      <c r="E213" s="646">
        <v>9</v>
      </c>
      <c r="F213" s="491" t="s">
        <v>41</v>
      </c>
      <c r="G213" s="667" t="s">
        <v>41</v>
      </c>
      <c r="H213" s="456"/>
      <c r="I213" s="533"/>
      <c r="J213" s="456">
        <v>33287</v>
      </c>
      <c r="K213" s="657">
        <v>33535.5</v>
      </c>
      <c r="L213" s="456">
        <v>6710.5</v>
      </c>
      <c r="M213" s="658">
        <v>7023.5</v>
      </c>
      <c r="N213" s="456">
        <v>36309</v>
      </c>
      <c r="O213" s="659">
        <v>31012</v>
      </c>
      <c r="P213" s="449">
        <f t="shared" si="87"/>
        <v>76306.5</v>
      </c>
      <c r="Q213" s="450">
        <f t="shared" si="88"/>
        <v>2543.5500000000002</v>
      </c>
      <c r="R213" s="451">
        <f t="shared" si="89"/>
        <v>71571</v>
      </c>
      <c r="S213" s="452">
        <f t="shared" si="90"/>
        <v>2385.6999999999998</v>
      </c>
      <c r="T213" s="456">
        <v>6052</v>
      </c>
      <c r="U213" s="647">
        <v>6374</v>
      </c>
      <c r="V213" s="449">
        <f t="shared" si="91"/>
        <v>76306.5</v>
      </c>
      <c r="W213" s="448">
        <f t="shared" si="92"/>
        <v>71571</v>
      </c>
      <c r="X213" s="456"/>
      <c r="Y213" s="533"/>
      <c r="Z213" s="456"/>
      <c r="AA213" s="533"/>
      <c r="AB213" s="456"/>
      <c r="AC213" s="533"/>
      <c r="AD213" s="456"/>
      <c r="AE213" s="533"/>
      <c r="AF213" s="449">
        <f t="shared" si="93"/>
        <v>0</v>
      </c>
      <c r="AG213" s="450">
        <f t="shared" si="94"/>
        <v>0</v>
      </c>
      <c r="AH213" s="451">
        <f t="shared" si="95"/>
        <v>0</v>
      </c>
      <c r="AI213" s="451">
        <f t="shared" si="96"/>
        <v>0</v>
      </c>
      <c r="AJ213" s="456"/>
      <c r="AK213" s="533"/>
      <c r="AL213" s="449">
        <f t="shared" si="97"/>
        <v>0</v>
      </c>
      <c r="AM213" s="452">
        <f t="shared" si="98"/>
        <v>0</v>
      </c>
      <c r="AN213" s="456"/>
      <c r="AO213" s="533"/>
      <c r="AP213" s="456"/>
      <c r="AQ213" s="533"/>
      <c r="AR213" s="456"/>
      <c r="AS213" s="533"/>
      <c r="AT213" s="456"/>
      <c r="AU213" s="533"/>
      <c r="AV213" s="449">
        <f t="shared" si="99"/>
        <v>0</v>
      </c>
      <c r="AW213" s="453">
        <f t="shared" si="100"/>
        <v>0</v>
      </c>
      <c r="AX213" s="451">
        <f t="shared" si="101"/>
        <v>0</v>
      </c>
      <c r="AY213" s="454">
        <f t="shared" si="102"/>
        <v>0</v>
      </c>
      <c r="AZ213" s="455">
        <f t="shared" si="103"/>
        <v>2543.5500000000002</v>
      </c>
      <c r="BA213" s="451">
        <f t="shared" si="104"/>
        <v>2385.6999999999998</v>
      </c>
    </row>
    <row r="214" spans="1:53" ht="15">
      <c r="A214" s="642" t="s">
        <v>228</v>
      </c>
      <c r="B214" s="643" t="s">
        <v>562</v>
      </c>
      <c r="C214" s="669" t="s">
        <v>574</v>
      </c>
      <c r="D214" s="645">
        <v>159407</v>
      </c>
      <c r="E214" s="653">
        <v>10</v>
      </c>
      <c r="F214" s="491" t="s">
        <v>41</v>
      </c>
      <c r="G214" s="667" t="s">
        <v>41</v>
      </c>
      <c r="H214" s="456"/>
      <c r="I214" s="533"/>
      <c r="J214" s="456">
        <v>23826</v>
      </c>
      <c r="K214" s="657">
        <v>23261</v>
      </c>
      <c r="L214" s="456">
        <v>4149</v>
      </c>
      <c r="M214" s="658">
        <v>3885</v>
      </c>
      <c r="N214" s="456">
        <v>26592</v>
      </c>
      <c r="O214" s="659">
        <v>24735</v>
      </c>
      <c r="P214" s="449">
        <f t="shared" si="87"/>
        <v>54567</v>
      </c>
      <c r="Q214" s="450">
        <f t="shared" si="88"/>
        <v>1818.9</v>
      </c>
      <c r="R214" s="451">
        <f t="shared" si="89"/>
        <v>51881</v>
      </c>
      <c r="S214" s="452">
        <f t="shared" si="90"/>
        <v>1729.3666666666666</v>
      </c>
      <c r="T214" s="456">
        <v>2507</v>
      </c>
      <c r="U214" s="647">
        <v>2304</v>
      </c>
      <c r="V214" s="449">
        <f t="shared" si="91"/>
        <v>54567</v>
      </c>
      <c r="W214" s="448">
        <f t="shared" si="92"/>
        <v>51881</v>
      </c>
      <c r="X214" s="456"/>
      <c r="Y214" s="533"/>
      <c r="Z214" s="456"/>
      <c r="AA214" s="533"/>
      <c r="AB214" s="456"/>
      <c r="AC214" s="533"/>
      <c r="AD214" s="456"/>
      <c r="AE214" s="533"/>
      <c r="AF214" s="449">
        <f t="shared" si="93"/>
        <v>0</v>
      </c>
      <c r="AG214" s="450">
        <f t="shared" si="94"/>
        <v>0</v>
      </c>
      <c r="AH214" s="451">
        <f t="shared" si="95"/>
        <v>0</v>
      </c>
      <c r="AI214" s="451">
        <f t="shared" si="96"/>
        <v>0</v>
      </c>
      <c r="AJ214" s="456"/>
      <c r="AK214" s="533"/>
      <c r="AL214" s="449">
        <f t="shared" si="97"/>
        <v>0</v>
      </c>
      <c r="AM214" s="452">
        <f t="shared" si="98"/>
        <v>0</v>
      </c>
      <c r="AN214" s="456"/>
      <c r="AO214" s="533"/>
      <c r="AP214" s="456"/>
      <c r="AQ214" s="533"/>
      <c r="AR214" s="456"/>
      <c r="AS214" s="533"/>
      <c r="AT214" s="456"/>
      <c r="AU214" s="533"/>
      <c r="AV214" s="449">
        <f t="shared" si="99"/>
        <v>0</v>
      </c>
      <c r="AW214" s="453">
        <f t="shared" si="100"/>
        <v>0</v>
      </c>
      <c r="AX214" s="451">
        <f t="shared" si="101"/>
        <v>0</v>
      </c>
      <c r="AY214" s="454">
        <f t="shared" si="102"/>
        <v>0</v>
      </c>
      <c r="AZ214" s="455">
        <f t="shared" si="103"/>
        <v>1818.9</v>
      </c>
      <c r="BA214" s="451">
        <f t="shared" si="104"/>
        <v>1729.3666666666666</v>
      </c>
    </row>
    <row r="215" spans="1:53" ht="15">
      <c r="A215" s="642" t="s">
        <v>228</v>
      </c>
      <c r="B215" s="651" t="s">
        <v>563</v>
      </c>
      <c r="C215" s="655"/>
      <c r="D215" s="645">
        <v>434061</v>
      </c>
      <c r="E215" s="656">
        <v>9</v>
      </c>
      <c r="F215" s="491" t="s">
        <v>41</v>
      </c>
      <c r="G215" s="667" t="s">
        <v>41</v>
      </c>
      <c r="H215" s="456">
        <v>0</v>
      </c>
      <c r="I215" s="533"/>
      <c r="J215" s="456">
        <v>58838.5</v>
      </c>
      <c r="K215" s="657">
        <v>57951.5</v>
      </c>
      <c r="L215" s="456">
        <v>9801</v>
      </c>
      <c r="M215" s="658">
        <v>12489</v>
      </c>
      <c r="N215" s="456">
        <v>63725</v>
      </c>
      <c r="O215" s="659">
        <v>69175.5</v>
      </c>
      <c r="P215" s="449">
        <f t="shared" si="87"/>
        <v>132364.5</v>
      </c>
      <c r="Q215" s="450">
        <f t="shared" si="88"/>
        <v>4412.1499999999996</v>
      </c>
      <c r="R215" s="451">
        <f t="shared" si="89"/>
        <v>139616</v>
      </c>
      <c r="S215" s="452">
        <f t="shared" si="90"/>
        <v>4653.8666666666668</v>
      </c>
      <c r="T215" s="456">
        <v>12678</v>
      </c>
      <c r="U215" s="647">
        <v>11684</v>
      </c>
      <c r="V215" s="449">
        <f t="shared" si="91"/>
        <v>132364.5</v>
      </c>
      <c r="W215" s="448">
        <f t="shared" si="92"/>
        <v>139616</v>
      </c>
      <c r="X215" s="456"/>
      <c r="Y215" s="533"/>
      <c r="Z215" s="456"/>
      <c r="AA215" s="533"/>
      <c r="AB215" s="456"/>
      <c r="AC215" s="533"/>
      <c r="AD215" s="456"/>
      <c r="AE215" s="533"/>
      <c r="AF215" s="449">
        <f t="shared" si="93"/>
        <v>0</v>
      </c>
      <c r="AG215" s="450">
        <f t="shared" si="94"/>
        <v>0</v>
      </c>
      <c r="AH215" s="451">
        <f t="shared" si="95"/>
        <v>0</v>
      </c>
      <c r="AI215" s="451">
        <f t="shared" si="96"/>
        <v>0</v>
      </c>
      <c r="AJ215" s="456"/>
      <c r="AK215" s="533"/>
      <c r="AL215" s="449">
        <f t="shared" si="97"/>
        <v>0</v>
      </c>
      <c r="AM215" s="452">
        <f t="shared" si="98"/>
        <v>0</v>
      </c>
      <c r="AN215" s="456"/>
      <c r="AO215" s="533"/>
      <c r="AP215" s="456"/>
      <c r="AQ215" s="533"/>
      <c r="AR215" s="456"/>
      <c r="AS215" s="533"/>
      <c r="AT215" s="456"/>
      <c r="AU215" s="533"/>
      <c r="AV215" s="449">
        <f t="shared" si="99"/>
        <v>0</v>
      </c>
      <c r="AW215" s="453">
        <f t="shared" si="100"/>
        <v>0</v>
      </c>
      <c r="AX215" s="451">
        <f t="shared" si="101"/>
        <v>0</v>
      </c>
      <c r="AY215" s="454">
        <f t="shared" si="102"/>
        <v>0</v>
      </c>
      <c r="AZ215" s="455">
        <f t="shared" si="103"/>
        <v>4412.1499999999996</v>
      </c>
      <c r="BA215" s="451">
        <f t="shared" si="104"/>
        <v>4653.8666666666668</v>
      </c>
    </row>
    <row r="216" spans="1:53" ht="15">
      <c r="A216" s="642" t="s">
        <v>228</v>
      </c>
      <c r="B216" s="662" t="s">
        <v>564</v>
      </c>
      <c r="C216" s="652"/>
      <c r="D216" s="663">
        <v>160649</v>
      </c>
      <c r="E216" s="646">
        <v>9</v>
      </c>
      <c r="F216" s="491" t="s">
        <v>41</v>
      </c>
      <c r="G216" s="667" t="s">
        <v>41</v>
      </c>
      <c r="H216" s="456"/>
      <c r="I216" s="533"/>
      <c r="J216" s="456">
        <v>30028</v>
      </c>
      <c r="K216" s="657">
        <v>27962</v>
      </c>
      <c r="L216" s="456">
        <v>5624</v>
      </c>
      <c r="M216" s="658">
        <v>5732</v>
      </c>
      <c r="N216" s="456">
        <v>32293</v>
      </c>
      <c r="O216" s="659">
        <v>32011</v>
      </c>
      <c r="P216" s="449">
        <f t="shared" si="87"/>
        <v>67945</v>
      </c>
      <c r="Q216" s="450">
        <f t="shared" si="88"/>
        <v>2264.8333333333335</v>
      </c>
      <c r="R216" s="451">
        <f t="shared" si="89"/>
        <v>65705</v>
      </c>
      <c r="S216" s="452">
        <f t="shared" si="90"/>
        <v>2190.1666666666665</v>
      </c>
      <c r="T216" s="456">
        <v>1872</v>
      </c>
      <c r="U216" s="647">
        <v>4033</v>
      </c>
      <c r="V216" s="449">
        <f t="shared" si="91"/>
        <v>67945</v>
      </c>
      <c r="W216" s="448">
        <f t="shared" si="92"/>
        <v>65705</v>
      </c>
      <c r="X216" s="456"/>
      <c r="Y216" s="533"/>
      <c r="Z216" s="456"/>
      <c r="AA216" s="533"/>
      <c r="AB216" s="456"/>
      <c r="AC216" s="533"/>
      <c r="AD216" s="456"/>
      <c r="AE216" s="533"/>
      <c r="AF216" s="449">
        <f t="shared" si="93"/>
        <v>0</v>
      </c>
      <c r="AG216" s="450">
        <f t="shared" si="94"/>
        <v>0</v>
      </c>
      <c r="AH216" s="451">
        <f t="shared" si="95"/>
        <v>0</v>
      </c>
      <c r="AI216" s="451">
        <f t="shared" si="96"/>
        <v>0</v>
      </c>
      <c r="AJ216" s="456"/>
      <c r="AK216" s="533"/>
      <c r="AL216" s="449">
        <f t="shared" si="97"/>
        <v>0</v>
      </c>
      <c r="AM216" s="452">
        <f t="shared" si="98"/>
        <v>0</v>
      </c>
      <c r="AN216" s="456"/>
      <c r="AO216" s="533"/>
      <c r="AP216" s="456"/>
      <c r="AQ216" s="533"/>
      <c r="AR216" s="456"/>
      <c r="AS216" s="533"/>
      <c r="AT216" s="456"/>
      <c r="AU216" s="533"/>
      <c r="AV216" s="449">
        <f t="shared" si="99"/>
        <v>0</v>
      </c>
      <c r="AW216" s="453">
        <f t="shared" si="100"/>
        <v>0</v>
      </c>
      <c r="AX216" s="451">
        <f t="shared" si="101"/>
        <v>0</v>
      </c>
      <c r="AY216" s="454">
        <f t="shared" si="102"/>
        <v>0</v>
      </c>
      <c r="AZ216" s="455">
        <f t="shared" si="103"/>
        <v>2264.8333333333335</v>
      </c>
      <c r="BA216" s="451">
        <f t="shared" si="104"/>
        <v>2190.1666666666665</v>
      </c>
    </row>
    <row r="217" spans="1:53" ht="15">
      <c r="A217" s="642" t="s">
        <v>228</v>
      </c>
      <c r="B217" s="643" t="s">
        <v>565</v>
      </c>
      <c r="C217" s="644"/>
      <c r="D217" s="663">
        <v>158884</v>
      </c>
      <c r="E217" s="646">
        <v>10</v>
      </c>
      <c r="F217" s="491" t="s">
        <v>41</v>
      </c>
      <c r="G217" s="667" t="s">
        <v>41</v>
      </c>
      <c r="H217" s="456"/>
      <c r="I217" s="533"/>
      <c r="J217" s="456">
        <v>18886</v>
      </c>
      <c r="K217" s="657">
        <v>20769</v>
      </c>
      <c r="L217" s="456">
        <v>3755</v>
      </c>
      <c r="M217" s="658">
        <v>3191</v>
      </c>
      <c r="N217" s="456">
        <v>20719</v>
      </c>
      <c r="O217" s="659">
        <v>21466</v>
      </c>
      <c r="P217" s="449">
        <f t="shared" si="87"/>
        <v>43360</v>
      </c>
      <c r="Q217" s="450">
        <f t="shared" si="88"/>
        <v>1445.3333333333333</v>
      </c>
      <c r="R217" s="451">
        <f t="shared" si="89"/>
        <v>45426</v>
      </c>
      <c r="S217" s="452">
        <f t="shared" si="90"/>
        <v>1514.2</v>
      </c>
      <c r="T217" s="456">
        <v>7288</v>
      </c>
      <c r="U217" s="647">
        <v>9155</v>
      </c>
      <c r="V217" s="449">
        <f t="shared" si="91"/>
        <v>43360</v>
      </c>
      <c r="W217" s="448">
        <f t="shared" si="92"/>
        <v>45426</v>
      </c>
      <c r="X217" s="456"/>
      <c r="Y217" s="533"/>
      <c r="Z217" s="456"/>
      <c r="AA217" s="533"/>
      <c r="AB217" s="456"/>
      <c r="AC217" s="533"/>
      <c r="AD217" s="456"/>
      <c r="AE217" s="533"/>
      <c r="AF217" s="449">
        <f t="shared" si="93"/>
        <v>0</v>
      </c>
      <c r="AG217" s="450">
        <f t="shared" si="94"/>
        <v>0</v>
      </c>
      <c r="AH217" s="451">
        <f t="shared" si="95"/>
        <v>0</v>
      </c>
      <c r="AI217" s="451">
        <f t="shared" si="96"/>
        <v>0</v>
      </c>
      <c r="AJ217" s="456"/>
      <c r="AK217" s="533"/>
      <c r="AL217" s="449">
        <f t="shared" si="97"/>
        <v>0</v>
      </c>
      <c r="AM217" s="452">
        <f t="shared" si="98"/>
        <v>0</v>
      </c>
      <c r="AN217" s="456"/>
      <c r="AO217" s="533"/>
      <c r="AP217" s="456"/>
      <c r="AQ217" s="533"/>
      <c r="AR217" s="456"/>
      <c r="AS217" s="533"/>
      <c r="AT217" s="456"/>
      <c r="AU217" s="533"/>
      <c r="AV217" s="449">
        <f t="shared" si="99"/>
        <v>0</v>
      </c>
      <c r="AW217" s="453">
        <f t="shared" si="100"/>
        <v>0</v>
      </c>
      <c r="AX217" s="451">
        <f t="shared" si="101"/>
        <v>0</v>
      </c>
      <c r="AY217" s="454">
        <f t="shared" si="102"/>
        <v>0</v>
      </c>
      <c r="AZ217" s="455">
        <f t="shared" si="103"/>
        <v>1445.3333333333333</v>
      </c>
      <c r="BA217" s="451">
        <f t="shared" si="104"/>
        <v>1514.2</v>
      </c>
    </row>
    <row r="218" spans="1:53" ht="15">
      <c r="A218" s="642" t="s">
        <v>228</v>
      </c>
      <c r="B218" s="643" t="s">
        <v>566</v>
      </c>
      <c r="C218" s="655"/>
      <c r="D218" s="663">
        <v>436304</v>
      </c>
      <c r="E218" s="646">
        <v>10</v>
      </c>
      <c r="F218" s="491" t="s">
        <v>41</v>
      </c>
      <c r="G218" s="667" t="s">
        <v>41</v>
      </c>
      <c r="H218" s="456">
        <v>72</v>
      </c>
      <c r="I218" s="533"/>
      <c r="J218" s="456">
        <v>18328</v>
      </c>
      <c r="K218" s="657">
        <v>16081</v>
      </c>
      <c r="L218" s="456">
        <v>3161</v>
      </c>
      <c r="M218" s="658">
        <v>3216</v>
      </c>
      <c r="N218" s="456">
        <v>18504</v>
      </c>
      <c r="O218" s="659">
        <v>17552</v>
      </c>
      <c r="P218" s="449">
        <f t="shared" si="87"/>
        <v>40065</v>
      </c>
      <c r="Q218" s="450">
        <f t="shared" si="88"/>
        <v>1335.5</v>
      </c>
      <c r="R218" s="451">
        <f t="shared" si="89"/>
        <v>36849</v>
      </c>
      <c r="S218" s="452">
        <f t="shared" si="90"/>
        <v>1228.3</v>
      </c>
      <c r="T218" s="456">
        <v>5507</v>
      </c>
      <c r="U218" s="647">
        <v>3802</v>
      </c>
      <c r="V218" s="449">
        <f t="shared" si="91"/>
        <v>40065</v>
      </c>
      <c r="W218" s="448">
        <f t="shared" si="92"/>
        <v>36849</v>
      </c>
      <c r="X218" s="456"/>
      <c r="Y218" s="533"/>
      <c r="Z218" s="456"/>
      <c r="AA218" s="533"/>
      <c r="AB218" s="456"/>
      <c r="AC218" s="533"/>
      <c r="AD218" s="456"/>
      <c r="AE218" s="533"/>
      <c r="AF218" s="449">
        <f t="shared" si="93"/>
        <v>0</v>
      </c>
      <c r="AG218" s="450">
        <f t="shared" si="94"/>
        <v>0</v>
      </c>
      <c r="AH218" s="451">
        <f t="shared" si="95"/>
        <v>0</v>
      </c>
      <c r="AI218" s="451">
        <f t="shared" si="96"/>
        <v>0</v>
      </c>
      <c r="AJ218" s="456"/>
      <c r="AK218" s="533"/>
      <c r="AL218" s="449">
        <f t="shared" si="97"/>
        <v>0</v>
      </c>
      <c r="AM218" s="452">
        <f t="shared" si="98"/>
        <v>0</v>
      </c>
      <c r="AN218" s="456"/>
      <c r="AO218" s="533"/>
      <c r="AP218" s="456"/>
      <c r="AQ218" s="533"/>
      <c r="AR218" s="456"/>
      <c r="AS218" s="533"/>
      <c r="AT218" s="456"/>
      <c r="AU218" s="533"/>
      <c r="AV218" s="449">
        <f t="shared" si="99"/>
        <v>0</v>
      </c>
      <c r="AW218" s="453">
        <f t="shared" si="100"/>
        <v>0</v>
      </c>
      <c r="AX218" s="451">
        <f t="shared" si="101"/>
        <v>0</v>
      </c>
      <c r="AY218" s="454">
        <f t="shared" si="102"/>
        <v>0</v>
      </c>
      <c r="AZ218" s="455">
        <f t="shared" si="103"/>
        <v>1335.5</v>
      </c>
      <c r="BA218" s="451">
        <f t="shared" si="104"/>
        <v>1228.3</v>
      </c>
    </row>
    <row r="219" spans="1:53" ht="15">
      <c r="A219" s="664" t="s">
        <v>228</v>
      </c>
      <c r="B219" s="665" t="s">
        <v>567</v>
      </c>
      <c r="C219" s="666"/>
      <c r="D219" s="663">
        <v>158088</v>
      </c>
      <c r="E219" s="646">
        <v>12</v>
      </c>
      <c r="F219" s="491" t="s">
        <v>41</v>
      </c>
      <c r="G219" s="667" t="s">
        <v>41</v>
      </c>
      <c r="H219" s="456"/>
      <c r="I219" s="533"/>
      <c r="J219" s="456">
        <v>18610</v>
      </c>
      <c r="K219" s="657">
        <v>16427</v>
      </c>
      <c r="L219" s="456">
        <v>4887</v>
      </c>
      <c r="M219" s="658">
        <v>3607</v>
      </c>
      <c r="N219" s="456">
        <v>20083</v>
      </c>
      <c r="O219" s="659">
        <v>20806</v>
      </c>
      <c r="P219" s="449">
        <f t="shared" si="87"/>
        <v>43580</v>
      </c>
      <c r="Q219" s="450">
        <f t="shared" si="88"/>
        <v>1452.6666666666667</v>
      </c>
      <c r="R219" s="451">
        <f t="shared" si="89"/>
        <v>40840</v>
      </c>
      <c r="S219" s="452">
        <f t="shared" si="90"/>
        <v>1361.3333333333333</v>
      </c>
      <c r="T219" s="456">
        <v>4383</v>
      </c>
      <c r="U219" s="647">
        <v>5411</v>
      </c>
      <c r="V219" s="449">
        <f t="shared" si="91"/>
        <v>43580</v>
      </c>
      <c r="W219" s="448">
        <f t="shared" si="92"/>
        <v>40840</v>
      </c>
      <c r="X219" s="456"/>
      <c r="Y219" s="533"/>
      <c r="Z219" s="456"/>
      <c r="AA219" s="533"/>
      <c r="AB219" s="456"/>
      <c r="AC219" s="533"/>
      <c r="AD219" s="456"/>
      <c r="AE219" s="533"/>
      <c r="AF219" s="449">
        <f t="shared" si="93"/>
        <v>0</v>
      </c>
      <c r="AG219" s="450">
        <f t="shared" si="94"/>
        <v>0</v>
      </c>
      <c r="AH219" s="451">
        <f t="shared" si="95"/>
        <v>0</v>
      </c>
      <c r="AI219" s="451">
        <f t="shared" si="96"/>
        <v>0</v>
      </c>
      <c r="AJ219" s="456"/>
      <c r="AK219" s="533"/>
      <c r="AL219" s="449">
        <f t="shared" si="97"/>
        <v>0</v>
      </c>
      <c r="AM219" s="452">
        <f t="shared" si="98"/>
        <v>0</v>
      </c>
      <c r="AN219" s="456" t="s">
        <v>568</v>
      </c>
      <c r="AO219" s="533"/>
      <c r="AP219" s="456"/>
      <c r="AQ219" s="533"/>
      <c r="AR219" s="456"/>
      <c r="AS219" s="533"/>
      <c r="AT219" s="456"/>
      <c r="AU219" s="533"/>
      <c r="AV219" s="449">
        <f t="shared" si="99"/>
        <v>0</v>
      </c>
      <c r="AW219" s="453">
        <f t="shared" si="100"/>
        <v>0</v>
      </c>
      <c r="AX219" s="451">
        <f t="shared" si="101"/>
        <v>0</v>
      </c>
      <c r="AY219" s="454">
        <f t="shared" si="102"/>
        <v>0</v>
      </c>
      <c r="AZ219" s="455">
        <f t="shared" si="103"/>
        <v>1452.6666666666667</v>
      </c>
      <c r="BA219" s="451">
        <f t="shared" si="104"/>
        <v>1361.3333333333333</v>
      </c>
    </row>
    <row r="220" spans="1:53" ht="15">
      <c r="A220" s="642" t="s">
        <v>228</v>
      </c>
      <c r="B220" s="651" t="s">
        <v>569</v>
      </c>
      <c r="C220" s="652"/>
      <c r="D220" s="663">
        <v>160481</v>
      </c>
      <c r="E220" s="646">
        <v>12</v>
      </c>
      <c r="F220" s="491" t="s">
        <v>41</v>
      </c>
      <c r="G220" s="667" t="s">
        <v>41</v>
      </c>
      <c r="H220" s="456"/>
      <c r="I220" s="533"/>
      <c r="J220" s="456">
        <v>19497</v>
      </c>
      <c r="K220" s="657">
        <v>17417</v>
      </c>
      <c r="L220" s="456">
        <v>2535</v>
      </c>
      <c r="M220" s="658">
        <v>2724</v>
      </c>
      <c r="N220" s="456">
        <v>20926.5</v>
      </c>
      <c r="O220" s="659">
        <v>19419.5</v>
      </c>
      <c r="P220" s="449">
        <f t="shared" si="87"/>
        <v>42958.5</v>
      </c>
      <c r="Q220" s="450">
        <f t="shared" si="88"/>
        <v>1431.95</v>
      </c>
      <c r="R220" s="451">
        <f t="shared" si="89"/>
        <v>39560.5</v>
      </c>
      <c r="S220" s="452">
        <f t="shared" si="90"/>
        <v>1318.6833333333334</v>
      </c>
      <c r="T220" s="456">
        <v>2210</v>
      </c>
      <c r="U220" s="647">
        <v>1327</v>
      </c>
      <c r="V220" s="449">
        <f t="shared" si="91"/>
        <v>42958.5</v>
      </c>
      <c r="W220" s="448">
        <f t="shared" si="92"/>
        <v>39560.5</v>
      </c>
      <c r="X220" s="456"/>
      <c r="Y220" s="533"/>
      <c r="Z220" s="456">
        <v>23225</v>
      </c>
      <c r="AA220" s="533">
        <v>17059</v>
      </c>
      <c r="AB220" s="456">
        <v>8612</v>
      </c>
      <c r="AC220" s="533">
        <v>4068</v>
      </c>
      <c r="AD220" s="456">
        <v>19199</v>
      </c>
      <c r="AE220" s="533">
        <v>16103</v>
      </c>
      <c r="AF220" s="449">
        <f t="shared" si="93"/>
        <v>51036</v>
      </c>
      <c r="AG220" s="450">
        <f t="shared" si="94"/>
        <v>56.706666666666663</v>
      </c>
      <c r="AH220" s="451">
        <f t="shared" si="95"/>
        <v>37230</v>
      </c>
      <c r="AI220" s="451">
        <f t="shared" si="96"/>
        <v>41.366666666666667</v>
      </c>
      <c r="AJ220" s="456"/>
      <c r="AK220" s="533"/>
      <c r="AL220" s="449">
        <f t="shared" si="97"/>
        <v>0</v>
      </c>
      <c r="AM220" s="452">
        <f t="shared" si="98"/>
        <v>0</v>
      </c>
      <c r="AN220" s="456"/>
      <c r="AO220" s="533"/>
      <c r="AP220" s="456"/>
      <c r="AQ220" s="533"/>
      <c r="AR220" s="456"/>
      <c r="AS220" s="533"/>
      <c r="AT220" s="456"/>
      <c r="AU220" s="533"/>
      <c r="AV220" s="449">
        <f t="shared" si="99"/>
        <v>0</v>
      </c>
      <c r="AW220" s="453">
        <f t="shared" si="100"/>
        <v>0</v>
      </c>
      <c r="AX220" s="451">
        <f t="shared" si="101"/>
        <v>0</v>
      </c>
      <c r="AY220" s="454">
        <f t="shared" si="102"/>
        <v>0</v>
      </c>
      <c r="AZ220" s="455">
        <f t="shared" si="103"/>
        <v>1488.6566666666668</v>
      </c>
      <c r="BA220" s="451">
        <f t="shared" si="104"/>
        <v>1360.05</v>
      </c>
    </row>
    <row r="221" spans="1:53" ht="15">
      <c r="A221" s="664" t="s">
        <v>228</v>
      </c>
      <c r="B221" s="665" t="s">
        <v>570</v>
      </c>
      <c r="C221" s="666"/>
      <c r="D221" s="663">
        <v>160667</v>
      </c>
      <c r="E221" s="646">
        <v>12</v>
      </c>
      <c r="F221" s="491" t="s">
        <v>41</v>
      </c>
      <c r="G221" s="667" t="s">
        <v>41</v>
      </c>
      <c r="H221" s="456"/>
      <c r="I221" s="533"/>
      <c r="J221" s="456">
        <v>21065</v>
      </c>
      <c r="K221" s="657">
        <v>22203</v>
      </c>
      <c r="L221" s="456">
        <v>3760</v>
      </c>
      <c r="M221" s="658">
        <v>3067</v>
      </c>
      <c r="N221" s="456">
        <v>25910</v>
      </c>
      <c r="O221" s="659">
        <v>23683</v>
      </c>
      <c r="P221" s="449">
        <f t="shared" si="87"/>
        <v>50735</v>
      </c>
      <c r="Q221" s="450">
        <f t="shared" si="88"/>
        <v>1691.1666666666667</v>
      </c>
      <c r="R221" s="451">
        <f t="shared" si="89"/>
        <v>48953</v>
      </c>
      <c r="S221" s="452">
        <f t="shared" si="90"/>
        <v>1631.7666666666667</v>
      </c>
      <c r="T221" s="456">
        <v>7855</v>
      </c>
      <c r="U221" s="647">
        <v>8963</v>
      </c>
      <c r="V221" s="449">
        <f t="shared" si="91"/>
        <v>50735</v>
      </c>
      <c r="W221" s="448">
        <f t="shared" si="92"/>
        <v>48953</v>
      </c>
      <c r="X221" s="456"/>
      <c r="Y221" s="533"/>
      <c r="Z221" s="456"/>
      <c r="AA221" s="533"/>
      <c r="AB221" s="456"/>
      <c r="AC221" s="533"/>
      <c r="AD221" s="456"/>
      <c r="AE221" s="533"/>
      <c r="AF221" s="449">
        <f t="shared" si="93"/>
        <v>0</v>
      </c>
      <c r="AG221" s="450">
        <f t="shared" si="94"/>
        <v>0</v>
      </c>
      <c r="AH221" s="451">
        <f t="shared" si="95"/>
        <v>0</v>
      </c>
      <c r="AI221" s="451">
        <f t="shared" si="96"/>
        <v>0</v>
      </c>
      <c r="AJ221" s="456"/>
      <c r="AK221" s="533"/>
      <c r="AL221" s="449">
        <f t="shared" si="97"/>
        <v>0</v>
      </c>
      <c r="AM221" s="452">
        <f t="shared" si="98"/>
        <v>0</v>
      </c>
      <c r="AN221" s="456"/>
      <c r="AO221" s="533"/>
      <c r="AP221" s="456"/>
      <c r="AQ221" s="533"/>
      <c r="AR221" s="456"/>
      <c r="AS221" s="533"/>
      <c r="AT221" s="456"/>
      <c r="AU221" s="533"/>
      <c r="AV221" s="449">
        <f t="shared" si="99"/>
        <v>0</v>
      </c>
      <c r="AW221" s="453">
        <f t="shared" si="100"/>
        <v>0</v>
      </c>
      <c r="AX221" s="451">
        <f t="shared" si="101"/>
        <v>0</v>
      </c>
      <c r="AY221" s="454">
        <f t="shared" si="102"/>
        <v>0</v>
      </c>
      <c r="AZ221" s="455">
        <f t="shared" si="103"/>
        <v>1691.1666666666667</v>
      </c>
      <c r="BA221" s="451">
        <f t="shared" si="104"/>
        <v>1631.7666666666667</v>
      </c>
    </row>
    <row r="222" spans="1:53" ht="15">
      <c r="A222" s="664" t="s">
        <v>228</v>
      </c>
      <c r="B222" s="665" t="s">
        <v>571</v>
      </c>
      <c r="C222" s="666"/>
      <c r="D222" s="663">
        <v>160010</v>
      </c>
      <c r="E222" s="646">
        <v>12</v>
      </c>
      <c r="F222" s="491" t="s">
        <v>41</v>
      </c>
      <c r="G222" s="667" t="s">
        <v>41</v>
      </c>
      <c r="H222" s="456"/>
      <c r="I222" s="533"/>
      <c r="J222" s="456">
        <v>23608</v>
      </c>
      <c r="K222" s="657">
        <v>25400</v>
      </c>
      <c r="L222" s="456">
        <v>6616</v>
      </c>
      <c r="M222" s="658">
        <v>6126</v>
      </c>
      <c r="N222" s="456">
        <v>25136</v>
      </c>
      <c r="O222" s="659">
        <v>21495</v>
      </c>
      <c r="P222" s="449">
        <f t="shared" si="87"/>
        <v>55360</v>
      </c>
      <c r="Q222" s="450">
        <f t="shared" si="88"/>
        <v>1845.3333333333333</v>
      </c>
      <c r="R222" s="451">
        <f t="shared" si="89"/>
        <v>53021</v>
      </c>
      <c r="S222" s="452">
        <f t="shared" si="90"/>
        <v>1767.3666666666666</v>
      </c>
      <c r="T222" s="456">
        <v>12662</v>
      </c>
      <c r="U222" s="647">
        <v>13474</v>
      </c>
      <c r="V222" s="449">
        <f t="shared" si="91"/>
        <v>55360</v>
      </c>
      <c r="W222" s="448">
        <f t="shared" si="92"/>
        <v>53021</v>
      </c>
      <c r="X222" s="456"/>
      <c r="Y222" s="533"/>
      <c r="Z222" s="456"/>
      <c r="AA222" s="533"/>
      <c r="AB222" s="456"/>
      <c r="AC222" s="533"/>
      <c r="AD222" s="456"/>
      <c r="AE222" s="533"/>
      <c r="AF222" s="449">
        <f t="shared" si="93"/>
        <v>0</v>
      </c>
      <c r="AG222" s="450">
        <f t="shared" si="94"/>
        <v>0</v>
      </c>
      <c r="AH222" s="451">
        <f t="shared" si="95"/>
        <v>0</v>
      </c>
      <c r="AI222" s="451">
        <f t="shared" si="96"/>
        <v>0</v>
      </c>
      <c r="AJ222" s="456"/>
      <c r="AK222" s="533"/>
      <c r="AL222" s="449">
        <f t="shared" si="97"/>
        <v>0</v>
      </c>
      <c r="AM222" s="452">
        <f t="shared" si="98"/>
        <v>0</v>
      </c>
      <c r="AN222" s="456"/>
      <c r="AO222" s="533"/>
      <c r="AP222" s="456"/>
      <c r="AQ222" s="533"/>
      <c r="AR222" s="456"/>
      <c r="AS222" s="533"/>
      <c r="AT222" s="456"/>
      <c r="AU222" s="533"/>
      <c r="AV222" s="449">
        <f t="shared" si="99"/>
        <v>0</v>
      </c>
      <c r="AW222" s="453">
        <f t="shared" si="100"/>
        <v>0</v>
      </c>
      <c r="AX222" s="451">
        <f t="shared" si="101"/>
        <v>0</v>
      </c>
      <c r="AY222" s="454">
        <f t="shared" si="102"/>
        <v>0</v>
      </c>
      <c r="AZ222" s="455">
        <f t="shared" si="103"/>
        <v>1845.3333333333333</v>
      </c>
      <c r="BA222" s="451">
        <f t="shared" si="104"/>
        <v>1767.3666666666666</v>
      </c>
    </row>
    <row r="223" spans="1:53" ht="15">
      <c r="A223" s="664" t="s">
        <v>228</v>
      </c>
      <c r="B223" s="665" t="s">
        <v>572</v>
      </c>
      <c r="C223" s="666"/>
      <c r="D223" s="663">
        <v>160913</v>
      </c>
      <c r="E223" s="646">
        <v>12</v>
      </c>
      <c r="F223" s="491" t="s">
        <v>41</v>
      </c>
      <c r="G223" s="667" t="s">
        <v>41</v>
      </c>
      <c r="H223" s="456"/>
      <c r="I223" s="533"/>
      <c r="J223" s="456">
        <v>18278</v>
      </c>
      <c r="K223" s="657">
        <v>16969</v>
      </c>
      <c r="L223" s="456">
        <v>3388</v>
      </c>
      <c r="M223" s="658">
        <v>3356</v>
      </c>
      <c r="N223" s="456">
        <v>22582</v>
      </c>
      <c r="O223" s="659">
        <v>18834</v>
      </c>
      <c r="P223" s="449">
        <f t="shared" si="87"/>
        <v>44248</v>
      </c>
      <c r="Q223" s="450">
        <f t="shared" si="88"/>
        <v>1474.9333333333334</v>
      </c>
      <c r="R223" s="451">
        <f t="shared" si="89"/>
        <v>39159</v>
      </c>
      <c r="S223" s="452">
        <f t="shared" si="90"/>
        <v>1305.3</v>
      </c>
      <c r="T223" s="456">
        <v>13664</v>
      </c>
      <c r="U223" s="647">
        <v>9046.9000000000015</v>
      </c>
      <c r="V223" s="449">
        <f t="shared" si="91"/>
        <v>44248</v>
      </c>
      <c r="W223" s="448">
        <f t="shared" si="92"/>
        <v>39159</v>
      </c>
      <c r="X223" s="456"/>
      <c r="Y223" s="533"/>
      <c r="Z223" s="456">
        <v>27913</v>
      </c>
      <c r="AA223" s="533">
        <v>16798</v>
      </c>
      <c r="AB223" s="456">
        <v>9295.5</v>
      </c>
      <c r="AC223" s="533">
        <v>3064</v>
      </c>
      <c r="AD223" s="456">
        <v>17189</v>
      </c>
      <c r="AE223" s="533">
        <v>2381</v>
      </c>
      <c r="AF223" s="449">
        <f t="shared" si="93"/>
        <v>54397.5</v>
      </c>
      <c r="AG223" s="450">
        <f t="shared" si="94"/>
        <v>60.44166666666667</v>
      </c>
      <c r="AH223" s="451">
        <f t="shared" si="95"/>
        <v>22243</v>
      </c>
      <c r="AI223" s="451">
        <f t="shared" si="96"/>
        <v>24.714444444444446</v>
      </c>
      <c r="AJ223" s="456"/>
      <c r="AK223" s="533"/>
      <c r="AL223" s="449">
        <f t="shared" si="97"/>
        <v>0</v>
      </c>
      <c r="AM223" s="452">
        <f t="shared" si="98"/>
        <v>0</v>
      </c>
      <c r="AN223" s="456"/>
      <c r="AO223" s="533"/>
      <c r="AP223" s="456"/>
      <c r="AQ223" s="533"/>
      <c r="AR223" s="456"/>
      <c r="AS223" s="533"/>
      <c r="AT223" s="456"/>
      <c r="AU223" s="533"/>
      <c r="AV223" s="449">
        <f t="shared" si="99"/>
        <v>0</v>
      </c>
      <c r="AW223" s="453">
        <f t="shared" si="100"/>
        <v>0</v>
      </c>
      <c r="AX223" s="451">
        <f t="shared" si="101"/>
        <v>0</v>
      </c>
      <c r="AY223" s="454">
        <f t="shared" si="102"/>
        <v>0</v>
      </c>
      <c r="AZ223" s="455">
        <f t="shared" si="103"/>
        <v>1535.375</v>
      </c>
      <c r="BA223" s="451">
        <f t="shared" si="104"/>
        <v>1330.0144444444445</v>
      </c>
    </row>
    <row r="224" spans="1:53" ht="15">
      <c r="A224" s="642" t="s">
        <v>228</v>
      </c>
      <c r="B224" s="643" t="s">
        <v>573</v>
      </c>
      <c r="C224" s="644"/>
      <c r="D224" s="663">
        <v>160579</v>
      </c>
      <c r="E224" s="646">
        <v>12</v>
      </c>
      <c r="F224" s="491" t="s">
        <v>41</v>
      </c>
      <c r="G224" s="667" t="s">
        <v>41</v>
      </c>
      <c r="H224" s="456"/>
      <c r="I224" s="533"/>
      <c r="J224" s="456">
        <v>31171</v>
      </c>
      <c r="K224" s="657">
        <v>32157</v>
      </c>
      <c r="L224" s="456">
        <v>5288</v>
      </c>
      <c r="M224" s="658">
        <v>4257</v>
      </c>
      <c r="N224" s="456">
        <v>34145</v>
      </c>
      <c r="O224" s="659">
        <v>34792.5</v>
      </c>
      <c r="P224" s="449">
        <f t="shared" si="87"/>
        <v>70604</v>
      </c>
      <c r="Q224" s="450">
        <f t="shared" si="88"/>
        <v>2353.4666666666667</v>
      </c>
      <c r="R224" s="451">
        <f t="shared" si="89"/>
        <v>71206.5</v>
      </c>
      <c r="S224" s="452">
        <f t="shared" si="90"/>
        <v>2373.5500000000002</v>
      </c>
      <c r="T224" s="456">
        <v>5729</v>
      </c>
      <c r="U224" s="647">
        <v>6408</v>
      </c>
      <c r="V224" s="449">
        <f t="shared" si="91"/>
        <v>70604</v>
      </c>
      <c r="W224" s="448">
        <f t="shared" si="92"/>
        <v>71206.5</v>
      </c>
      <c r="X224" s="456"/>
      <c r="Y224" s="533"/>
      <c r="Z224" s="456">
        <v>60</v>
      </c>
      <c r="AA224" s="533"/>
      <c r="AB224" s="456"/>
      <c r="AC224" s="533"/>
      <c r="AD224" s="456">
        <v>126</v>
      </c>
      <c r="AE224" s="533"/>
      <c r="AF224" s="449">
        <f t="shared" si="93"/>
        <v>186</v>
      </c>
      <c r="AG224" s="450">
        <f t="shared" si="94"/>
        <v>0.20666666666666667</v>
      </c>
      <c r="AH224" s="451">
        <f t="shared" si="95"/>
        <v>0</v>
      </c>
      <c r="AI224" s="451">
        <f t="shared" si="96"/>
        <v>0</v>
      </c>
      <c r="AJ224" s="456"/>
      <c r="AK224" s="533"/>
      <c r="AL224" s="449">
        <f t="shared" si="97"/>
        <v>0</v>
      </c>
      <c r="AM224" s="452">
        <f t="shared" si="98"/>
        <v>0</v>
      </c>
      <c r="AN224" s="456"/>
      <c r="AO224" s="533"/>
      <c r="AP224" s="456"/>
      <c r="AQ224" s="533"/>
      <c r="AR224" s="456"/>
      <c r="AS224" s="533"/>
      <c r="AT224" s="456"/>
      <c r="AU224" s="533"/>
      <c r="AV224" s="449">
        <f t="shared" si="99"/>
        <v>0</v>
      </c>
      <c r="AW224" s="453">
        <f t="shared" si="100"/>
        <v>0</v>
      </c>
      <c r="AX224" s="451">
        <f t="shared" si="101"/>
        <v>0</v>
      </c>
      <c r="AY224" s="454">
        <f t="shared" si="102"/>
        <v>0</v>
      </c>
      <c r="AZ224" s="455">
        <f t="shared" si="103"/>
        <v>2353.6733333333332</v>
      </c>
      <c r="BA224" s="451">
        <f t="shared" si="104"/>
        <v>2373.5500000000002</v>
      </c>
    </row>
    <row r="225" spans="1:53">
      <c r="A225" s="600" t="s">
        <v>247</v>
      </c>
      <c r="B225" s="601" t="s">
        <v>575</v>
      </c>
      <c r="C225" s="670"/>
      <c r="D225" s="606">
        <v>163286</v>
      </c>
      <c r="E225" s="607">
        <v>1</v>
      </c>
      <c r="F225" s="491" t="s">
        <v>41</v>
      </c>
      <c r="G225" s="492" t="s">
        <v>41</v>
      </c>
      <c r="H225" s="456">
        <v>11097</v>
      </c>
      <c r="I225" s="493">
        <v>11706</v>
      </c>
      <c r="J225" s="456">
        <v>371198</v>
      </c>
      <c r="K225" s="493">
        <v>377263</v>
      </c>
      <c r="L225" s="456">
        <v>35253</v>
      </c>
      <c r="M225" s="671">
        <v>35388</v>
      </c>
      <c r="N225" s="456">
        <v>383813</v>
      </c>
      <c r="O225" s="671">
        <v>390187</v>
      </c>
      <c r="P225" s="449">
        <f t="shared" si="87"/>
        <v>801361</v>
      </c>
      <c r="Q225" s="450">
        <f t="shared" si="88"/>
        <v>26712.033333333333</v>
      </c>
      <c r="R225" s="451">
        <f t="shared" si="89"/>
        <v>814544</v>
      </c>
      <c r="S225" s="452">
        <f t="shared" si="90"/>
        <v>27151.466666666667</v>
      </c>
      <c r="T225" s="456"/>
      <c r="U225" s="671"/>
      <c r="V225" s="449">
        <f t="shared" si="91"/>
        <v>0</v>
      </c>
      <c r="W225" s="448">
        <f t="shared" si="92"/>
        <v>0</v>
      </c>
      <c r="X225" s="456"/>
      <c r="Y225" s="671"/>
      <c r="Z225" s="456"/>
      <c r="AA225" s="671"/>
      <c r="AB225" s="456"/>
      <c r="AC225" s="671"/>
      <c r="AD225" s="456"/>
      <c r="AE225" s="671"/>
      <c r="AF225" s="449">
        <f t="shared" si="93"/>
        <v>0</v>
      </c>
      <c r="AG225" s="450">
        <f t="shared" si="94"/>
        <v>0</v>
      </c>
      <c r="AH225" s="451">
        <f t="shared" si="95"/>
        <v>0</v>
      </c>
      <c r="AI225" s="451">
        <f t="shared" si="96"/>
        <v>0</v>
      </c>
      <c r="AJ225" s="456"/>
      <c r="AK225" s="671"/>
      <c r="AL225" s="449">
        <f t="shared" si="97"/>
        <v>0</v>
      </c>
      <c r="AM225" s="452">
        <f t="shared" si="98"/>
        <v>0</v>
      </c>
      <c r="AN225" s="456">
        <v>2927</v>
      </c>
      <c r="AO225" s="671">
        <v>3736.67</v>
      </c>
      <c r="AP225" s="456">
        <v>66314</v>
      </c>
      <c r="AQ225" s="671">
        <v>65895</v>
      </c>
      <c r="AR225" s="456">
        <v>11064</v>
      </c>
      <c r="AS225" s="671">
        <v>11980</v>
      </c>
      <c r="AT225" s="456">
        <v>75057</v>
      </c>
      <c r="AU225" s="671">
        <v>75860.5</v>
      </c>
      <c r="AV225" s="449">
        <f t="shared" si="99"/>
        <v>155362</v>
      </c>
      <c r="AW225" s="453">
        <f t="shared" si="100"/>
        <v>6473.416666666667</v>
      </c>
      <c r="AX225" s="451">
        <f t="shared" si="101"/>
        <v>157472.16999999998</v>
      </c>
      <c r="AY225" s="454">
        <f t="shared" si="102"/>
        <v>6561.340416666666</v>
      </c>
      <c r="AZ225" s="455">
        <f t="shared" si="103"/>
        <v>33185.449999999997</v>
      </c>
      <c r="BA225" s="451">
        <f t="shared" si="104"/>
        <v>33712.807083333333</v>
      </c>
    </row>
    <row r="226" spans="1:53">
      <c r="A226" s="600" t="s">
        <v>247</v>
      </c>
      <c r="B226" s="605" t="s">
        <v>576</v>
      </c>
      <c r="C226" s="672"/>
      <c r="D226" s="606">
        <v>163453</v>
      </c>
      <c r="E226" s="604">
        <v>2</v>
      </c>
      <c r="F226" s="491" t="s">
        <v>41</v>
      </c>
      <c r="G226" s="492" t="s">
        <v>41</v>
      </c>
      <c r="H226" s="456">
        <v>1503</v>
      </c>
      <c r="I226" s="493">
        <v>2075</v>
      </c>
      <c r="J226" s="456">
        <v>83221</v>
      </c>
      <c r="K226" s="493">
        <v>83801</v>
      </c>
      <c r="L226" s="456">
        <v>5286</v>
      </c>
      <c r="M226" s="671">
        <v>7649</v>
      </c>
      <c r="N226" s="456">
        <v>86507</v>
      </c>
      <c r="O226" s="671">
        <v>89874</v>
      </c>
      <c r="P226" s="449">
        <f t="shared" si="87"/>
        <v>176517</v>
      </c>
      <c r="Q226" s="450">
        <f t="shared" si="88"/>
        <v>5883.9</v>
      </c>
      <c r="R226" s="451">
        <f t="shared" si="89"/>
        <v>183399</v>
      </c>
      <c r="S226" s="452">
        <f t="shared" si="90"/>
        <v>6113.3</v>
      </c>
      <c r="T226" s="456"/>
      <c r="U226" s="671"/>
      <c r="V226" s="449">
        <f t="shared" si="91"/>
        <v>0</v>
      </c>
      <c r="W226" s="448">
        <f t="shared" si="92"/>
        <v>0</v>
      </c>
      <c r="X226" s="456"/>
      <c r="Y226" s="671"/>
      <c r="Z226" s="456"/>
      <c r="AA226" s="671"/>
      <c r="AB226" s="456"/>
      <c r="AC226" s="671"/>
      <c r="AD226" s="456"/>
      <c r="AE226" s="671"/>
      <c r="AF226" s="449">
        <f t="shared" si="93"/>
        <v>0</v>
      </c>
      <c r="AG226" s="450">
        <f t="shared" si="94"/>
        <v>0</v>
      </c>
      <c r="AH226" s="451">
        <f t="shared" si="95"/>
        <v>0</v>
      </c>
      <c r="AI226" s="451">
        <f t="shared" si="96"/>
        <v>0</v>
      </c>
      <c r="AJ226" s="456"/>
      <c r="AK226" s="671"/>
      <c r="AL226" s="449">
        <f t="shared" si="97"/>
        <v>0</v>
      </c>
      <c r="AM226" s="452">
        <f t="shared" si="98"/>
        <v>0</v>
      </c>
      <c r="AN226" s="456">
        <v>0</v>
      </c>
      <c r="AO226" s="673">
        <v>78</v>
      </c>
      <c r="AP226" s="456">
        <v>8829</v>
      </c>
      <c r="AQ226" s="671">
        <v>11704</v>
      </c>
      <c r="AR226" s="456">
        <v>0</v>
      </c>
      <c r="AS226" s="673">
        <v>872</v>
      </c>
      <c r="AT226" s="456">
        <v>12300</v>
      </c>
      <c r="AU226" s="671">
        <v>12919</v>
      </c>
      <c r="AV226" s="449">
        <f t="shared" si="99"/>
        <v>21129</v>
      </c>
      <c r="AW226" s="453">
        <f t="shared" si="100"/>
        <v>880.375</v>
      </c>
      <c r="AX226" s="451">
        <f t="shared" si="101"/>
        <v>25573</v>
      </c>
      <c r="AY226" s="454">
        <f t="shared" si="102"/>
        <v>1065.5416666666667</v>
      </c>
      <c r="AZ226" s="455">
        <f t="shared" si="103"/>
        <v>6764.2749999999996</v>
      </c>
      <c r="BA226" s="451">
        <f t="shared" si="104"/>
        <v>7178.8416666666672</v>
      </c>
    </row>
    <row r="227" spans="1:53">
      <c r="A227" s="600" t="s">
        <v>247</v>
      </c>
      <c r="B227" s="601" t="s">
        <v>577</v>
      </c>
      <c r="C227" s="670"/>
      <c r="D227" s="606">
        <v>163268</v>
      </c>
      <c r="E227" s="607">
        <v>2</v>
      </c>
      <c r="F227" s="491" t="s">
        <v>41</v>
      </c>
      <c r="G227" s="492" t="s">
        <v>41</v>
      </c>
      <c r="H227" s="456">
        <v>5654.5</v>
      </c>
      <c r="I227" s="493">
        <v>6027.5</v>
      </c>
      <c r="J227" s="456">
        <v>141527</v>
      </c>
      <c r="K227" s="493">
        <v>143985</v>
      </c>
      <c r="L227" s="456">
        <v>19557</v>
      </c>
      <c r="M227" s="671">
        <v>18062</v>
      </c>
      <c r="N227" s="456">
        <v>153050.5</v>
      </c>
      <c r="O227" s="671">
        <v>151874</v>
      </c>
      <c r="P227" s="449">
        <f t="shared" si="87"/>
        <v>319789</v>
      </c>
      <c r="Q227" s="450">
        <f t="shared" si="88"/>
        <v>10659.633333333333</v>
      </c>
      <c r="R227" s="451">
        <f t="shared" si="89"/>
        <v>319948.5</v>
      </c>
      <c r="S227" s="452">
        <f t="shared" si="90"/>
        <v>10664.95</v>
      </c>
      <c r="T227" s="456"/>
      <c r="U227" s="671"/>
      <c r="V227" s="449">
        <f t="shared" si="91"/>
        <v>0</v>
      </c>
      <c r="W227" s="448">
        <f t="shared" si="92"/>
        <v>0</v>
      </c>
      <c r="X227" s="456"/>
      <c r="Y227" s="671"/>
      <c r="Z227" s="456"/>
      <c r="AA227" s="671"/>
      <c r="AB227" s="456"/>
      <c r="AC227" s="671"/>
      <c r="AD227" s="456"/>
      <c r="AE227" s="671"/>
      <c r="AF227" s="449">
        <f t="shared" si="93"/>
        <v>0</v>
      </c>
      <c r="AG227" s="450">
        <f t="shared" si="94"/>
        <v>0</v>
      </c>
      <c r="AH227" s="451">
        <f t="shared" si="95"/>
        <v>0</v>
      </c>
      <c r="AI227" s="451">
        <f t="shared" si="96"/>
        <v>0</v>
      </c>
      <c r="AJ227" s="456"/>
      <c r="AK227" s="671"/>
      <c r="AL227" s="449">
        <f t="shared" si="97"/>
        <v>0</v>
      </c>
      <c r="AM227" s="452">
        <f t="shared" si="98"/>
        <v>0</v>
      </c>
      <c r="AN227" s="456">
        <v>92</v>
      </c>
      <c r="AO227" s="671">
        <v>103</v>
      </c>
      <c r="AP227" s="456">
        <v>16068</v>
      </c>
      <c r="AQ227" s="671">
        <v>16145</v>
      </c>
      <c r="AR227" s="456">
        <v>2984</v>
      </c>
      <c r="AS227" s="671">
        <v>2723</v>
      </c>
      <c r="AT227" s="456">
        <v>16204</v>
      </c>
      <c r="AU227" s="671">
        <v>16145</v>
      </c>
      <c r="AV227" s="449">
        <f t="shared" si="99"/>
        <v>35348</v>
      </c>
      <c r="AW227" s="453">
        <f t="shared" si="100"/>
        <v>1472.8333333333333</v>
      </c>
      <c r="AX227" s="451">
        <f t="shared" si="101"/>
        <v>35116</v>
      </c>
      <c r="AY227" s="454">
        <f t="shared" si="102"/>
        <v>1463.1666666666667</v>
      </c>
      <c r="AZ227" s="455">
        <f t="shared" si="103"/>
        <v>12132.466666666667</v>
      </c>
      <c r="BA227" s="451">
        <f t="shared" si="104"/>
        <v>12128.116666666667</v>
      </c>
    </row>
    <row r="228" spans="1:53">
      <c r="A228" s="600" t="s">
        <v>247</v>
      </c>
      <c r="B228" s="601" t="s">
        <v>578</v>
      </c>
      <c r="C228" s="670"/>
      <c r="D228" s="606">
        <v>164076</v>
      </c>
      <c r="E228" s="607">
        <v>3</v>
      </c>
      <c r="F228" s="491" t="s">
        <v>41</v>
      </c>
      <c r="G228" s="492" t="s">
        <v>41</v>
      </c>
      <c r="H228" s="456">
        <v>7367</v>
      </c>
      <c r="I228" s="493">
        <v>7494</v>
      </c>
      <c r="J228" s="456">
        <v>246419</v>
      </c>
      <c r="K228" s="493">
        <v>245823.5</v>
      </c>
      <c r="L228" s="456">
        <v>26670</v>
      </c>
      <c r="M228" s="671">
        <v>27673</v>
      </c>
      <c r="N228" s="456">
        <v>257822</v>
      </c>
      <c r="O228" s="671">
        <v>260805</v>
      </c>
      <c r="P228" s="449">
        <f t="shared" si="87"/>
        <v>538278</v>
      </c>
      <c r="Q228" s="450">
        <f t="shared" si="88"/>
        <v>17942.599999999999</v>
      </c>
      <c r="R228" s="451">
        <f t="shared" si="89"/>
        <v>541795.5</v>
      </c>
      <c r="S228" s="452">
        <f t="shared" si="90"/>
        <v>18059.849999999999</v>
      </c>
      <c r="T228" s="456"/>
      <c r="U228" s="671"/>
      <c r="V228" s="449">
        <f t="shared" si="91"/>
        <v>0</v>
      </c>
      <c r="W228" s="448">
        <f t="shared" si="92"/>
        <v>0</v>
      </c>
      <c r="X228" s="456"/>
      <c r="Y228" s="671"/>
      <c r="Z228" s="456"/>
      <c r="AA228" s="671"/>
      <c r="AB228" s="456"/>
      <c r="AC228" s="671"/>
      <c r="AD228" s="456"/>
      <c r="AE228" s="671"/>
      <c r="AF228" s="449">
        <f t="shared" si="93"/>
        <v>0</v>
      </c>
      <c r="AG228" s="450">
        <f t="shared" si="94"/>
        <v>0</v>
      </c>
      <c r="AH228" s="451">
        <f t="shared" si="95"/>
        <v>0</v>
      </c>
      <c r="AI228" s="451">
        <f t="shared" si="96"/>
        <v>0</v>
      </c>
      <c r="AJ228" s="456"/>
      <c r="AK228" s="671"/>
      <c r="AL228" s="449">
        <f t="shared" si="97"/>
        <v>0</v>
      </c>
      <c r="AM228" s="452">
        <f t="shared" si="98"/>
        <v>0</v>
      </c>
      <c r="AN228" s="456">
        <v>1206</v>
      </c>
      <c r="AO228" s="671">
        <v>1043.5</v>
      </c>
      <c r="AP228" s="456">
        <v>21454.5</v>
      </c>
      <c r="AQ228" s="671">
        <v>18722.5</v>
      </c>
      <c r="AR228" s="456">
        <v>7967</v>
      </c>
      <c r="AS228" s="671">
        <v>6894.5</v>
      </c>
      <c r="AT228" s="456">
        <v>20780</v>
      </c>
      <c r="AU228" s="671">
        <v>19442</v>
      </c>
      <c r="AV228" s="449">
        <f t="shared" si="99"/>
        <v>51407.5</v>
      </c>
      <c r="AW228" s="453">
        <f t="shared" si="100"/>
        <v>2141.9791666666665</v>
      </c>
      <c r="AX228" s="451">
        <f t="shared" si="101"/>
        <v>46102.5</v>
      </c>
      <c r="AY228" s="454">
        <f t="shared" si="102"/>
        <v>1920.9375</v>
      </c>
      <c r="AZ228" s="455">
        <f t="shared" si="103"/>
        <v>20084.579166666666</v>
      </c>
      <c r="BA228" s="451">
        <f t="shared" si="104"/>
        <v>19980.787499999999</v>
      </c>
    </row>
    <row r="229" spans="1:53">
      <c r="A229" s="600" t="s">
        <v>247</v>
      </c>
      <c r="B229" s="601" t="s">
        <v>579</v>
      </c>
      <c r="C229" s="670" t="s">
        <v>310</v>
      </c>
      <c r="D229" s="606">
        <v>162007</v>
      </c>
      <c r="E229" s="607">
        <v>4</v>
      </c>
      <c r="F229" s="491" t="s">
        <v>41</v>
      </c>
      <c r="G229" s="492" t="s">
        <v>41</v>
      </c>
      <c r="H229" s="456">
        <v>1423</v>
      </c>
      <c r="I229" s="493">
        <v>1404</v>
      </c>
      <c r="J229" s="456">
        <v>53309</v>
      </c>
      <c r="K229" s="493">
        <v>55084</v>
      </c>
      <c r="L229" s="456">
        <v>6302</v>
      </c>
      <c r="M229" s="671">
        <v>5201</v>
      </c>
      <c r="N229" s="456">
        <v>58865</v>
      </c>
      <c r="O229" s="671">
        <v>57786</v>
      </c>
      <c r="P229" s="449">
        <f t="shared" si="87"/>
        <v>119899</v>
      </c>
      <c r="Q229" s="450">
        <f t="shared" si="88"/>
        <v>3996.6333333333332</v>
      </c>
      <c r="R229" s="451">
        <f t="shared" si="89"/>
        <v>119475</v>
      </c>
      <c r="S229" s="452">
        <f t="shared" si="90"/>
        <v>3982.5</v>
      </c>
      <c r="T229" s="456"/>
      <c r="U229" s="671"/>
      <c r="V229" s="449">
        <f t="shared" si="91"/>
        <v>0</v>
      </c>
      <c r="W229" s="448">
        <f t="shared" si="92"/>
        <v>0</v>
      </c>
      <c r="X229" s="456"/>
      <c r="Y229" s="671"/>
      <c r="Z229" s="456"/>
      <c r="AA229" s="671"/>
      <c r="AB229" s="456"/>
      <c r="AC229" s="671"/>
      <c r="AD229" s="456"/>
      <c r="AE229" s="671"/>
      <c r="AF229" s="449">
        <f t="shared" si="93"/>
        <v>0</v>
      </c>
      <c r="AG229" s="450">
        <f t="shared" si="94"/>
        <v>0</v>
      </c>
      <c r="AH229" s="451">
        <f t="shared" si="95"/>
        <v>0</v>
      </c>
      <c r="AI229" s="451">
        <f t="shared" si="96"/>
        <v>0</v>
      </c>
      <c r="AJ229" s="456"/>
      <c r="AK229" s="671"/>
      <c r="AL229" s="449">
        <f t="shared" si="97"/>
        <v>0</v>
      </c>
      <c r="AM229" s="452">
        <f t="shared" si="98"/>
        <v>0</v>
      </c>
      <c r="AN229" s="456">
        <v>144</v>
      </c>
      <c r="AO229" s="671">
        <v>222</v>
      </c>
      <c r="AP229" s="456">
        <v>7941</v>
      </c>
      <c r="AQ229" s="671">
        <v>8306</v>
      </c>
      <c r="AR229" s="456">
        <v>1799</v>
      </c>
      <c r="AS229" s="671">
        <v>1220</v>
      </c>
      <c r="AT229" s="456">
        <v>8712</v>
      </c>
      <c r="AU229" s="671">
        <v>7814</v>
      </c>
      <c r="AV229" s="449">
        <f t="shared" si="99"/>
        <v>18596</v>
      </c>
      <c r="AW229" s="453">
        <f t="shared" si="100"/>
        <v>774.83333333333337</v>
      </c>
      <c r="AX229" s="451">
        <f t="shared" si="101"/>
        <v>17562</v>
      </c>
      <c r="AY229" s="454">
        <f t="shared" si="102"/>
        <v>731.75</v>
      </c>
      <c r="AZ229" s="455">
        <f t="shared" si="103"/>
        <v>4771.4666666666662</v>
      </c>
      <c r="BA229" s="451">
        <f t="shared" si="104"/>
        <v>4714.25</v>
      </c>
    </row>
    <row r="230" spans="1:53">
      <c r="A230" s="600" t="s">
        <v>247</v>
      </c>
      <c r="B230" s="601" t="s">
        <v>580</v>
      </c>
      <c r="C230" s="670" t="s">
        <v>310</v>
      </c>
      <c r="D230" s="606">
        <v>162584</v>
      </c>
      <c r="E230" s="607">
        <v>4</v>
      </c>
      <c r="F230" s="491" t="s">
        <v>41</v>
      </c>
      <c r="G230" s="492" t="s">
        <v>41</v>
      </c>
      <c r="H230" s="456">
        <v>2167</v>
      </c>
      <c r="I230" s="493">
        <v>2262</v>
      </c>
      <c r="J230" s="456">
        <v>60298</v>
      </c>
      <c r="K230" s="493">
        <v>60977</v>
      </c>
      <c r="L230" s="456">
        <v>5886</v>
      </c>
      <c r="M230" s="671">
        <v>6296</v>
      </c>
      <c r="N230" s="456">
        <v>66083</v>
      </c>
      <c r="O230" s="671">
        <v>66510</v>
      </c>
      <c r="P230" s="449">
        <f t="shared" si="87"/>
        <v>134434</v>
      </c>
      <c r="Q230" s="450">
        <f t="shared" si="88"/>
        <v>4481.1333333333332</v>
      </c>
      <c r="R230" s="451">
        <f t="shared" si="89"/>
        <v>136045</v>
      </c>
      <c r="S230" s="452">
        <f t="shared" si="90"/>
        <v>4534.833333333333</v>
      </c>
      <c r="T230" s="456"/>
      <c r="U230" s="671"/>
      <c r="V230" s="449">
        <f t="shared" si="91"/>
        <v>0</v>
      </c>
      <c r="W230" s="448">
        <f t="shared" si="92"/>
        <v>0</v>
      </c>
      <c r="X230" s="456"/>
      <c r="Y230" s="671"/>
      <c r="Z230" s="456"/>
      <c r="AA230" s="671"/>
      <c r="AB230" s="456"/>
      <c r="AC230" s="671"/>
      <c r="AD230" s="456"/>
      <c r="AE230" s="671"/>
      <c r="AF230" s="449">
        <f t="shared" si="93"/>
        <v>0</v>
      </c>
      <c r="AG230" s="450">
        <f t="shared" si="94"/>
        <v>0</v>
      </c>
      <c r="AH230" s="451">
        <f t="shared" si="95"/>
        <v>0</v>
      </c>
      <c r="AI230" s="451">
        <f t="shared" si="96"/>
        <v>0</v>
      </c>
      <c r="AJ230" s="456"/>
      <c r="AK230" s="671"/>
      <c r="AL230" s="449">
        <f t="shared" si="97"/>
        <v>0</v>
      </c>
      <c r="AM230" s="452">
        <f t="shared" si="98"/>
        <v>0</v>
      </c>
      <c r="AN230" s="456">
        <v>409</v>
      </c>
      <c r="AO230" s="671">
        <v>357</v>
      </c>
      <c r="AP230" s="456">
        <v>4371</v>
      </c>
      <c r="AQ230" s="671">
        <v>4214</v>
      </c>
      <c r="AR230" s="456">
        <v>2508</v>
      </c>
      <c r="AS230" s="671">
        <v>2657</v>
      </c>
      <c r="AT230" s="456">
        <v>4555</v>
      </c>
      <c r="AU230" s="671">
        <v>4925</v>
      </c>
      <c r="AV230" s="449">
        <f t="shared" si="99"/>
        <v>11843</v>
      </c>
      <c r="AW230" s="453">
        <f t="shared" si="100"/>
        <v>493.45833333333331</v>
      </c>
      <c r="AX230" s="451">
        <f t="shared" si="101"/>
        <v>12153</v>
      </c>
      <c r="AY230" s="454">
        <f t="shared" si="102"/>
        <v>506.375</v>
      </c>
      <c r="AZ230" s="455">
        <f t="shared" si="103"/>
        <v>4974.5916666666662</v>
      </c>
      <c r="BA230" s="451">
        <f t="shared" si="104"/>
        <v>5041.208333333333</v>
      </c>
    </row>
    <row r="231" spans="1:53">
      <c r="A231" s="600" t="s">
        <v>247</v>
      </c>
      <c r="B231" s="601" t="s">
        <v>581</v>
      </c>
      <c r="C231" s="670" t="s">
        <v>310</v>
      </c>
      <c r="D231" s="606">
        <v>163851</v>
      </c>
      <c r="E231" s="607">
        <v>4</v>
      </c>
      <c r="F231" s="491" t="s">
        <v>41</v>
      </c>
      <c r="G231" s="492" t="s">
        <v>41</v>
      </c>
      <c r="H231" s="456">
        <v>6366</v>
      </c>
      <c r="I231" s="493">
        <v>6146</v>
      </c>
      <c r="J231" s="456">
        <v>111321</v>
      </c>
      <c r="K231" s="493">
        <v>107618</v>
      </c>
      <c r="L231" s="456">
        <v>7022</v>
      </c>
      <c r="M231" s="671">
        <v>6727</v>
      </c>
      <c r="N231" s="456">
        <v>114984</v>
      </c>
      <c r="O231" s="671">
        <v>111842</v>
      </c>
      <c r="P231" s="449">
        <f t="shared" si="87"/>
        <v>239693</v>
      </c>
      <c r="Q231" s="450">
        <f t="shared" si="88"/>
        <v>7989.7666666666664</v>
      </c>
      <c r="R231" s="451">
        <f t="shared" si="89"/>
        <v>232333</v>
      </c>
      <c r="S231" s="452">
        <f t="shared" si="90"/>
        <v>7744.4333333333334</v>
      </c>
      <c r="T231" s="456"/>
      <c r="U231" s="671"/>
      <c r="V231" s="449">
        <f t="shared" si="91"/>
        <v>0</v>
      </c>
      <c r="W231" s="448">
        <f t="shared" si="92"/>
        <v>0</v>
      </c>
      <c r="X231" s="456"/>
      <c r="Y231" s="671"/>
      <c r="Z231" s="456"/>
      <c r="AA231" s="671"/>
      <c r="AB231" s="456"/>
      <c r="AC231" s="671"/>
      <c r="AD231" s="456"/>
      <c r="AE231" s="671"/>
      <c r="AF231" s="449">
        <f t="shared" si="93"/>
        <v>0</v>
      </c>
      <c r="AG231" s="450">
        <f t="shared" si="94"/>
        <v>0</v>
      </c>
      <c r="AH231" s="451">
        <f t="shared" si="95"/>
        <v>0</v>
      </c>
      <c r="AI231" s="451">
        <f t="shared" si="96"/>
        <v>0</v>
      </c>
      <c r="AJ231" s="456"/>
      <c r="AK231" s="671"/>
      <c r="AL231" s="449">
        <f t="shared" si="97"/>
        <v>0</v>
      </c>
      <c r="AM231" s="452">
        <f t="shared" si="98"/>
        <v>0</v>
      </c>
      <c r="AN231" s="456">
        <v>512</v>
      </c>
      <c r="AO231" s="671">
        <v>398</v>
      </c>
      <c r="AP231" s="456">
        <v>4266</v>
      </c>
      <c r="AQ231" s="671">
        <v>5306</v>
      </c>
      <c r="AR231" s="456">
        <v>1437</v>
      </c>
      <c r="AS231" s="671">
        <v>1569</v>
      </c>
      <c r="AT231" s="456">
        <v>5600</v>
      </c>
      <c r="AU231" s="671">
        <v>6261</v>
      </c>
      <c r="AV231" s="449">
        <f t="shared" si="99"/>
        <v>11815</v>
      </c>
      <c r="AW231" s="453">
        <f t="shared" si="100"/>
        <v>492.29166666666669</v>
      </c>
      <c r="AX231" s="451">
        <f t="shared" si="101"/>
        <v>13534</v>
      </c>
      <c r="AY231" s="454">
        <f t="shared" si="102"/>
        <v>563.91666666666663</v>
      </c>
      <c r="AZ231" s="455">
        <f t="shared" si="103"/>
        <v>8482.0583333333325</v>
      </c>
      <c r="BA231" s="451">
        <f t="shared" si="104"/>
        <v>8308.35</v>
      </c>
    </row>
    <row r="232" spans="1:53">
      <c r="A232" s="600" t="s">
        <v>247</v>
      </c>
      <c r="B232" s="601" t="s">
        <v>582</v>
      </c>
      <c r="C232" s="670" t="s">
        <v>518</v>
      </c>
      <c r="D232" s="606">
        <v>161873</v>
      </c>
      <c r="E232" s="607">
        <v>4</v>
      </c>
      <c r="F232" s="491" t="s">
        <v>41</v>
      </c>
      <c r="G232" s="492" t="s">
        <v>41</v>
      </c>
      <c r="H232" s="456">
        <v>159</v>
      </c>
      <c r="I232" s="493">
        <v>195</v>
      </c>
      <c r="J232" s="456">
        <v>34411</v>
      </c>
      <c r="K232" s="493">
        <v>34155</v>
      </c>
      <c r="L232" s="456">
        <v>4758</v>
      </c>
      <c r="M232" s="671">
        <v>4533</v>
      </c>
      <c r="N232" s="456">
        <v>37295</v>
      </c>
      <c r="O232" s="671">
        <v>36138</v>
      </c>
      <c r="P232" s="449">
        <f t="shared" si="87"/>
        <v>76623</v>
      </c>
      <c r="Q232" s="450">
        <f t="shared" si="88"/>
        <v>2554.1</v>
      </c>
      <c r="R232" s="451">
        <f t="shared" si="89"/>
        <v>75021</v>
      </c>
      <c r="S232" s="452">
        <f t="shared" si="90"/>
        <v>2500.6999999999998</v>
      </c>
      <c r="T232" s="456"/>
      <c r="U232" s="671"/>
      <c r="V232" s="449">
        <f t="shared" si="91"/>
        <v>0</v>
      </c>
      <c r="W232" s="448">
        <f t="shared" si="92"/>
        <v>0</v>
      </c>
      <c r="X232" s="456"/>
      <c r="Y232" s="671"/>
      <c r="Z232" s="456"/>
      <c r="AA232" s="671"/>
      <c r="AB232" s="456"/>
      <c r="AC232" s="671"/>
      <c r="AD232" s="456"/>
      <c r="AE232" s="671"/>
      <c r="AF232" s="449">
        <f t="shared" si="93"/>
        <v>0</v>
      </c>
      <c r="AG232" s="450">
        <f t="shared" si="94"/>
        <v>0</v>
      </c>
      <c r="AH232" s="451">
        <f t="shared" si="95"/>
        <v>0</v>
      </c>
      <c r="AI232" s="451">
        <f t="shared" si="96"/>
        <v>0</v>
      </c>
      <c r="AJ232" s="456"/>
      <c r="AK232" s="671"/>
      <c r="AL232" s="449">
        <f t="shared" si="97"/>
        <v>0</v>
      </c>
      <c r="AM232" s="452">
        <f t="shared" si="98"/>
        <v>0</v>
      </c>
      <c r="AN232" s="456">
        <v>69</v>
      </c>
      <c r="AO232" s="671">
        <v>143.5</v>
      </c>
      <c r="AP232" s="456">
        <v>24084</v>
      </c>
      <c r="AQ232" s="671">
        <v>23219</v>
      </c>
      <c r="AR232" s="456">
        <v>4028</v>
      </c>
      <c r="AS232" s="671">
        <v>3686</v>
      </c>
      <c r="AT232" s="456">
        <v>24125.5</v>
      </c>
      <c r="AU232" s="671">
        <v>22496</v>
      </c>
      <c r="AV232" s="449">
        <f t="shared" si="99"/>
        <v>52306.5</v>
      </c>
      <c r="AW232" s="453">
        <f t="shared" si="100"/>
        <v>2179.4375</v>
      </c>
      <c r="AX232" s="451">
        <f t="shared" si="101"/>
        <v>49544.5</v>
      </c>
      <c r="AY232" s="454">
        <f t="shared" si="102"/>
        <v>2064.3541666666665</v>
      </c>
      <c r="AZ232" s="455">
        <f t="shared" si="103"/>
        <v>4733.5375000000004</v>
      </c>
      <c r="BA232" s="451">
        <f t="shared" si="104"/>
        <v>4565.0541666666668</v>
      </c>
    </row>
    <row r="233" spans="1:53">
      <c r="A233" s="600" t="s">
        <v>247</v>
      </c>
      <c r="B233" s="601" t="s">
        <v>583</v>
      </c>
      <c r="C233" s="670"/>
      <c r="D233" s="606">
        <v>163338</v>
      </c>
      <c r="E233" s="607">
        <v>4</v>
      </c>
      <c r="F233" s="491" t="s">
        <v>41</v>
      </c>
      <c r="G233" s="492" t="s">
        <v>41</v>
      </c>
      <c r="H233" s="456">
        <v>1522</v>
      </c>
      <c r="I233" s="493">
        <v>1469</v>
      </c>
      <c r="J233" s="456">
        <v>46611</v>
      </c>
      <c r="K233" s="493">
        <v>46095.5</v>
      </c>
      <c r="L233" s="456">
        <v>4290</v>
      </c>
      <c r="M233" s="671">
        <v>3472</v>
      </c>
      <c r="N233" s="456">
        <v>51509</v>
      </c>
      <c r="O233" s="671">
        <v>53515</v>
      </c>
      <c r="P233" s="449">
        <f t="shared" si="87"/>
        <v>103932</v>
      </c>
      <c r="Q233" s="450">
        <f t="shared" si="88"/>
        <v>3464.4</v>
      </c>
      <c r="R233" s="451">
        <f t="shared" si="89"/>
        <v>104551.5</v>
      </c>
      <c r="S233" s="452">
        <f t="shared" si="90"/>
        <v>3485.05</v>
      </c>
      <c r="T233" s="456"/>
      <c r="U233" s="671"/>
      <c r="V233" s="449">
        <f t="shared" si="91"/>
        <v>0</v>
      </c>
      <c r="W233" s="448">
        <f t="shared" si="92"/>
        <v>0</v>
      </c>
      <c r="X233" s="456"/>
      <c r="Y233" s="671"/>
      <c r="Z233" s="456"/>
      <c r="AA233" s="671"/>
      <c r="AB233" s="456"/>
      <c r="AC233" s="671"/>
      <c r="AD233" s="456"/>
      <c r="AE233" s="671"/>
      <c r="AF233" s="449">
        <f t="shared" si="93"/>
        <v>0</v>
      </c>
      <c r="AG233" s="450">
        <f t="shared" si="94"/>
        <v>0</v>
      </c>
      <c r="AH233" s="451">
        <f t="shared" si="95"/>
        <v>0</v>
      </c>
      <c r="AI233" s="451">
        <f t="shared" si="96"/>
        <v>0</v>
      </c>
      <c r="AJ233" s="456"/>
      <c r="AK233" s="671"/>
      <c r="AL233" s="449">
        <f t="shared" si="97"/>
        <v>0</v>
      </c>
      <c r="AM233" s="452">
        <f t="shared" si="98"/>
        <v>0</v>
      </c>
      <c r="AN233" s="456">
        <v>310</v>
      </c>
      <c r="AO233" s="671">
        <v>451</v>
      </c>
      <c r="AP233" s="456">
        <v>8295</v>
      </c>
      <c r="AQ233" s="671">
        <v>8683.5</v>
      </c>
      <c r="AR233" s="456">
        <v>2088</v>
      </c>
      <c r="AS233" s="671">
        <v>2380</v>
      </c>
      <c r="AT233" s="456">
        <v>9650</v>
      </c>
      <c r="AU233" s="671">
        <v>10308.5</v>
      </c>
      <c r="AV233" s="449">
        <f t="shared" si="99"/>
        <v>20343</v>
      </c>
      <c r="AW233" s="453">
        <f t="shared" si="100"/>
        <v>847.625</v>
      </c>
      <c r="AX233" s="451">
        <f t="shared" si="101"/>
        <v>21823</v>
      </c>
      <c r="AY233" s="454">
        <f t="shared" si="102"/>
        <v>909.29166666666663</v>
      </c>
      <c r="AZ233" s="455">
        <f t="shared" si="103"/>
        <v>4312.0249999999996</v>
      </c>
      <c r="BA233" s="451">
        <f t="shared" si="104"/>
        <v>4394.3416666666672</v>
      </c>
    </row>
    <row r="234" spans="1:53">
      <c r="A234" s="600" t="s">
        <v>247</v>
      </c>
      <c r="B234" s="605" t="s">
        <v>584</v>
      </c>
      <c r="C234" s="670"/>
      <c r="D234" s="606">
        <v>162283</v>
      </c>
      <c r="E234" s="607">
        <v>5</v>
      </c>
      <c r="F234" s="491" t="s">
        <v>41</v>
      </c>
      <c r="G234" s="492" t="s">
        <v>41</v>
      </c>
      <c r="H234" s="456">
        <v>273</v>
      </c>
      <c r="I234" s="493">
        <v>378</v>
      </c>
      <c r="J234" s="456">
        <v>35644</v>
      </c>
      <c r="K234" s="493">
        <v>33126</v>
      </c>
      <c r="L234" s="456">
        <v>422</v>
      </c>
      <c r="M234" s="671">
        <v>2533</v>
      </c>
      <c r="N234" s="456">
        <v>35910</v>
      </c>
      <c r="O234" s="671">
        <v>34063</v>
      </c>
      <c r="P234" s="449">
        <f t="shared" si="87"/>
        <v>72249</v>
      </c>
      <c r="Q234" s="450">
        <f t="shared" si="88"/>
        <v>2408.3000000000002</v>
      </c>
      <c r="R234" s="451">
        <f t="shared" si="89"/>
        <v>70100</v>
      </c>
      <c r="S234" s="452">
        <f t="shared" si="90"/>
        <v>2336.6666666666665</v>
      </c>
      <c r="T234" s="456"/>
      <c r="U234" s="671"/>
      <c r="V234" s="449">
        <f t="shared" si="91"/>
        <v>0</v>
      </c>
      <c r="W234" s="448">
        <f t="shared" si="92"/>
        <v>0</v>
      </c>
      <c r="X234" s="456"/>
      <c r="Y234" s="671"/>
      <c r="Z234" s="456"/>
      <c r="AA234" s="671"/>
      <c r="AB234" s="456"/>
      <c r="AC234" s="671"/>
      <c r="AD234" s="456"/>
      <c r="AE234" s="671"/>
      <c r="AF234" s="449">
        <f t="shared" si="93"/>
        <v>0</v>
      </c>
      <c r="AG234" s="450">
        <f t="shared" si="94"/>
        <v>0</v>
      </c>
      <c r="AH234" s="451">
        <f t="shared" si="95"/>
        <v>0</v>
      </c>
      <c r="AI234" s="451">
        <f t="shared" si="96"/>
        <v>0</v>
      </c>
      <c r="AJ234" s="456"/>
      <c r="AK234" s="671"/>
      <c r="AL234" s="449">
        <f t="shared" si="97"/>
        <v>0</v>
      </c>
      <c r="AM234" s="452">
        <f t="shared" si="98"/>
        <v>0</v>
      </c>
      <c r="AN234" s="456">
        <v>31</v>
      </c>
      <c r="AO234" s="673">
        <v>125</v>
      </c>
      <c r="AP234" s="456">
        <v>2923</v>
      </c>
      <c r="AQ234" s="671">
        <v>2936</v>
      </c>
      <c r="AR234" s="456">
        <v>144</v>
      </c>
      <c r="AS234" s="673">
        <v>361</v>
      </c>
      <c r="AT234" s="456">
        <v>2695</v>
      </c>
      <c r="AU234" s="671">
        <v>2530</v>
      </c>
      <c r="AV234" s="449">
        <f t="shared" si="99"/>
        <v>5793</v>
      </c>
      <c r="AW234" s="453">
        <f t="shared" si="100"/>
        <v>241.375</v>
      </c>
      <c r="AX234" s="451">
        <f t="shared" si="101"/>
        <v>5952</v>
      </c>
      <c r="AY234" s="454">
        <f t="shared" si="102"/>
        <v>248</v>
      </c>
      <c r="AZ234" s="455">
        <f t="shared" si="103"/>
        <v>2649.6750000000002</v>
      </c>
      <c r="BA234" s="451">
        <f t="shared" si="104"/>
        <v>2584.6666666666665</v>
      </c>
    </row>
    <row r="235" spans="1:53">
      <c r="A235" s="600" t="s">
        <v>247</v>
      </c>
      <c r="B235" s="605" t="s">
        <v>585</v>
      </c>
      <c r="C235" s="670"/>
      <c r="D235" s="606">
        <v>163912</v>
      </c>
      <c r="E235" s="607">
        <v>6</v>
      </c>
      <c r="F235" s="491" t="s">
        <v>41</v>
      </c>
      <c r="G235" s="492" t="s">
        <v>41</v>
      </c>
      <c r="H235" s="456">
        <v>0</v>
      </c>
      <c r="I235" s="493">
        <v>0</v>
      </c>
      <c r="J235" s="456">
        <v>26318.5</v>
      </c>
      <c r="K235" s="493">
        <v>25617</v>
      </c>
      <c r="L235" s="456">
        <v>1354</v>
      </c>
      <c r="M235" s="671">
        <v>1243</v>
      </c>
      <c r="N235" s="456">
        <v>26468</v>
      </c>
      <c r="O235" s="671">
        <v>26724.5</v>
      </c>
      <c r="P235" s="449">
        <f t="shared" si="87"/>
        <v>54140.5</v>
      </c>
      <c r="Q235" s="450">
        <f t="shared" si="88"/>
        <v>1804.6833333333334</v>
      </c>
      <c r="R235" s="451">
        <f t="shared" si="89"/>
        <v>53584.5</v>
      </c>
      <c r="S235" s="452">
        <f t="shared" si="90"/>
        <v>1786.15</v>
      </c>
      <c r="T235" s="456"/>
      <c r="U235" s="671"/>
      <c r="V235" s="449">
        <f t="shared" si="91"/>
        <v>0</v>
      </c>
      <c r="W235" s="448">
        <f t="shared" si="92"/>
        <v>0</v>
      </c>
      <c r="X235" s="456"/>
      <c r="Y235" s="671"/>
      <c r="Z235" s="456"/>
      <c r="AA235" s="671"/>
      <c r="AB235" s="456"/>
      <c r="AC235" s="671"/>
      <c r="AD235" s="456"/>
      <c r="AE235" s="671"/>
      <c r="AF235" s="449">
        <f t="shared" si="93"/>
        <v>0</v>
      </c>
      <c r="AG235" s="450">
        <f t="shared" si="94"/>
        <v>0</v>
      </c>
      <c r="AH235" s="451">
        <f t="shared" si="95"/>
        <v>0</v>
      </c>
      <c r="AI235" s="451">
        <f t="shared" si="96"/>
        <v>0</v>
      </c>
      <c r="AJ235" s="456"/>
      <c r="AK235" s="671"/>
      <c r="AL235" s="449">
        <f t="shared" si="97"/>
        <v>0</v>
      </c>
      <c r="AM235" s="452">
        <f t="shared" si="98"/>
        <v>0</v>
      </c>
      <c r="AN235" s="456">
        <v>0</v>
      </c>
      <c r="AO235" s="671">
        <v>0</v>
      </c>
      <c r="AP235" s="456">
        <v>476</v>
      </c>
      <c r="AQ235" s="671">
        <v>544</v>
      </c>
      <c r="AR235" s="456">
        <v>500</v>
      </c>
      <c r="AS235" s="671">
        <v>436</v>
      </c>
      <c r="AT235" s="456">
        <v>406</v>
      </c>
      <c r="AU235" s="671">
        <v>360</v>
      </c>
      <c r="AV235" s="449">
        <f t="shared" si="99"/>
        <v>1382</v>
      </c>
      <c r="AW235" s="453">
        <f t="shared" si="100"/>
        <v>57.583333333333336</v>
      </c>
      <c r="AX235" s="451">
        <f t="shared" si="101"/>
        <v>1340</v>
      </c>
      <c r="AY235" s="454">
        <f t="shared" si="102"/>
        <v>55.833333333333336</v>
      </c>
      <c r="AZ235" s="455">
        <f t="shared" si="103"/>
        <v>1862.2666666666667</v>
      </c>
      <c r="BA235" s="451">
        <f t="shared" si="104"/>
        <v>1841.9833333333333</v>
      </c>
    </row>
    <row r="236" spans="1:53">
      <c r="A236" s="600" t="s">
        <v>247</v>
      </c>
      <c r="B236" s="601" t="s">
        <v>586</v>
      </c>
      <c r="C236" s="670"/>
      <c r="D236" s="606">
        <v>161767</v>
      </c>
      <c r="E236" s="604">
        <v>8</v>
      </c>
      <c r="F236" s="491" t="s">
        <v>41</v>
      </c>
      <c r="G236" s="492" t="s">
        <v>41</v>
      </c>
      <c r="H236" s="456">
        <v>3973</v>
      </c>
      <c r="I236" s="493">
        <v>4126</v>
      </c>
      <c r="J236" s="456">
        <v>122241.5</v>
      </c>
      <c r="K236" s="493">
        <v>114128</v>
      </c>
      <c r="L236" s="456">
        <v>27705</v>
      </c>
      <c r="M236" s="671">
        <v>26327</v>
      </c>
      <c r="N236" s="456">
        <v>117741</v>
      </c>
      <c r="O236" s="671">
        <v>123028</v>
      </c>
      <c r="P236" s="449">
        <f t="shared" si="87"/>
        <v>271660.5</v>
      </c>
      <c r="Q236" s="450">
        <f t="shared" si="88"/>
        <v>9055.35</v>
      </c>
      <c r="R236" s="451">
        <f t="shared" si="89"/>
        <v>267609</v>
      </c>
      <c r="S236" s="452">
        <f t="shared" si="90"/>
        <v>8920.2999999999993</v>
      </c>
      <c r="T236" s="456"/>
      <c r="U236" s="671"/>
      <c r="V236" s="449">
        <f t="shared" si="91"/>
        <v>0</v>
      </c>
      <c r="W236" s="448">
        <f t="shared" si="92"/>
        <v>0</v>
      </c>
      <c r="X236" s="456"/>
      <c r="Y236" s="671"/>
      <c r="Z236" s="456"/>
      <c r="AA236" s="671"/>
      <c r="AB236" s="456"/>
      <c r="AC236" s="671"/>
      <c r="AD236" s="456"/>
      <c r="AE236" s="671"/>
      <c r="AF236" s="449">
        <f t="shared" si="93"/>
        <v>0</v>
      </c>
      <c r="AG236" s="450">
        <f t="shared" si="94"/>
        <v>0</v>
      </c>
      <c r="AH236" s="451">
        <f t="shared" si="95"/>
        <v>0</v>
      </c>
      <c r="AI236" s="451">
        <f t="shared" si="96"/>
        <v>0</v>
      </c>
      <c r="AJ236" s="456"/>
      <c r="AK236" s="671"/>
      <c r="AL236" s="449">
        <f t="shared" si="97"/>
        <v>0</v>
      </c>
      <c r="AM236" s="452">
        <f t="shared" si="98"/>
        <v>0</v>
      </c>
      <c r="AN236" s="456">
        <v>0</v>
      </c>
      <c r="AO236" s="671">
        <v>0</v>
      </c>
      <c r="AP236" s="456">
        <v>0</v>
      </c>
      <c r="AQ236" s="671">
        <v>0</v>
      </c>
      <c r="AR236" s="456">
        <v>0</v>
      </c>
      <c r="AS236" s="671">
        <v>0</v>
      </c>
      <c r="AT236" s="456">
        <v>0</v>
      </c>
      <c r="AU236" s="671">
        <v>0</v>
      </c>
      <c r="AV236" s="449">
        <f t="shared" si="99"/>
        <v>0</v>
      </c>
      <c r="AW236" s="453">
        <f t="shared" si="100"/>
        <v>0</v>
      </c>
      <c r="AX236" s="451">
        <f t="shared" si="101"/>
        <v>0</v>
      </c>
      <c r="AY236" s="454">
        <f t="shared" si="102"/>
        <v>0</v>
      </c>
      <c r="AZ236" s="455">
        <f t="shared" si="103"/>
        <v>9055.35</v>
      </c>
      <c r="BA236" s="451">
        <f t="shared" si="104"/>
        <v>8920.2999999999993</v>
      </c>
    </row>
    <row r="237" spans="1:53">
      <c r="A237" s="600" t="s">
        <v>247</v>
      </c>
      <c r="B237" s="605" t="s">
        <v>587</v>
      </c>
      <c r="C237" s="670"/>
      <c r="D237" s="606">
        <v>162122</v>
      </c>
      <c r="E237" s="604">
        <v>8</v>
      </c>
      <c r="F237" s="491" t="s">
        <v>41</v>
      </c>
      <c r="G237" s="492" t="s">
        <v>41</v>
      </c>
      <c r="H237" s="456">
        <v>1086</v>
      </c>
      <c r="I237" s="493">
        <v>756</v>
      </c>
      <c r="J237" s="456">
        <v>68944</v>
      </c>
      <c r="K237" s="493">
        <v>66488</v>
      </c>
      <c r="L237" s="456">
        <v>15153</v>
      </c>
      <c r="M237" s="671">
        <v>16164</v>
      </c>
      <c r="N237" s="456">
        <v>73354</v>
      </c>
      <c r="O237" s="671">
        <v>72018</v>
      </c>
      <c r="P237" s="449">
        <f t="shared" si="87"/>
        <v>158537</v>
      </c>
      <c r="Q237" s="450">
        <f t="shared" si="88"/>
        <v>5284.5666666666666</v>
      </c>
      <c r="R237" s="451">
        <f t="shared" si="89"/>
        <v>155426</v>
      </c>
      <c r="S237" s="452">
        <f t="shared" si="90"/>
        <v>5180.8666666666668</v>
      </c>
      <c r="T237" s="456"/>
      <c r="U237" s="671"/>
      <c r="V237" s="449">
        <f t="shared" si="91"/>
        <v>0</v>
      </c>
      <c r="W237" s="448">
        <f t="shared" si="92"/>
        <v>0</v>
      </c>
      <c r="X237" s="456"/>
      <c r="Y237" s="671"/>
      <c r="Z237" s="456"/>
      <c r="AA237" s="671"/>
      <c r="AB237" s="456"/>
      <c r="AC237" s="671"/>
      <c r="AD237" s="456"/>
      <c r="AE237" s="671"/>
      <c r="AF237" s="449">
        <f t="shared" si="93"/>
        <v>0</v>
      </c>
      <c r="AG237" s="450">
        <f t="shared" si="94"/>
        <v>0</v>
      </c>
      <c r="AH237" s="451">
        <f t="shared" si="95"/>
        <v>0</v>
      </c>
      <c r="AI237" s="451">
        <f t="shared" si="96"/>
        <v>0</v>
      </c>
      <c r="AJ237" s="456"/>
      <c r="AK237" s="671"/>
      <c r="AL237" s="449">
        <f t="shared" si="97"/>
        <v>0</v>
      </c>
      <c r="AM237" s="452">
        <f t="shared" si="98"/>
        <v>0</v>
      </c>
      <c r="AN237" s="456">
        <v>0</v>
      </c>
      <c r="AO237" s="671">
        <v>0</v>
      </c>
      <c r="AP237" s="456">
        <v>0</v>
      </c>
      <c r="AQ237" s="671">
        <v>0</v>
      </c>
      <c r="AR237" s="456">
        <v>0</v>
      </c>
      <c r="AS237" s="671">
        <v>0</v>
      </c>
      <c r="AT237" s="456">
        <v>0</v>
      </c>
      <c r="AU237" s="671">
        <v>0</v>
      </c>
      <c r="AV237" s="449">
        <f t="shared" si="99"/>
        <v>0</v>
      </c>
      <c r="AW237" s="453">
        <f t="shared" si="100"/>
        <v>0</v>
      </c>
      <c r="AX237" s="451">
        <f t="shared" si="101"/>
        <v>0</v>
      </c>
      <c r="AY237" s="454">
        <f t="shared" si="102"/>
        <v>0</v>
      </c>
      <c r="AZ237" s="455">
        <f t="shared" si="103"/>
        <v>5284.5666666666666</v>
      </c>
      <c r="BA237" s="451">
        <f t="shared" si="104"/>
        <v>5180.8666666666668</v>
      </c>
    </row>
    <row r="238" spans="1:53">
      <c r="A238" s="600" t="s">
        <v>247</v>
      </c>
      <c r="B238" s="601" t="s">
        <v>588</v>
      </c>
      <c r="C238" s="670"/>
      <c r="D238" s="606">
        <v>434672</v>
      </c>
      <c r="E238" s="604">
        <v>8</v>
      </c>
      <c r="F238" s="491" t="s">
        <v>41</v>
      </c>
      <c r="G238" s="492" t="s">
        <v>41</v>
      </c>
      <c r="H238" s="456">
        <v>11047</v>
      </c>
      <c r="I238" s="493">
        <v>10186</v>
      </c>
      <c r="J238" s="456">
        <v>179161</v>
      </c>
      <c r="K238" s="493">
        <v>172054</v>
      </c>
      <c r="L238" s="456">
        <v>38654</v>
      </c>
      <c r="M238" s="671">
        <v>35074</v>
      </c>
      <c r="N238" s="456">
        <v>196715</v>
      </c>
      <c r="O238" s="671">
        <v>186083</v>
      </c>
      <c r="P238" s="449">
        <f t="shared" si="87"/>
        <v>425577</v>
      </c>
      <c r="Q238" s="450">
        <f t="shared" si="88"/>
        <v>14185.9</v>
      </c>
      <c r="R238" s="451">
        <f t="shared" si="89"/>
        <v>403397</v>
      </c>
      <c r="S238" s="452">
        <f t="shared" si="90"/>
        <v>13446.566666666668</v>
      </c>
      <c r="T238" s="456"/>
      <c r="U238" s="671"/>
      <c r="V238" s="449">
        <f t="shared" si="91"/>
        <v>0</v>
      </c>
      <c r="W238" s="448">
        <f t="shared" si="92"/>
        <v>0</v>
      </c>
      <c r="X238" s="456"/>
      <c r="Y238" s="671"/>
      <c r="Z238" s="456"/>
      <c r="AA238" s="671"/>
      <c r="AB238" s="456"/>
      <c r="AC238" s="671"/>
      <c r="AD238" s="456"/>
      <c r="AE238" s="671"/>
      <c r="AF238" s="449">
        <f t="shared" si="93"/>
        <v>0</v>
      </c>
      <c r="AG238" s="450">
        <f t="shared" si="94"/>
        <v>0</v>
      </c>
      <c r="AH238" s="451">
        <f t="shared" si="95"/>
        <v>0</v>
      </c>
      <c r="AI238" s="451">
        <f t="shared" si="96"/>
        <v>0</v>
      </c>
      <c r="AJ238" s="456"/>
      <c r="AK238" s="671"/>
      <c r="AL238" s="449">
        <f t="shared" si="97"/>
        <v>0</v>
      </c>
      <c r="AM238" s="452">
        <f t="shared" si="98"/>
        <v>0</v>
      </c>
      <c r="AN238" s="456">
        <v>0</v>
      </c>
      <c r="AO238" s="671">
        <v>0</v>
      </c>
      <c r="AP238" s="456">
        <v>0</v>
      </c>
      <c r="AQ238" s="671">
        <v>0</v>
      </c>
      <c r="AR238" s="456">
        <v>0</v>
      </c>
      <c r="AS238" s="671">
        <v>0</v>
      </c>
      <c r="AT238" s="456">
        <v>0</v>
      </c>
      <c r="AU238" s="671">
        <v>0</v>
      </c>
      <c r="AV238" s="449">
        <f t="shared" si="99"/>
        <v>0</v>
      </c>
      <c r="AW238" s="453">
        <f t="shared" si="100"/>
        <v>0</v>
      </c>
      <c r="AX238" s="451">
        <f t="shared" si="101"/>
        <v>0</v>
      </c>
      <c r="AY238" s="454">
        <f t="shared" si="102"/>
        <v>0</v>
      </c>
      <c r="AZ238" s="455">
        <f t="shared" si="103"/>
        <v>14185.9</v>
      </c>
      <c r="BA238" s="451">
        <f t="shared" si="104"/>
        <v>13446.566666666668</v>
      </c>
    </row>
    <row r="239" spans="1:53">
      <c r="A239" s="600" t="s">
        <v>247</v>
      </c>
      <c r="B239" s="605" t="s">
        <v>589</v>
      </c>
      <c r="C239" s="670"/>
      <c r="D239" s="606">
        <v>162779</v>
      </c>
      <c r="E239" s="604">
        <v>8</v>
      </c>
      <c r="F239" s="491" t="s">
        <v>41</v>
      </c>
      <c r="G239" s="492" t="s">
        <v>41</v>
      </c>
      <c r="H239" s="456">
        <v>6158</v>
      </c>
      <c r="I239" s="493">
        <v>5774</v>
      </c>
      <c r="J239" s="456">
        <v>81059</v>
      </c>
      <c r="K239" s="493">
        <v>80487</v>
      </c>
      <c r="L239" s="456">
        <v>25542</v>
      </c>
      <c r="M239" s="671">
        <v>19593</v>
      </c>
      <c r="N239" s="456">
        <v>90552</v>
      </c>
      <c r="O239" s="671">
        <v>87944</v>
      </c>
      <c r="P239" s="449">
        <f t="shared" si="87"/>
        <v>203311</v>
      </c>
      <c r="Q239" s="450">
        <f t="shared" si="88"/>
        <v>6777.0333333333338</v>
      </c>
      <c r="R239" s="451">
        <f t="shared" si="89"/>
        <v>193798</v>
      </c>
      <c r="S239" s="452">
        <f t="shared" si="90"/>
        <v>6459.9333333333334</v>
      </c>
      <c r="T239" s="456"/>
      <c r="U239" s="671"/>
      <c r="V239" s="449">
        <f t="shared" si="91"/>
        <v>0</v>
      </c>
      <c r="W239" s="448">
        <f t="shared" si="92"/>
        <v>0</v>
      </c>
      <c r="X239" s="456"/>
      <c r="Y239" s="671"/>
      <c r="Z239" s="456"/>
      <c r="AA239" s="671"/>
      <c r="AB239" s="456"/>
      <c r="AC239" s="671"/>
      <c r="AD239" s="456"/>
      <c r="AE239" s="671"/>
      <c r="AF239" s="449">
        <f t="shared" si="93"/>
        <v>0</v>
      </c>
      <c r="AG239" s="450">
        <f t="shared" si="94"/>
        <v>0</v>
      </c>
      <c r="AH239" s="451">
        <f t="shared" si="95"/>
        <v>0</v>
      </c>
      <c r="AI239" s="451">
        <f t="shared" si="96"/>
        <v>0</v>
      </c>
      <c r="AJ239" s="456"/>
      <c r="AK239" s="671"/>
      <c r="AL239" s="449">
        <f t="shared" si="97"/>
        <v>0</v>
      </c>
      <c r="AM239" s="452">
        <f t="shared" si="98"/>
        <v>0</v>
      </c>
      <c r="AN239" s="456">
        <v>0</v>
      </c>
      <c r="AO239" s="671">
        <v>0</v>
      </c>
      <c r="AP239" s="456">
        <v>0</v>
      </c>
      <c r="AQ239" s="671">
        <v>0</v>
      </c>
      <c r="AR239" s="456">
        <v>0</v>
      </c>
      <c r="AS239" s="671">
        <v>0</v>
      </c>
      <c r="AT239" s="456">
        <v>0</v>
      </c>
      <c r="AU239" s="671">
        <v>0</v>
      </c>
      <c r="AV239" s="449">
        <f t="shared" si="99"/>
        <v>0</v>
      </c>
      <c r="AW239" s="453">
        <f t="shared" si="100"/>
        <v>0</v>
      </c>
      <c r="AX239" s="451">
        <f t="shared" si="101"/>
        <v>0</v>
      </c>
      <c r="AY239" s="454">
        <f t="shared" si="102"/>
        <v>0</v>
      </c>
      <c r="AZ239" s="455">
        <f t="shared" si="103"/>
        <v>6777.0333333333338</v>
      </c>
      <c r="BA239" s="451">
        <f t="shared" si="104"/>
        <v>6459.9333333333334</v>
      </c>
    </row>
    <row r="240" spans="1:53">
      <c r="A240" s="600" t="s">
        <v>247</v>
      </c>
      <c r="B240" s="601" t="s">
        <v>590</v>
      </c>
      <c r="C240" s="670"/>
      <c r="D240" s="606">
        <v>163426</v>
      </c>
      <c r="E240" s="604">
        <v>8</v>
      </c>
      <c r="F240" s="491" t="s">
        <v>41</v>
      </c>
      <c r="G240" s="492" t="s">
        <v>41</v>
      </c>
      <c r="H240" s="456">
        <v>4625</v>
      </c>
      <c r="I240" s="493">
        <v>4395</v>
      </c>
      <c r="J240" s="456">
        <v>279200</v>
      </c>
      <c r="K240" s="493">
        <v>273244</v>
      </c>
      <c r="L240" s="456">
        <v>147274</v>
      </c>
      <c r="M240" s="671">
        <v>147032</v>
      </c>
      <c r="N240" s="456">
        <v>269389</v>
      </c>
      <c r="O240" s="671">
        <v>272828</v>
      </c>
      <c r="P240" s="449">
        <f t="shared" si="87"/>
        <v>700488</v>
      </c>
      <c r="Q240" s="450">
        <f t="shared" si="88"/>
        <v>23349.599999999999</v>
      </c>
      <c r="R240" s="451">
        <f t="shared" si="89"/>
        <v>697499</v>
      </c>
      <c r="S240" s="452">
        <f t="shared" si="90"/>
        <v>23249.966666666667</v>
      </c>
      <c r="T240" s="456"/>
      <c r="U240" s="671"/>
      <c r="V240" s="449">
        <f t="shared" si="91"/>
        <v>0</v>
      </c>
      <c r="W240" s="448">
        <f t="shared" si="92"/>
        <v>0</v>
      </c>
      <c r="X240" s="456"/>
      <c r="Y240" s="671"/>
      <c r="Z240" s="456"/>
      <c r="AA240" s="671"/>
      <c r="AB240" s="456"/>
      <c r="AC240" s="671"/>
      <c r="AD240" s="456"/>
      <c r="AE240" s="671"/>
      <c r="AF240" s="449">
        <f t="shared" si="93"/>
        <v>0</v>
      </c>
      <c r="AG240" s="450">
        <f t="shared" si="94"/>
        <v>0</v>
      </c>
      <c r="AH240" s="451">
        <f t="shared" si="95"/>
        <v>0</v>
      </c>
      <c r="AI240" s="451">
        <f t="shared" si="96"/>
        <v>0</v>
      </c>
      <c r="AJ240" s="456"/>
      <c r="AK240" s="671"/>
      <c r="AL240" s="449">
        <f t="shared" si="97"/>
        <v>0</v>
      </c>
      <c r="AM240" s="452">
        <f t="shared" si="98"/>
        <v>0</v>
      </c>
      <c r="AN240" s="456">
        <v>0</v>
      </c>
      <c r="AO240" s="671">
        <v>0</v>
      </c>
      <c r="AP240" s="456">
        <v>0</v>
      </c>
      <c r="AQ240" s="671">
        <v>0</v>
      </c>
      <c r="AR240" s="456">
        <v>0</v>
      </c>
      <c r="AS240" s="671">
        <v>0</v>
      </c>
      <c r="AT240" s="456">
        <v>0</v>
      </c>
      <c r="AU240" s="671">
        <v>0</v>
      </c>
      <c r="AV240" s="449">
        <f t="shared" si="99"/>
        <v>0</v>
      </c>
      <c r="AW240" s="453">
        <f t="shared" si="100"/>
        <v>0</v>
      </c>
      <c r="AX240" s="451">
        <f t="shared" si="101"/>
        <v>0</v>
      </c>
      <c r="AY240" s="454">
        <f t="shared" si="102"/>
        <v>0</v>
      </c>
      <c r="AZ240" s="455">
        <f t="shared" si="103"/>
        <v>23349.599999999999</v>
      </c>
      <c r="BA240" s="451">
        <f t="shared" si="104"/>
        <v>23249.966666666667</v>
      </c>
    </row>
    <row r="241" spans="1:53">
      <c r="A241" s="600" t="s">
        <v>247</v>
      </c>
      <c r="B241" s="601" t="s">
        <v>591</v>
      </c>
      <c r="C241" s="670"/>
      <c r="D241" s="606">
        <v>163657</v>
      </c>
      <c r="E241" s="604">
        <v>8</v>
      </c>
      <c r="F241" s="491" t="s">
        <v>41</v>
      </c>
      <c r="G241" s="492" t="s">
        <v>41</v>
      </c>
      <c r="H241" s="456">
        <v>0</v>
      </c>
      <c r="I241" s="493">
        <v>0</v>
      </c>
      <c r="J241" s="456">
        <v>160637</v>
      </c>
      <c r="K241" s="493">
        <v>139262</v>
      </c>
      <c r="L241" s="456">
        <v>53673</v>
      </c>
      <c r="M241" s="671">
        <v>46865</v>
      </c>
      <c r="N241" s="456">
        <v>157192</v>
      </c>
      <c r="O241" s="671">
        <v>109520</v>
      </c>
      <c r="P241" s="449">
        <f t="shared" si="87"/>
        <v>371502</v>
      </c>
      <c r="Q241" s="450">
        <f t="shared" si="88"/>
        <v>12383.4</v>
      </c>
      <c r="R241" s="451">
        <f t="shared" si="89"/>
        <v>295647</v>
      </c>
      <c r="S241" s="452">
        <f t="shared" si="90"/>
        <v>9854.9</v>
      </c>
      <c r="T241" s="456"/>
      <c r="U241" s="671"/>
      <c r="V241" s="449">
        <f t="shared" si="91"/>
        <v>0</v>
      </c>
      <c r="W241" s="448">
        <f t="shared" si="92"/>
        <v>0</v>
      </c>
      <c r="X241" s="456"/>
      <c r="Y241" s="671"/>
      <c r="Z241" s="456"/>
      <c r="AA241" s="671"/>
      <c r="AB241" s="456"/>
      <c r="AC241" s="671"/>
      <c r="AD241" s="456"/>
      <c r="AE241" s="671"/>
      <c r="AF241" s="449">
        <f t="shared" si="93"/>
        <v>0</v>
      </c>
      <c r="AG241" s="450">
        <f t="shared" si="94"/>
        <v>0</v>
      </c>
      <c r="AH241" s="451">
        <f t="shared" si="95"/>
        <v>0</v>
      </c>
      <c r="AI241" s="451">
        <f t="shared" si="96"/>
        <v>0</v>
      </c>
      <c r="AJ241" s="456"/>
      <c r="AK241" s="671"/>
      <c r="AL241" s="449">
        <f t="shared" si="97"/>
        <v>0</v>
      </c>
      <c r="AM241" s="452">
        <f t="shared" si="98"/>
        <v>0</v>
      </c>
      <c r="AN241" s="456">
        <v>0</v>
      </c>
      <c r="AO241" s="671">
        <v>0</v>
      </c>
      <c r="AP241" s="456">
        <v>0</v>
      </c>
      <c r="AQ241" s="671">
        <v>0</v>
      </c>
      <c r="AR241" s="456">
        <v>0</v>
      </c>
      <c r="AS241" s="671">
        <v>0</v>
      </c>
      <c r="AT241" s="456">
        <v>0</v>
      </c>
      <c r="AU241" s="671">
        <v>0</v>
      </c>
      <c r="AV241" s="449">
        <f t="shared" si="99"/>
        <v>0</v>
      </c>
      <c r="AW241" s="453">
        <f t="shared" si="100"/>
        <v>0</v>
      </c>
      <c r="AX241" s="451">
        <f t="shared" si="101"/>
        <v>0</v>
      </c>
      <c r="AY241" s="454">
        <f t="shared" si="102"/>
        <v>0</v>
      </c>
      <c r="AZ241" s="455">
        <f t="shared" si="103"/>
        <v>12383.4</v>
      </c>
      <c r="BA241" s="451">
        <f t="shared" si="104"/>
        <v>9854.9</v>
      </c>
    </row>
    <row r="242" spans="1:53">
      <c r="A242" s="600" t="s">
        <v>247</v>
      </c>
      <c r="B242" s="601" t="s">
        <v>592</v>
      </c>
      <c r="C242" s="670"/>
      <c r="D242" s="674">
        <v>161688</v>
      </c>
      <c r="E242" s="675">
        <v>9</v>
      </c>
      <c r="F242" s="491" t="s">
        <v>41</v>
      </c>
      <c r="G242" s="492" t="s">
        <v>41</v>
      </c>
      <c r="H242" s="456">
        <v>0</v>
      </c>
      <c r="I242" s="493">
        <v>0</v>
      </c>
      <c r="J242" s="456">
        <v>30636</v>
      </c>
      <c r="K242" s="493">
        <v>29419</v>
      </c>
      <c r="L242" s="456">
        <v>4304</v>
      </c>
      <c r="M242" s="671">
        <v>4152</v>
      </c>
      <c r="N242" s="456">
        <v>32671</v>
      </c>
      <c r="O242" s="671">
        <v>30775</v>
      </c>
      <c r="P242" s="449">
        <f t="shared" si="87"/>
        <v>67611</v>
      </c>
      <c r="Q242" s="450">
        <f t="shared" si="88"/>
        <v>2253.6999999999998</v>
      </c>
      <c r="R242" s="451">
        <f t="shared" si="89"/>
        <v>64346</v>
      </c>
      <c r="S242" s="452">
        <f t="shared" si="90"/>
        <v>2144.8666666666668</v>
      </c>
      <c r="T242" s="456"/>
      <c r="U242" s="671"/>
      <c r="V242" s="449">
        <f t="shared" si="91"/>
        <v>0</v>
      </c>
      <c r="W242" s="448">
        <f t="shared" si="92"/>
        <v>0</v>
      </c>
      <c r="X242" s="456"/>
      <c r="Y242" s="671"/>
      <c r="Z242" s="456"/>
      <c r="AA242" s="671"/>
      <c r="AB242" s="456"/>
      <c r="AC242" s="671"/>
      <c r="AD242" s="456"/>
      <c r="AE242" s="671"/>
      <c r="AF242" s="449">
        <f t="shared" si="93"/>
        <v>0</v>
      </c>
      <c r="AG242" s="450">
        <f t="shared" si="94"/>
        <v>0</v>
      </c>
      <c r="AH242" s="451">
        <f t="shared" si="95"/>
        <v>0</v>
      </c>
      <c r="AI242" s="451">
        <f t="shared" si="96"/>
        <v>0</v>
      </c>
      <c r="AJ242" s="456"/>
      <c r="AK242" s="671"/>
      <c r="AL242" s="449">
        <f t="shared" si="97"/>
        <v>0</v>
      </c>
      <c r="AM242" s="452">
        <f t="shared" si="98"/>
        <v>0</v>
      </c>
      <c r="AN242" s="456">
        <v>0</v>
      </c>
      <c r="AO242" s="671">
        <v>0</v>
      </c>
      <c r="AP242" s="456">
        <v>0</v>
      </c>
      <c r="AQ242" s="671">
        <v>0</v>
      </c>
      <c r="AR242" s="456">
        <v>0</v>
      </c>
      <c r="AS242" s="671">
        <v>0</v>
      </c>
      <c r="AT242" s="456">
        <v>0</v>
      </c>
      <c r="AU242" s="671">
        <v>0</v>
      </c>
      <c r="AV242" s="449">
        <f t="shared" si="99"/>
        <v>0</v>
      </c>
      <c r="AW242" s="453">
        <f t="shared" si="100"/>
        <v>0</v>
      </c>
      <c r="AX242" s="451">
        <f t="shared" si="101"/>
        <v>0</v>
      </c>
      <c r="AY242" s="454">
        <f t="shared" si="102"/>
        <v>0</v>
      </c>
      <c r="AZ242" s="455">
        <f t="shared" si="103"/>
        <v>2253.6999999999998</v>
      </c>
      <c r="BA242" s="451">
        <f t="shared" si="104"/>
        <v>2144.8666666666668</v>
      </c>
    </row>
    <row r="243" spans="1:53">
      <c r="A243" s="600" t="s">
        <v>247</v>
      </c>
      <c r="B243" s="601" t="s">
        <v>593</v>
      </c>
      <c r="C243" s="670" t="s">
        <v>516</v>
      </c>
      <c r="D243" s="606">
        <v>161864</v>
      </c>
      <c r="E243" s="604">
        <v>9</v>
      </c>
      <c r="F243" s="491" t="s">
        <v>41</v>
      </c>
      <c r="G243" s="492" t="s">
        <v>41</v>
      </c>
      <c r="H243" s="456">
        <v>1527</v>
      </c>
      <c r="I243" s="493">
        <v>1355</v>
      </c>
      <c r="J243" s="456">
        <v>44469</v>
      </c>
      <c r="K243" s="493">
        <v>1989</v>
      </c>
      <c r="L243" s="456">
        <v>7761</v>
      </c>
      <c r="M243" s="671">
        <v>6946</v>
      </c>
      <c r="N243" s="456">
        <v>45112</v>
      </c>
      <c r="O243" s="671">
        <v>37261</v>
      </c>
      <c r="P243" s="449">
        <f t="shared" si="87"/>
        <v>98869</v>
      </c>
      <c r="Q243" s="450">
        <f t="shared" si="88"/>
        <v>3295.6333333333332</v>
      </c>
      <c r="R243" s="451">
        <f t="shared" si="89"/>
        <v>47551</v>
      </c>
      <c r="S243" s="452">
        <f t="shared" si="90"/>
        <v>1585.0333333333333</v>
      </c>
      <c r="T243" s="456"/>
      <c r="U243" s="671"/>
      <c r="V243" s="449">
        <f t="shared" si="91"/>
        <v>0</v>
      </c>
      <c r="W243" s="448">
        <f t="shared" si="92"/>
        <v>0</v>
      </c>
      <c r="X243" s="456"/>
      <c r="Y243" s="671"/>
      <c r="Z243" s="456"/>
      <c r="AA243" s="671"/>
      <c r="AB243" s="456"/>
      <c r="AC243" s="671"/>
      <c r="AD243" s="456"/>
      <c r="AE243" s="671"/>
      <c r="AF243" s="449">
        <f t="shared" si="93"/>
        <v>0</v>
      </c>
      <c r="AG243" s="450">
        <f t="shared" si="94"/>
        <v>0</v>
      </c>
      <c r="AH243" s="451">
        <f t="shared" si="95"/>
        <v>0</v>
      </c>
      <c r="AI243" s="451">
        <f t="shared" si="96"/>
        <v>0</v>
      </c>
      <c r="AJ243" s="456"/>
      <c r="AK243" s="671"/>
      <c r="AL243" s="449">
        <f t="shared" si="97"/>
        <v>0</v>
      </c>
      <c r="AM243" s="452">
        <f t="shared" si="98"/>
        <v>0</v>
      </c>
      <c r="AN243" s="456">
        <v>0</v>
      </c>
      <c r="AO243" s="671">
        <v>0</v>
      </c>
      <c r="AP243" s="456">
        <v>0</v>
      </c>
      <c r="AQ243" s="671">
        <v>0</v>
      </c>
      <c r="AR243" s="456">
        <v>0</v>
      </c>
      <c r="AS243" s="671">
        <v>0</v>
      </c>
      <c r="AT243" s="456">
        <v>0</v>
      </c>
      <c r="AU243" s="671">
        <v>0</v>
      </c>
      <c r="AV243" s="449">
        <f t="shared" si="99"/>
        <v>0</v>
      </c>
      <c r="AW243" s="453">
        <f t="shared" si="100"/>
        <v>0</v>
      </c>
      <c r="AX243" s="451">
        <f t="shared" si="101"/>
        <v>0</v>
      </c>
      <c r="AY243" s="454">
        <f t="shared" si="102"/>
        <v>0</v>
      </c>
      <c r="AZ243" s="455">
        <f t="shared" si="103"/>
        <v>3295.6333333333332</v>
      </c>
      <c r="BA243" s="451">
        <f t="shared" si="104"/>
        <v>1585.0333333333333</v>
      </c>
    </row>
    <row r="244" spans="1:53">
      <c r="A244" s="600" t="s">
        <v>247</v>
      </c>
      <c r="B244" s="676" t="s">
        <v>594</v>
      </c>
      <c r="C244" s="670"/>
      <c r="D244" s="603">
        <v>405872</v>
      </c>
      <c r="E244" s="604">
        <v>9</v>
      </c>
      <c r="F244" s="491" t="s">
        <v>41</v>
      </c>
      <c r="G244" s="492" t="s">
        <v>41</v>
      </c>
      <c r="H244" s="456">
        <v>2240</v>
      </c>
      <c r="I244" s="493">
        <v>2102</v>
      </c>
      <c r="J244" s="456">
        <v>30687</v>
      </c>
      <c r="K244" s="493">
        <v>28476</v>
      </c>
      <c r="L244" s="456">
        <v>5814</v>
      </c>
      <c r="M244" s="671">
        <v>5781</v>
      </c>
      <c r="N244" s="456">
        <v>34122</v>
      </c>
      <c r="O244" s="671">
        <v>32628</v>
      </c>
      <c r="P244" s="449">
        <f t="shared" si="87"/>
        <v>72863</v>
      </c>
      <c r="Q244" s="450">
        <f t="shared" si="88"/>
        <v>2428.7666666666669</v>
      </c>
      <c r="R244" s="451">
        <f t="shared" si="89"/>
        <v>68987</v>
      </c>
      <c r="S244" s="452">
        <f t="shared" si="90"/>
        <v>2299.5666666666666</v>
      </c>
      <c r="T244" s="456"/>
      <c r="U244" s="671"/>
      <c r="V244" s="449">
        <f t="shared" si="91"/>
        <v>0</v>
      </c>
      <c r="W244" s="448">
        <f t="shared" si="92"/>
        <v>0</v>
      </c>
      <c r="X244" s="456"/>
      <c r="Y244" s="671"/>
      <c r="Z244" s="456"/>
      <c r="AA244" s="671"/>
      <c r="AB244" s="456"/>
      <c r="AC244" s="671"/>
      <c r="AD244" s="456"/>
      <c r="AE244" s="671"/>
      <c r="AF244" s="449">
        <f t="shared" si="93"/>
        <v>0</v>
      </c>
      <c r="AG244" s="450">
        <f t="shared" si="94"/>
        <v>0</v>
      </c>
      <c r="AH244" s="451">
        <f t="shared" si="95"/>
        <v>0</v>
      </c>
      <c r="AI244" s="451">
        <f t="shared" si="96"/>
        <v>0</v>
      </c>
      <c r="AJ244" s="456"/>
      <c r="AK244" s="671"/>
      <c r="AL244" s="449">
        <f t="shared" si="97"/>
        <v>0</v>
      </c>
      <c r="AM244" s="452">
        <f t="shared" si="98"/>
        <v>0</v>
      </c>
      <c r="AN244" s="456">
        <v>0</v>
      </c>
      <c r="AO244" s="671">
        <v>0</v>
      </c>
      <c r="AP244" s="456">
        <v>0</v>
      </c>
      <c r="AQ244" s="671">
        <v>0</v>
      </c>
      <c r="AR244" s="456">
        <v>0</v>
      </c>
      <c r="AS244" s="671">
        <v>0</v>
      </c>
      <c r="AT244" s="456">
        <v>0</v>
      </c>
      <c r="AU244" s="671">
        <v>0</v>
      </c>
      <c r="AV244" s="449">
        <f t="shared" si="99"/>
        <v>0</v>
      </c>
      <c r="AW244" s="453">
        <f t="shared" si="100"/>
        <v>0</v>
      </c>
      <c r="AX244" s="451">
        <f t="shared" si="101"/>
        <v>0</v>
      </c>
      <c r="AY244" s="454">
        <f t="shared" si="102"/>
        <v>0</v>
      </c>
      <c r="AZ244" s="455">
        <f t="shared" si="103"/>
        <v>2428.7666666666669</v>
      </c>
      <c r="BA244" s="451">
        <f t="shared" si="104"/>
        <v>2299.5666666666666</v>
      </c>
    </row>
    <row r="245" spans="1:53">
      <c r="A245" s="600" t="s">
        <v>247</v>
      </c>
      <c r="B245" s="601" t="s">
        <v>595</v>
      </c>
      <c r="C245" s="670"/>
      <c r="D245" s="606">
        <v>162557</v>
      </c>
      <c r="E245" s="604">
        <v>9</v>
      </c>
      <c r="F245" s="491" t="s">
        <v>41</v>
      </c>
      <c r="G245" s="492" t="s">
        <v>41</v>
      </c>
      <c r="H245" s="456">
        <v>1883</v>
      </c>
      <c r="I245" s="493">
        <v>1960</v>
      </c>
      <c r="J245" s="456">
        <v>49747</v>
      </c>
      <c r="K245" s="493">
        <v>48502</v>
      </c>
      <c r="L245" s="456">
        <v>9997</v>
      </c>
      <c r="M245" s="671">
        <v>9911</v>
      </c>
      <c r="N245" s="456">
        <v>53529</v>
      </c>
      <c r="O245" s="671">
        <v>52299</v>
      </c>
      <c r="P245" s="449">
        <f t="shared" si="87"/>
        <v>115156</v>
      </c>
      <c r="Q245" s="450">
        <f t="shared" si="88"/>
        <v>3838.5333333333333</v>
      </c>
      <c r="R245" s="451">
        <f t="shared" si="89"/>
        <v>112672</v>
      </c>
      <c r="S245" s="452">
        <f t="shared" si="90"/>
        <v>3755.7333333333331</v>
      </c>
      <c r="T245" s="456"/>
      <c r="U245" s="671"/>
      <c r="V245" s="449">
        <f t="shared" si="91"/>
        <v>0</v>
      </c>
      <c r="W245" s="448">
        <f t="shared" si="92"/>
        <v>0</v>
      </c>
      <c r="X245" s="456"/>
      <c r="Y245" s="671"/>
      <c r="Z245" s="456"/>
      <c r="AA245" s="671"/>
      <c r="AB245" s="456"/>
      <c r="AC245" s="671"/>
      <c r="AD245" s="456"/>
      <c r="AE245" s="671"/>
      <c r="AF245" s="449">
        <f t="shared" si="93"/>
        <v>0</v>
      </c>
      <c r="AG245" s="450">
        <f t="shared" si="94"/>
        <v>0</v>
      </c>
      <c r="AH245" s="451">
        <f t="shared" si="95"/>
        <v>0</v>
      </c>
      <c r="AI245" s="451">
        <f t="shared" si="96"/>
        <v>0</v>
      </c>
      <c r="AJ245" s="456"/>
      <c r="AK245" s="671"/>
      <c r="AL245" s="449">
        <f t="shared" si="97"/>
        <v>0</v>
      </c>
      <c r="AM245" s="452">
        <f t="shared" si="98"/>
        <v>0</v>
      </c>
      <c r="AN245" s="456">
        <v>0</v>
      </c>
      <c r="AO245" s="671">
        <v>0</v>
      </c>
      <c r="AP245" s="456">
        <v>0</v>
      </c>
      <c r="AQ245" s="671">
        <v>0</v>
      </c>
      <c r="AR245" s="456">
        <v>0</v>
      </c>
      <c r="AS245" s="671">
        <v>0</v>
      </c>
      <c r="AT245" s="456">
        <v>0</v>
      </c>
      <c r="AU245" s="671">
        <v>0</v>
      </c>
      <c r="AV245" s="449">
        <f t="shared" si="99"/>
        <v>0</v>
      </c>
      <c r="AW245" s="453">
        <f t="shared" si="100"/>
        <v>0</v>
      </c>
      <c r="AX245" s="451">
        <f t="shared" si="101"/>
        <v>0</v>
      </c>
      <c r="AY245" s="454">
        <f t="shared" si="102"/>
        <v>0</v>
      </c>
      <c r="AZ245" s="455">
        <f t="shared" si="103"/>
        <v>3838.5333333333333</v>
      </c>
      <c r="BA245" s="451">
        <f t="shared" si="104"/>
        <v>3755.7333333333331</v>
      </c>
    </row>
    <row r="246" spans="1:53">
      <c r="A246" s="600" t="s">
        <v>247</v>
      </c>
      <c r="B246" s="601" t="s">
        <v>596</v>
      </c>
      <c r="C246" s="670"/>
      <c r="D246" s="674">
        <v>162690</v>
      </c>
      <c r="E246" s="604">
        <v>9</v>
      </c>
      <c r="F246" s="491" t="s">
        <v>41</v>
      </c>
      <c r="G246" s="492" t="s">
        <v>41</v>
      </c>
      <c r="H246" s="456">
        <v>0</v>
      </c>
      <c r="I246" s="493">
        <v>0</v>
      </c>
      <c r="J246" s="456">
        <v>38352</v>
      </c>
      <c r="K246" s="493">
        <v>36565</v>
      </c>
      <c r="L246" s="456">
        <v>11734</v>
      </c>
      <c r="M246" s="671">
        <v>10858</v>
      </c>
      <c r="N246" s="456">
        <v>40022</v>
      </c>
      <c r="O246" s="671">
        <v>38221</v>
      </c>
      <c r="P246" s="449">
        <f t="shared" si="87"/>
        <v>90108</v>
      </c>
      <c r="Q246" s="450">
        <f t="shared" si="88"/>
        <v>3003.6</v>
      </c>
      <c r="R246" s="451">
        <f t="shared" si="89"/>
        <v>85644</v>
      </c>
      <c r="S246" s="452">
        <f t="shared" si="90"/>
        <v>2854.8</v>
      </c>
      <c r="T246" s="456"/>
      <c r="U246" s="671"/>
      <c r="V246" s="449">
        <f t="shared" si="91"/>
        <v>0</v>
      </c>
      <c r="W246" s="448">
        <f t="shared" si="92"/>
        <v>0</v>
      </c>
      <c r="X246" s="456"/>
      <c r="Y246" s="671"/>
      <c r="Z246" s="456"/>
      <c r="AA246" s="671"/>
      <c r="AB246" s="456"/>
      <c r="AC246" s="671"/>
      <c r="AD246" s="456"/>
      <c r="AE246" s="671"/>
      <c r="AF246" s="449">
        <f t="shared" si="93"/>
        <v>0</v>
      </c>
      <c r="AG246" s="450">
        <f t="shared" si="94"/>
        <v>0</v>
      </c>
      <c r="AH246" s="451">
        <f t="shared" si="95"/>
        <v>0</v>
      </c>
      <c r="AI246" s="451">
        <f t="shared" si="96"/>
        <v>0</v>
      </c>
      <c r="AJ246" s="456"/>
      <c r="AK246" s="671"/>
      <c r="AL246" s="449">
        <f t="shared" si="97"/>
        <v>0</v>
      </c>
      <c r="AM246" s="452">
        <f t="shared" si="98"/>
        <v>0</v>
      </c>
      <c r="AN246" s="456">
        <v>0</v>
      </c>
      <c r="AO246" s="671">
        <v>0</v>
      </c>
      <c r="AP246" s="456">
        <v>0</v>
      </c>
      <c r="AQ246" s="671">
        <v>0</v>
      </c>
      <c r="AR246" s="456">
        <v>0</v>
      </c>
      <c r="AS246" s="671">
        <v>0</v>
      </c>
      <c r="AT246" s="456">
        <v>0</v>
      </c>
      <c r="AU246" s="671">
        <v>0</v>
      </c>
      <c r="AV246" s="449">
        <f t="shared" si="99"/>
        <v>0</v>
      </c>
      <c r="AW246" s="453">
        <f t="shared" si="100"/>
        <v>0</v>
      </c>
      <c r="AX246" s="451">
        <f t="shared" si="101"/>
        <v>0</v>
      </c>
      <c r="AY246" s="454">
        <f t="shared" si="102"/>
        <v>0</v>
      </c>
      <c r="AZ246" s="455">
        <f t="shared" si="103"/>
        <v>3003.6</v>
      </c>
      <c r="BA246" s="451">
        <f t="shared" si="104"/>
        <v>2854.8</v>
      </c>
    </row>
    <row r="247" spans="1:53">
      <c r="A247" s="600" t="s">
        <v>247</v>
      </c>
      <c r="B247" s="601" t="s">
        <v>597</v>
      </c>
      <c r="C247" s="670"/>
      <c r="D247" s="606">
        <v>162706</v>
      </c>
      <c r="E247" s="604">
        <v>9</v>
      </c>
      <c r="F247" s="491" t="s">
        <v>41</v>
      </c>
      <c r="G247" s="492" t="s">
        <v>41</v>
      </c>
      <c r="H247" s="456">
        <v>2324</v>
      </c>
      <c r="I247" s="493">
        <v>2572</v>
      </c>
      <c r="J247" s="456">
        <v>53000</v>
      </c>
      <c r="K247" s="493">
        <v>51761</v>
      </c>
      <c r="L247" s="456">
        <v>11346</v>
      </c>
      <c r="M247" s="671">
        <v>11043</v>
      </c>
      <c r="N247" s="456">
        <v>59069.5</v>
      </c>
      <c r="O247" s="671">
        <v>56953</v>
      </c>
      <c r="P247" s="449">
        <f t="shared" si="87"/>
        <v>125739.5</v>
      </c>
      <c r="Q247" s="450">
        <f t="shared" si="88"/>
        <v>4191.3166666666666</v>
      </c>
      <c r="R247" s="451">
        <f t="shared" si="89"/>
        <v>122329</v>
      </c>
      <c r="S247" s="452">
        <f t="shared" si="90"/>
        <v>4077.6333333333332</v>
      </c>
      <c r="T247" s="456"/>
      <c r="U247" s="671"/>
      <c r="V247" s="449">
        <f t="shared" si="91"/>
        <v>0</v>
      </c>
      <c r="W247" s="448">
        <f t="shared" si="92"/>
        <v>0</v>
      </c>
      <c r="X247" s="456"/>
      <c r="Y247" s="671"/>
      <c r="Z247" s="456"/>
      <c r="AA247" s="671"/>
      <c r="AB247" s="456"/>
      <c r="AC247" s="671"/>
      <c r="AD247" s="456"/>
      <c r="AE247" s="671"/>
      <c r="AF247" s="449">
        <f t="shared" si="93"/>
        <v>0</v>
      </c>
      <c r="AG247" s="450">
        <f t="shared" si="94"/>
        <v>0</v>
      </c>
      <c r="AH247" s="451">
        <f t="shared" si="95"/>
        <v>0</v>
      </c>
      <c r="AI247" s="451">
        <f t="shared" si="96"/>
        <v>0</v>
      </c>
      <c r="AJ247" s="456"/>
      <c r="AK247" s="671"/>
      <c r="AL247" s="449">
        <f t="shared" si="97"/>
        <v>0</v>
      </c>
      <c r="AM247" s="452">
        <f t="shared" si="98"/>
        <v>0</v>
      </c>
      <c r="AN247" s="456">
        <v>0</v>
      </c>
      <c r="AO247" s="671">
        <v>0</v>
      </c>
      <c r="AP247" s="456">
        <v>0</v>
      </c>
      <c r="AQ247" s="671">
        <v>0</v>
      </c>
      <c r="AR247" s="456">
        <v>0</v>
      </c>
      <c r="AS247" s="671">
        <v>0</v>
      </c>
      <c r="AT247" s="456">
        <v>0</v>
      </c>
      <c r="AU247" s="671">
        <v>0</v>
      </c>
      <c r="AV247" s="449">
        <f t="shared" si="99"/>
        <v>0</v>
      </c>
      <c r="AW247" s="453">
        <f t="shared" si="100"/>
        <v>0</v>
      </c>
      <c r="AX247" s="451">
        <f t="shared" si="101"/>
        <v>0</v>
      </c>
      <c r="AY247" s="454">
        <f t="shared" si="102"/>
        <v>0</v>
      </c>
      <c r="AZ247" s="455">
        <f t="shared" si="103"/>
        <v>4191.3166666666666</v>
      </c>
      <c r="BA247" s="451">
        <f t="shared" si="104"/>
        <v>4077.6333333333332</v>
      </c>
    </row>
    <row r="248" spans="1:53">
      <c r="A248" s="600" t="s">
        <v>247</v>
      </c>
      <c r="B248" s="676" t="s">
        <v>598</v>
      </c>
      <c r="C248" s="677" t="s">
        <v>316</v>
      </c>
      <c r="D248" s="603">
        <v>164313</v>
      </c>
      <c r="E248" s="604">
        <v>9</v>
      </c>
      <c r="F248" s="491" t="s">
        <v>41</v>
      </c>
      <c r="G248" s="492" t="s">
        <v>41</v>
      </c>
      <c r="H248" s="456">
        <v>0</v>
      </c>
      <c r="I248" s="493">
        <v>0</v>
      </c>
      <c r="J248" s="456">
        <v>24255</v>
      </c>
      <c r="K248" s="493">
        <v>25222</v>
      </c>
      <c r="L248" s="456">
        <v>5484</v>
      </c>
      <c r="M248" s="671">
        <v>5400.5</v>
      </c>
      <c r="N248" s="456">
        <v>27163</v>
      </c>
      <c r="O248" s="671">
        <v>26871.5</v>
      </c>
      <c r="P248" s="449">
        <f t="shared" si="87"/>
        <v>56902</v>
      </c>
      <c r="Q248" s="450">
        <f t="shared" si="88"/>
        <v>1896.7333333333333</v>
      </c>
      <c r="R248" s="451">
        <f t="shared" si="89"/>
        <v>57494</v>
      </c>
      <c r="S248" s="452">
        <f t="shared" si="90"/>
        <v>1916.4666666666667</v>
      </c>
      <c r="T248" s="456"/>
      <c r="U248" s="671"/>
      <c r="V248" s="449">
        <f t="shared" si="91"/>
        <v>0</v>
      </c>
      <c r="W248" s="448">
        <f t="shared" si="92"/>
        <v>0</v>
      </c>
      <c r="X248" s="456"/>
      <c r="Y248" s="671"/>
      <c r="Z248" s="456"/>
      <c r="AA248" s="671"/>
      <c r="AB248" s="456"/>
      <c r="AC248" s="671"/>
      <c r="AD248" s="456"/>
      <c r="AE248" s="671"/>
      <c r="AF248" s="449">
        <f t="shared" si="93"/>
        <v>0</v>
      </c>
      <c r="AG248" s="450">
        <f t="shared" si="94"/>
        <v>0</v>
      </c>
      <c r="AH248" s="451">
        <f t="shared" si="95"/>
        <v>0</v>
      </c>
      <c r="AI248" s="451">
        <f t="shared" si="96"/>
        <v>0</v>
      </c>
      <c r="AJ248" s="456"/>
      <c r="AK248" s="671"/>
      <c r="AL248" s="449">
        <f t="shared" si="97"/>
        <v>0</v>
      </c>
      <c r="AM248" s="452">
        <f t="shared" si="98"/>
        <v>0</v>
      </c>
      <c r="AN248" s="456">
        <v>0</v>
      </c>
      <c r="AO248" s="671">
        <v>0</v>
      </c>
      <c r="AP248" s="456">
        <v>0</v>
      </c>
      <c r="AQ248" s="671">
        <v>0</v>
      </c>
      <c r="AR248" s="456">
        <v>0</v>
      </c>
      <c r="AS248" s="671">
        <v>0</v>
      </c>
      <c r="AT248" s="456">
        <v>0</v>
      </c>
      <c r="AU248" s="671">
        <v>0</v>
      </c>
      <c r="AV248" s="449">
        <f t="shared" si="99"/>
        <v>0</v>
      </c>
      <c r="AW248" s="453">
        <f t="shared" si="100"/>
        <v>0</v>
      </c>
      <c r="AX248" s="451">
        <f t="shared" si="101"/>
        <v>0</v>
      </c>
      <c r="AY248" s="454">
        <f t="shared" si="102"/>
        <v>0</v>
      </c>
      <c r="AZ248" s="455">
        <f t="shared" si="103"/>
        <v>1896.7333333333333</v>
      </c>
      <c r="BA248" s="451">
        <f t="shared" si="104"/>
        <v>1916.4666666666667</v>
      </c>
    </row>
    <row r="249" spans="1:53">
      <c r="A249" s="600" t="s">
        <v>247</v>
      </c>
      <c r="B249" s="601" t="s">
        <v>599</v>
      </c>
      <c r="C249" s="670"/>
      <c r="D249" s="606">
        <v>162104</v>
      </c>
      <c r="E249" s="604">
        <v>10</v>
      </c>
      <c r="F249" s="491" t="s">
        <v>41</v>
      </c>
      <c r="G249" s="492" t="s">
        <v>41</v>
      </c>
      <c r="H249" s="456">
        <v>0</v>
      </c>
      <c r="I249" s="493">
        <v>0</v>
      </c>
      <c r="J249" s="456">
        <v>21784</v>
      </c>
      <c r="K249" s="493">
        <v>20787</v>
      </c>
      <c r="L249" s="456">
        <v>3494</v>
      </c>
      <c r="M249" s="671">
        <v>3363</v>
      </c>
      <c r="N249" s="456">
        <v>23384</v>
      </c>
      <c r="O249" s="671">
        <v>23498</v>
      </c>
      <c r="P249" s="449">
        <f t="shared" si="87"/>
        <v>48662</v>
      </c>
      <c r="Q249" s="450">
        <f t="shared" si="88"/>
        <v>1622.0666666666666</v>
      </c>
      <c r="R249" s="451">
        <f t="shared" si="89"/>
        <v>47648</v>
      </c>
      <c r="S249" s="452">
        <f t="shared" si="90"/>
        <v>1588.2666666666667</v>
      </c>
      <c r="T249" s="456"/>
      <c r="U249" s="671"/>
      <c r="V249" s="449">
        <f t="shared" si="91"/>
        <v>0</v>
      </c>
      <c r="W249" s="448">
        <f t="shared" si="92"/>
        <v>0</v>
      </c>
      <c r="X249" s="456"/>
      <c r="Y249" s="671"/>
      <c r="Z249" s="456"/>
      <c r="AA249" s="671"/>
      <c r="AB249" s="456"/>
      <c r="AC249" s="671"/>
      <c r="AD249" s="456"/>
      <c r="AE249" s="671"/>
      <c r="AF249" s="449">
        <f t="shared" si="93"/>
        <v>0</v>
      </c>
      <c r="AG249" s="450">
        <f t="shared" si="94"/>
        <v>0</v>
      </c>
      <c r="AH249" s="451">
        <f t="shared" si="95"/>
        <v>0</v>
      </c>
      <c r="AI249" s="451">
        <f t="shared" si="96"/>
        <v>0</v>
      </c>
      <c r="AJ249" s="456"/>
      <c r="AK249" s="671"/>
      <c r="AL249" s="449">
        <f t="shared" si="97"/>
        <v>0</v>
      </c>
      <c r="AM249" s="452">
        <f t="shared" si="98"/>
        <v>0</v>
      </c>
      <c r="AN249" s="456">
        <v>0</v>
      </c>
      <c r="AO249" s="671">
        <v>0</v>
      </c>
      <c r="AP249" s="456">
        <v>0</v>
      </c>
      <c r="AQ249" s="671">
        <v>0</v>
      </c>
      <c r="AR249" s="456">
        <v>0</v>
      </c>
      <c r="AS249" s="671">
        <v>0</v>
      </c>
      <c r="AT249" s="456">
        <v>0</v>
      </c>
      <c r="AU249" s="671">
        <v>0</v>
      </c>
      <c r="AV249" s="449">
        <f t="shared" si="99"/>
        <v>0</v>
      </c>
      <c r="AW249" s="453">
        <f t="shared" si="100"/>
        <v>0</v>
      </c>
      <c r="AX249" s="451">
        <f t="shared" si="101"/>
        <v>0</v>
      </c>
      <c r="AY249" s="454">
        <f t="shared" si="102"/>
        <v>0</v>
      </c>
      <c r="AZ249" s="455">
        <f t="shared" si="103"/>
        <v>1622.0666666666666</v>
      </c>
      <c r="BA249" s="451">
        <f t="shared" si="104"/>
        <v>1588.2666666666667</v>
      </c>
    </row>
    <row r="250" spans="1:53">
      <c r="A250" s="600" t="s">
        <v>247</v>
      </c>
      <c r="B250" s="601" t="s">
        <v>600</v>
      </c>
      <c r="C250" s="670"/>
      <c r="D250" s="606">
        <v>162168</v>
      </c>
      <c r="E250" s="604">
        <v>10</v>
      </c>
      <c r="F250" s="491" t="s">
        <v>41</v>
      </c>
      <c r="G250" s="492" t="s">
        <v>41</v>
      </c>
      <c r="H250" s="456">
        <v>18</v>
      </c>
      <c r="I250" s="493">
        <v>26</v>
      </c>
      <c r="J250" s="456">
        <v>19979</v>
      </c>
      <c r="K250" s="493">
        <v>18105</v>
      </c>
      <c r="L250" s="456">
        <v>2237</v>
      </c>
      <c r="M250" s="671">
        <v>2159</v>
      </c>
      <c r="N250" s="456">
        <v>20809</v>
      </c>
      <c r="O250" s="671">
        <v>19479</v>
      </c>
      <c r="P250" s="449">
        <f t="shared" si="87"/>
        <v>43043</v>
      </c>
      <c r="Q250" s="450">
        <f t="shared" si="88"/>
        <v>1434.7666666666667</v>
      </c>
      <c r="R250" s="451">
        <f t="shared" si="89"/>
        <v>39769</v>
      </c>
      <c r="S250" s="452">
        <f t="shared" si="90"/>
        <v>1325.6333333333334</v>
      </c>
      <c r="T250" s="456"/>
      <c r="U250" s="671"/>
      <c r="V250" s="449">
        <f t="shared" si="91"/>
        <v>0</v>
      </c>
      <c r="W250" s="448">
        <f t="shared" si="92"/>
        <v>0</v>
      </c>
      <c r="X250" s="456"/>
      <c r="Y250" s="671"/>
      <c r="Z250" s="456"/>
      <c r="AA250" s="671"/>
      <c r="AB250" s="456"/>
      <c r="AC250" s="671"/>
      <c r="AD250" s="456"/>
      <c r="AE250" s="671"/>
      <c r="AF250" s="449">
        <f t="shared" si="93"/>
        <v>0</v>
      </c>
      <c r="AG250" s="450">
        <f t="shared" si="94"/>
        <v>0</v>
      </c>
      <c r="AH250" s="451">
        <f t="shared" si="95"/>
        <v>0</v>
      </c>
      <c r="AI250" s="451">
        <f t="shared" si="96"/>
        <v>0</v>
      </c>
      <c r="AJ250" s="456"/>
      <c r="AK250" s="671"/>
      <c r="AL250" s="449">
        <f t="shared" si="97"/>
        <v>0</v>
      </c>
      <c r="AM250" s="452">
        <f t="shared" si="98"/>
        <v>0</v>
      </c>
      <c r="AN250" s="456">
        <v>0</v>
      </c>
      <c r="AO250" s="671">
        <v>0</v>
      </c>
      <c r="AP250" s="456">
        <v>0</v>
      </c>
      <c r="AQ250" s="671">
        <v>0</v>
      </c>
      <c r="AR250" s="456">
        <v>0</v>
      </c>
      <c r="AS250" s="671">
        <v>0</v>
      </c>
      <c r="AT250" s="456">
        <v>0</v>
      </c>
      <c r="AU250" s="671">
        <v>0</v>
      </c>
      <c r="AV250" s="449">
        <f t="shared" si="99"/>
        <v>0</v>
      </c>
      <c r="AW250" s="453">
        <f t="shared" si="100"/>
        <v>0</v>
      </c>
      <c r="AX250" s="451">
        <f t="shared" si="101"/>
        <v>0</v>
      </c>
      <c r="AY250" s="454">
        <f t="shared" si="102"/>
        <v>0</v>
      </c>
      <c r="AZ250" s="455">
        <f t="shared" si="103"/>
        <v>1434.7666666666667</v>
      </c>
      <c r="BA250" s="451">
        <f t="shared" si="104"/>
        <v>1325.6333333333334</v>
      </c>
    </row>
    <row r="251" spans="1:53">
      <c r="A251" s="600" t="s">
        <v>247</v>
      </c>
      <c r="B251" s="601" t="s">
        <v>601</v>
      </c>
      <c r="C251" s="670"/>
      <c r="D251" s="606">
        <v>162609</v>
      </c>
      <c r="E251" s="604">
        <v>10</v>
      </c>
      <c r="F251" s="491" t="s">
        <v>41</v>
      </c>
      <c r="G251" s="492" t="s">
        <v>41</v>
      </c>
      <c r="H251" s="456">
        <v>170</v>
      </c>
      <c r="I251" s="493">
        <v>269</v>
      </c>
      <c r="J251" s="456">
        <v>8322</v>
      </c>
      <c r="K251" s="493">
        <v>7814.5</v>
      </c>
      <c r="L251" s="456">
        <v>468</v>
      </c>
      <c r="M251" s="671">
        <v>522</v>
      </c>
      <c r="N251" s="456">
        <v>9411</v>
      </c>
      <c r="O251" s="671">
        <v>8948.25</v>
      </c>
      <c r="P251" s="449">
        <f t="shared" si="87"/>
        <v>18371</v>
      </c>
      <c r="Q251" s="450">
        <f t="shared" si="88"/>
        <v>612.36666666666667</v>
      </c>
      <c r="R251" s="451">
        <f t="shared" si="89"/>
        <v>17553.75</v>
      </c>
      <c r="S251" s="452">
        <f t="shared" si="90"/>
        <v>585.125</v>
      </c>
      <c r="T251" s="456"/>
      <c r="U251" s="671"/>
      <c r="V251" s="449">
        <f t="shared" si="91"/>
        <v>0</v>
      </c>
      <c r="W251" s="448">
        <f t="shared" si="92"/>
        <v>0</v>
      </c>
      <c r="X251" s="456"/>
      <c r="Y251" s="671"/>
      <c r="Z251" s="456"/>
      <c r="AA251" s="671"/>
      <c r="AB251" s="456"/>
      <c r="AC251" s="671"/>
      <c r="AD251" s="456"/>
      <c r="AE251" s="671"/>
      <c r="AF251" s="449">
        <f t="shared" si="93"/>
        <v>0</v>
      </c>
      <c r="AG251" s="450">
        <f t="shared" si="94"/>
        <v>0</v>
      </c>
      <c r="AH251" s="451">
        <f t="shared" si="95"/>
        <v>0</v>
      </c>
      <c r="AI251" s="451">
        <f t="shared" si="96"/>
        <v>0</v>
      </c>
      <c r="AJ251" s="456"/>
      <c r="AK251" s="671"/>
      <c r="AL251" s="449">
        <f t="shared" si="97"/>
        <v>0</v>
      </c>
      <c r="AM251" s="452">
        <f t="shared" si="98"/>
        <v>0</v>
      </c>
      <c r="AN251" s="456">
        <v>0</v>
      </c>
      <c r="AO251" s="671">
        <v>0</v>
      </c>
      <c r="AP251" s="456">
        <v>0</v>
      </c>
      <c r="AQ251" s="671">
        <v>0</v>
      </c>
      <c r="AR251" s="456">
        <v>0</v>
      </c>
      <c r="AS251" s="671">
        <v>0</v>
      </c>
      <c r="AT251" s="456">
        <v>0</v>
      </c>
      <c r="AU251" s="671">
        <v>0</v>
      </c>
      <c r="AV251" s="449">
        <f t="shared" si="99"/>
        <v>0</v>
      </c>
      <c r="AW251" s="453">
        <f t="shared" si="100"/>
        <v>0</v>
      </c>
      <c r="AX251" s="451">
        <f t="shared" si="101"/>
        <v>0</v>
      </c>
      <c r="AY251" s="454">
        <f t="shared" si="102"/>
        <v>0</v>
      </c>
      <c r="AZ251" s="455">
        <f t="shared" si="103"/>
        <v>612.36666666666667</v>
      </c>
      <c r="BA251" s="451">
        <f t="shared" si="104"/>
        <v>585.125</v>
      </c>
    </row>
    <row r="252" spans="1:53">
      <c r="A252" s="594" t="s">
        <v>231</v>
      </c>
      <c r="B252" s="595" t="s">
        <v>400</v>
      </c>
      <c r="C252" s="596"/>
      <c r="D252" s="597">
        <v>176080</v>
      </c>
      <c r="E252" s="597">
        <v>1</v>
      </c>
      <c r="F252" s="491" t="s">
        <v>41</v>
      </c>
      <c r="G252" s="492" t="s">
        <v>41</v>
      </c>
      <c r="H252" s="456"/>
      <c r="I252" s="493"/>
      <c r="J252" s="456">
        <v>199127</v>
      </c>
      <c r="K252" s="493">
        <v>202872</v>
      </c>
      <c r="L252" s="456">
        <v>31565</v>
      </c>
      <c r="M252" s="493">
        <v>33293</v>
      </c>
      <c r="N252" s="456">
        <v>221892</v>
      </c>
      <c r="O252" s="493">
        <v>232457</v>
      </c>
      <c r="P252" s="449">
        <f t="shared" si="87"/>
        <v>452584</v>
      </c>
      <c r="Q252" s="450">
        <f t="shared" si="88"/>
        <v>15086.133333333333</v>
      </c>
      <c r="R252" s="451">
        <f t="shared" si="89"/>
        <v>468622</v>
      </c>
      <c r="S252" s="452">
        <f t="shared" si="90"/>
        <v>15620.733333333334</v>
      </c>
      <c r="T252" s="456"/>
      <c r="U252" s="493"/>
      <c r="V252" s="449">
        <f t="shared" si="91"/>
        <v>0</v>
      </c>
      <c r="W252" s="448">
        <f t="shared" si="92"/>
        <v>0</v>
      </c>
      <c r="X252" s="456"/>
      <c r="Y252" s="493"/>
      <c r="Z252" s="456"/>
      <c r="AA252" s="493"/>
      <c r="AB252" s="456"/>
      <c r="AC252" s="493"/>
      <c r="AD252" s="456"/>
      <c r="AE252" s="493"/>
      <c r="AF252" s="449">
        <f t="shared" si="93"/>
        <v>0</v>
      </c>
      <c r="AG252" s="450">
        <f t="shared" si="94"/>
        <v>0</v>
      </c>
      <c r="AH252" s="451">
        <f t="shared" si="95"/>
        <v>0</v>
      </c>
      <c r="AI252" s="451">
        <f t="shared" si="96"/>
        <v>0</v>
      </c>
      <c r="AJ252" s="456"/>
      <c r="AK252" s="493"/>
      <c r="AL252" s="449">
        <f t="shared" si="97"/>
        <v>0</v>
      </c>
      <c r="AM252" s="452">
        <f t="shared" si="98"/>
        <v>0</v>
      </c>
      <c r="AN252" s="456"/>
      <c r="AO252" s="493"/>
      <c r="AP252" s="456">
        <v>22733</v>
      </c>
      <c r="AQ252" s="493">
        <v>21512</v>
      </c>
      <c r="AR252" s="456">
        <v>10915</v>
      </c>
      <c r="AS252" s="493">
        <v>10197</v>
      </c>
      <c r="AT252" s="456">
        <v>22320</v>
      </c>
      <c r="AU252" s="493">
        <v>22031</v>
      </c>
      <c r="AV252" s="449">
        <f t="shared" si="99"/>
        <v>55968</v>
      </c>
      <c r="AW252" s="453">
        <f t="shared" si="100"/>
        <v>2332</v>
      </c>
      <c r="AX252" s="451">
        <f t="shared" si="101"/>
        <v>53740</v>
      </c>
      <c r="AY252" s="454">
        <f t="shared" si="102"/>
        <v>2239.1666666666665</v>
      </c>
      <c r="AZ252" s="455">
        <f t="shared" si="103"/>
        <v>17418.133333333331</v>
      </c>
      <c r="BA252" s="451">
        <f t="shared" si="104"/>
        <v>17859.900000000001</v>
      </c>
    </row>
    <row r="253" spans="1:53">
      <c r="A253" s="594" t="s">
        <v>231</v>
      </c>
      <c r="B253" s="595" t="s">
        <v>401</v>
      </c>
      <c r="C253" s="598"/>
      <c r="D253" s="597">
        <v>176372</v>
      </c>
      <c r="E253" s="597">
        <v>1</v>
      </c>
      <c r="F253" s="491" t="s">
        <v>41</v>
      </c>
      <c r="G253" s="492" t="s">
        <v>41</v>
      </c>
      <c r="H253" s="456"/>
      <c r="I253" s="493"/>
      <c r="J253" s="456">
        <v>156286</v>
      </c>
      <c r="K253" s="493">
        <v>142610</v>
      </c>
      <c r="L253" s="456">
        <v>29280</v>
      </c>
      <c r="M253" s="493">
        <v>28387</v>
      </c>
      <c r="N253" s="456">
        <v>158923</v>
      </c>
      <c r="O253" s="493">
        <v>154765</v>
      </c>
      <c r="P253" s="449">
        <f t="shared" si="87"/>
        <v>344489</v>
      </c>
      <c r="Q253" s="450">
        <f t="shared" si="88"/>
        <v>11482.966666666667</v>
      </c>
      <c r="R253" s="451">
        <f t="shared" si="89"/>
        <v>325762</v>
      </c>
      <c r="S253" s="452">
        <f t="shared" si="90"/>
        <v>10858.733333333334</v>
      </c>
      <c r="T253" s="456"/>
      <c r="U253" s="493"/>
      <c r="V253" s="449">
        <f t="shared" si="91"/>
        <v>0</v>
      </c>
      <c r="W253" s="448">
        <f t="shared" si="92"/>
        <v>0</v>
      </c>
      <c r="X253" s="456"/>
      <c r="Y253" s="493"/>
      <c r="Z253" s="456"/>
      <c r="AA253" s="493"/>
      <c r="AB253" s="456"/>
      <c r="AC253" s="493"/>
      <c r="AD253" s="456"/>
      <c r="AE253" s="493"/>
      <c r="AF253" s="449">
        <f t="shared" si="93"/>
        <v>0</v>
      </c>
      <c r="AG253" s="450">
        <f t="shared" si="94"/>
        <v>0</v>
      </c>
      <c r="AH253" s="451">
        <f t="shared" si="95"/>
        <v>0</v>
      </c>
      <c r="AI253" s="451">
        <f t="shared" si="96"/>
        <v>0</v>
      </c>
      <c r="AJ253" s="456"/>
      <c r="AK253" s="493"/>
      <c r="AL253" s="449">
        <f t="shared" si="97"/>
        <v>0</v>
      </c>
      <c r="AM253" s="452">
        <f t="shared" si="98"/>
        <v>0</v>
      </c>
      <c r="AN253" s="456"/>
      <c r="AO253" s="493"/>
      <c r="AP253" s="456">
        <v>23697</v>
      </c>
      <c r="AQ253" s="493">
        <v>19964</v>
      </c>
      <c r="AR253" s="456">
        <v>11934</v>
      </c>
      <c r="AS253" s="493">
        <v>10283</v>
      </c>
      <c r="AT253" s="456">
        <v>22245</v>
      </c>
      <c r="AU253" s="493">
        <v>21356</v>
      </c>
      <c r="AV253" s="449">
        <f t="shared" si="99"/>
        <v>57876</v>
      </c>
      <c r="AW253" s="453">
        <f t="shared" si="100"/>
        <v>2411.5</v>
      </c>
      <c r="AX253" s="451">
        <f t="shared" si="101"/>
        <v>51603</v>
      </c>
      <c r="AY253" s="454">
        <f t="shared" si="102"/>
        <v>2150.125</v>
      </c>
      <c r="AZ253" s="455">
        <f t="shared" si="103"/>
        <v>13894.466666666667</v>
      </c>
      <c r="BA253" s="451">
        <f t="shared" si="104"/>
        <v>13008.858333333334</v>
      </c>
    </row>
    <row r="254" spans="1:53">
      <c r="A254" s="594" t="s">
        <v>231</v>
      </c>
      <c r="B254" s="595" t="s">
        <v>402</v>
      </c>
      <c r="C254" s="596"/>
      <c r="D254" s="597">
        <v>175856</v>
      </c>
      <c r="E254" s="597">
        <v>2</v>
      </c>
      <c r="F254" s="491" t="s">
        <v>41</v>
      </c>
      <c r="G254" s="492" t="s">
        <v>41</v>
      </c>
      <c r="H254" s="456"/>
      <c r="I254" s="493"/>
      <c r="J254" s="456">
        <v>70195</v>
      </c>
      <c r="K254" s="493">
        <v>73061</v>
      </c>
      <c r="L254" s="456">
        <v>11680</v>
      </c>
      <c r="M254" s="493">
        <v>10441</v>
      </c>
      <c r="N254" s="456">
        <v>79936</v>
      </c>
      <c r="O254" s="493">
        <v>82199</v>
      </c>
      <c r="P254" s="449">
        <f t="shared" si="87"/>
        <v>161811</v>
      </c>
      <c r="Q254" s="450">
        <f t="shared" si="88"/>
        <v>5393.7</v>
      </c>
      <c r="R254" s="451">
        <f t="shared" si="89"/>
        <v>165701</v>
      </c>
      <c r="S254" s="452">
        <f t="shared" si="90"/>
        <v>5523.3666666666668</v>
      </c>
      <c r="T254" s="456"/>
      <c r="U254" s="493"/>
      <c r="V254" s="449">
        <f t="shared" si="91"/>
        <v>0</v>
      </c>
      <c r="W254" s="448">
        <f t="shared" si="92"/>
        <v>0</v>
      </c>
      <c r="X254" s="456"/>
      <c r="Y254" s="493"/>
      <c r="Z254" s="456"/>
      <c r="AA254" s="493"/>
      <c r="AB254" s="456"/>
      <c r="AC254" s="493"/>
      <c r="AD254" s="456"/>
      <c r="AE254" s="493"/>
      <c r="AF254" s="449">
        <f t="shared" si="93"/>
        <v>0</v>
      </c>
      <c r="AG254" s="450">
        <f t="shared" si="94"/>
        <v>0</v>
      </c>
      <c r="AH254" s="451">
        <f t="shared" si="95"/>
        <v>0</v>
      </c>
      <c r="AI254" s="451">
        <f t="shared" si="96"/>
        <v>0</v>
      </c>
      <c r="AJ254" s="456"/>
      <c r="AK254" s="493"/>
      <c r="AL254" s="449">
        <f t="shared" si="97"/>
        <v>0</v>
      </c>
      <c r="AM254" s="452">
        <f t="shared" si="98"/>
        <v>0</v>
      </c>
      <c r="AN254" s="456"/>
      <c r="AO254" s="493"/>
      <c r="AP254" s="456">
        <v>14340</v>
      </c>
      <c r="AQ254" s="493">
        <v>14119.5</v>
      </c>
      <c r="AR254" s="456">
        <v>4986</v>
      </c>
      <c r="AS254" s="493">
        <v>5180</v>
      </c>
      <c r="AT254" s="456">
        <v>14872</v>
      </c>
      <c r="AU254" s="493">
        <v>14768</v>
      </c>
      <c r="AV254" s="449">
        <f t="shared" si="99"/>
        <v>34198</v>
      </c>
      <c r="AW254" s="453">
        <f t="shared" si="100"/>
        <v>1424.9166666666667</v>
      </c>
      <c r="AX254" s="451">
        <f t="shared" si="101"/>
        <v>34067.5</v>
      </c>
      <c r="AY254" s="454">
        <f t="shared" si="102"/>
        <v>1419.4791666666667</v>
      </c>
      <c r="AZ254" s="455">
        <f t="shared" si="103"/>
        <v>6818.6166666666668</v>
      </c>
      <c r="BA254" s="451">
        <f t="shared" si="104"/>
        <v>6942.8458333333338</v>
      </c>
    </row>
    <row r="255" spans="1:53">
      <c r="A255" s="594" t="s">
        <v>231</v>
      </c>
      <c r="B255" s="595" t="s">
        <v>403</v>
      </c>
      <c r="C255" s="598" t="s">
        <v>408</v>
      </c>
      <c r="D255" s="597">
        <v>176017</v>
      </c>
      <c r="E255" s="597">
        <v>2</v>
      </c>
      <c r="F255" s="491" t="s">
        <v>41</v>
      </c>
      <c r="G255" s="492" t="s">
        <v>41</v>
      </c>
      <c r="H255" s="456"/>
      <c r="I255" s="493"/>
      <c r="J255" s="456">
        <v>226130</v>
      </c>
      <c r="K255" s="493">
        <v>235083</v>
      </c>
      <c r="L255" s="456">
        <v>46179</v>
      </c>
      <c r="M255" s="493">
        <v>48274</v>
      </c>
      <c r="N255" s="456">
        <v>241261</v>
      </c>
      <c r="O255" s="493">
        <v>251542</v>
      </c>
      <c r="P255" s="449">
        <f t="shared" si="87"/>
        <v>513570</v>
      </c>
      <c r="Q255" s="450">
        <f t="shared" si="88"/>
        <v>17119</v>
      </c>
      <c r="R255" s="451">
        <f t="shared" si="89"/>
        <v>534899</v>
      </c>
      <c r="S255" s="452">
        <f t="shared" si="90"/>
        <v>17829.966666666667</v>
      </c>
      <c r="T255" s="456"/>
      <c r="U255" s="493"/>
      <c r="V255" s="449">
        <f t="shared" si="91"/>
        <v>0</v>
      </c>
      <c r="W255" s="448">
        <f t="shared" si="92"/>
        <v>0</v>
      </c>
      <c r="X255" s="456"/>
      <c r="Y255" s="493"/>
      <c r="Z255" s="456"/>
      <c r="AA255" s="493"/>
      <c r="AB255" s="456"/>
      <c r="AC255" s="493"/>
      <c r="AD255" s="456"/>
      <c r="AE255" s="493"/>
      <c r="AF255" s="449">
        <f t="shared" si="93"/>
        <v>0</v>
      </c>
      <c r="AG255" s="450">
        <f t="shared" si="94"/>
        <v>0</v>
      </c>
      <c r="AH255" s="451">
        <f t="shared" si="95"/>
        <v>0</v>
      </c>
      <c r="AI255" s="451">
        <f t="shared" si="96"/>
        <v>0</v>
      </c>
      <c r="AJ255" s="456"/>
      <c r="AK255" s="493"/>
      <c r="AL255" s="449">
        <f t="shared" si="97"/>
        <v>0</v>
      </c>
      <c r="AM255" s="452">
        <f t="shared" si="98"/>
        <v>0</v>
      </c>
      <c r="AN255" s="456"/>
      <c r="AO255" s="493"/>
      <c r="AP255" s="456">
        <v>27166</v>
      </c>
      <c r="AQ255" s="493">
        <v>27885</v>
      </c>
      <c r="AR255" s="456">
        <v>10047</v>
      </c>
      <c r="AS255" s="493">
        <v>10125</v>
      </c>
      <c r="AT255" s="456">
        <v>27556</v>
      </c>
      <c r="AU255" s="493">
        <v>27545</v>
      </c>
      <c r="AV255" s="449">
        <f t="shared" si="99"/>
        <v>64769</v>
      </c>
      <c r="AW255" s="453">
        <f t="shared" si="100"/>
        <v>2698.7083333333335</v>
      </c>
      <c r="AX255" s="451">
        <f t="shared" si="101"/>
        <v>65555</v>
      </c>
      <c r="AY255" s="454">
        <f t="shared" si="102"/>
        <v>2731.4583333333335</v>
      </c>
      <c r="AZ255" s="455">
        <f t="shared" si="103"/>
        <v>19817.708333333332</v>
      </c>
      <c r="BA255" s="451">
        <f t="shared" si="104"/>
        <v>20561.424999999999</v>
      </c>
    </row>
    <row r="256" spans="1:53">
      <c r="A256" s="594" t="s">
        <v>231</v>
      </c>
      <c r="B256" s="595" t="s">
        <v>404</v>
      </c>
      <c r="C256" s="596"/>
      <c r="D256" s="597">
        <v>175342</v>
      </c>
      <c r="E256" s="597">
        <v>4</v>
      </c>
      <c r="F256" s="491" t="s">
        <v>41</v>
      </c>
      <c r="G256" s="492" t="s">
        <v>41</v>
      </c>
      <c r="H256" s="456"/>
      <c r="I256" s="493"/>
      <c r="J256" s="456">
        <v>36709</v>
      </c>
      <c r="K256" s="493">
        <v>36382</v>
      </c>
      <c r="L256" s="456">
        <v>6022</v>
      </c>
      <c r="M256" s="493">
        <v>6082</v>
      </c>
      <c r="N256" s="456">
        <v>39012</v>
      </c>
      <c r="O256" s="493">
        <v>38473</v>
      </c>
      <c r="P256" s="449">
        <f t="shared" si="87"/>
        <v>81743</v>
      </c>
      <c r="Q256" s="450">
        <f t="shared" si="88"/>
        <v>2724.7666666666669</v>
      </c>
      <c r="R256" s="451">
        <f t="shared" si="89"/>
        <v>80937</v>
      </c>
      <c r="S256" s="452">
        <f t="shared" si="90"/>
        <v>2697.9</v>
      </c>
      <c r="T256" s="456"/>
      <c r="U256" s="493"/>
      <c r="V256" s="449">
        <f t="shared" si="91"/>
        <v>0</v>
      </c>
      <c r="W256" s="448">
        <f t="shared" si="92"/>
        <v>0</v>
      </c>
      <c r="X256" s="456"/>
      <c r="Y256" s="493"/>
      <c r="Z256" s="456"/>
      <c r="AA256" s="493"/>
      <c r="AB256" s="456"/>
      <c r="AC256" s="493"/>
      <c r="AD256" s="456"/>
      <c r="AE256" s="493"/>
      <c r="AF256" s="449">
        <f t="shared" si="93"/>
        <v>0</v>
      </c>
      <c r="AG256" s="450">
        <f t="shared" si="94"/>
        <v>0</v>
      </c>
      <c r="AH256" s="451">
        <f t="shared" si="95"/>
        <v>0</v>
      </c>
      <c r="AI256" s="451">
        <f t="shared" si="96"/>
        <v>0</v>
      </c>
      <c r="AJ256" s="456"/>
      <c r="AK256" s="493"/>
      <c r="AL256" s="449">
        <f t="shared" si="97"/>
        <v>0</v>
      </c>
      <c r="AM256" s="452">
        <f t="shared" si="98"/>
        <v>0</v>
      </c>
      <c r="AN256" s="456"/>
      <c r="AO256" s="493"/>
      <c r="AP256" s="456">
        <v>4029</v>
      </c>
      <c r="AQ256" s="493">
        <v>3885</v>
      </c>
      <c r="AR256" s="456">
        <v>1496</v>
      </c>
      <c r="AS256" s="493">
        <v>1684</v>
      </c>
      <c r="AT256" s="456">
        <v>4095</v>
      </c>
      <c r="AU256" s="493">
        <v>4110</v>
      </c>
      <c r="AV256" s="449">
        <f t="shared" si="99"/>
        <v>9620</v>
      </c>
      <c r="AW256" s="453">
        <f t="shared" si="100"/>
        <v>400.83333333333331</v>
      </c>
      <c r="AX256" s="451">
        <f t="shared" si="101"/>
        <v>9679</v>
      </c>
      <c r="AY256" s="454">
        <f t="shared" si="102"/>
        <v>403.29166666666669</v>
      </c>
      <c r="AZ256" s="455">
        <f t="shared" si="103"/>
        <v>3125.6000000000004</v>
      </c>
      <c r="BA256" s="451">
        <f t="shared" si="104"/>
        <v>3101.1916666666666</v>
      </c>
    </row>
    <row r="257" spans="1:53">
      <c r="A257" s="594" t="s">
        <v>231</v>
      </c>
      <c r="B257" s="595" t="s">
        <v>405</v>
      </c>
      <c r="C257" s="599" t="s">
        <v>310</v>
      </c>
      <c r="D257" s="597">
        <v>175616</v>
      </c>
      <c r="E257" s="597">
        <v>4</v>
      </c>
      <c r="F257" s="491" t="s">
        <v>41</v>
      </c>
      <c r="G257" s="492" t="s">
        <v>41</v>
      </c>
      <c r="H257" s="456"/>
      <c r="I257" s="493"/>
      <c r="J257" s="456">
        <v>30782</v>
      </c>
      <c r="K257" s="493">
        <v>32222</v>
      </c>
      <c r="L257" s="456">
        <v>4508</v>
      </c>
      <c r="M257" s="493">
        <v>4278</v>
      </c>
      <c r="N257" s="456">
        <v>34922</v>
      </c>
      <c r="O257" s="493">
        <v>35015</v>
      </c>
      <c r="P257" s="449">
        <f t="shared" si="87"/>
        <v>70212</v>
      </c>
      <c r="Q257" s="450">
        <f t="shared" si="88"/>
        <v>2340.4</v>
      </c>
      <c r="R257" s="451">
        <f t="shared" si="89"/>
        <v>71515</v>
      </c>
      <c r="S257" s="452">
        <f t="shared" si="90"/>
        <v>2383.8333333333335</v>
      </c>
      <c r="T257" s="456"/>
      <c r="U257" s="493"/>
      <c r="V257" s="449">
        <f t="shared" si="91"/>
        <v>0</v>
      </c>
      <c r="W257" s="448">
        <f t="shared" si="92"/>
        <v>0</v>
      </c>
      <c r="X257" s="456"/>
      <c r="Y257" s="493"/>
      <c r="Z257" s="456"/>
      <c r="AA257" s="493"/>
      <c r="AB257" s="456"/>
      <c r="AC257" s="493"/>
      <c r="AD257" s="456"/>
      <c r="AE257" s="493"/>
      <c r="AF257" s="449">
        <f t="shared" si="93"/>
        <v>0</v>
      </c>
      <c r="AG257" s="450">
        <f t="shared" si="94"/>
        <v>0</v>
      </c>
      <c r="AH257" s="451">
        <f t="shared" si="95"/>
        <v>0</v>
      </c>
      <c r="AI257" s="451">
        <f t="shared" si="96"/>
        <v>0</v>
      </c>
      <c r="AJ257" s="456"/>
      <c r="AK257" s="493"/>
      <c r="AL257" s="449">
        <f t="shared" si="97"/>
        <v>0</v>
      </c>
      <c r="AM257" s="452">
        <f t="shared" si="98"/>
        <v>0</v>
      </c>
      <c r="AN257" s="456"/>
      <c r="AO257" s="493"/>
      <c r="AP257" s="456">
        <v>5992</v>
      </c>
      <c r="AQ257" s="493">
        <v>5274</v>
      </c>
      <c r="AR257" s="456">
        <v>17339</v>
      </c>
      <c r="AS257" s="493">
        <v>14428</v>
      </c>
      <c r="AT257" s="456">
        <v>5155</v>
      </c>
      <c r="AU257" s="493">
        <v>5326</v>
      </c>
      <c r="AV257" s="449">
        <f t="shared" si="99"/>
        <v>28486</v>
      </c>
      <c r="AW257" s="453">
        <f t="shared" si="100"/>
        <v>1186.9166666666667</v>
      </c>
      <c r="AX257" s="451">
        <f t="shared" si="101"/>
        <v>25028</v>
      </c>
      <c r="AY257" s="454">
        <f t="shared" si="102"/>
        <v>1042.8333333333333</v>
      </c>
      <c r="AZ257" s="455">
        <f t="shared" si="103"/>
        <v>3527.3166666666666</v>
      </c>
      <c r="BA257" s="451">
        <f t="shared" si="104"/>
        <v>3426.666666666667</v>
      </c>
    </row>
    <row r="258" spans="1:53">
      <c r="A258" s="594" t="s">
        <v>231</v>
      </c>
      <c r="B258" s="595" t="s">
        <v>406</v>
      </c>
      <c r="C258" s="596"/>
      <c r="D258" s="597">
        <v>176044</v>
      </c>
      <c r="E258" s="597">
        <v>4</v>
      </c>
      <c r="F258" s="491" t="s">
        <v>41</v>
      </c>
      <c r="G258" s="492" t="s">
        <v>41</v>
      </c>
      <c r="H258" s="456"/>
      <c r="I258" s="493"/>
      <c r="J258" s="456">
        <v>23627</v>
      </c>
      <c r="K258" s="493">
        <v>23514</v>
      </c>
      <c r="L258" s="456">
        <v>4314</v>
      </c>
      <c r="M258" s="493">
        <v>3541</v>
      </c>
      <c r="N258" s="456">
        <v>25295</v>
      </c>
      <c r="O258" s="493">
        <v>24795</v>
      </c>
      <c r="P258" s="449">
        <f t="shared" si="87"/>
        <v>53236</v>
      </c>
      <c r="Q258" s="450">
        <f t="shared" si="88"/>
        <v>1774.5333333333333</v>
      </c>
      <c r="R258" s="451">
        <f t="shared" si="89"/>
        <v>51850</v>
      </c>
      <c r="S258" s="452">
        <f t="shared" si="90"/>
        <v>1728.3333333333333</v>
      </c>
      <c r="T258" s="456"/>
      <c r="U258" s="493"/>
      <c r="V258" s="449">
        <f t="shared" si="91"/>
        <v>0</v>
      </c>
      <c r="W258" s="448">
        <f t="shared" si="92"/>
        <v>0</v>
      </c>
      <c r="X258" s="456"/>
      <c r="Y258" s="493"/>
      <c r="Z258" s="456"/>
      <c r="AA258" s="493"/>
      <c r="AB258" s="456"/>
      <c r="AC258" s="493"/>
      <c r="AD258" s="456"/>
      <c r="AE258" s="493"/>
      <c r="AF258" s="449">
        <f t="shared" si="93"/>
        <v>0</v>
      </c>
      <c r="AG258" s="450">
        <f t="shared" si="94"/>
        <v>0</v>
      </c>
      <c r="AH258" s="451">
        <f t="shared" si="95"/>
        <v>0</v>
      </c>
      <c r="AI258" s="451">
        <f t="shared" si="96"/>
        <v>0</v>
      </c>
      <c r="AJ258" s="456"/>
      <c r="AK258" s="493"/>
      <c r="AL258" s="449">
        <f t="shared" si="97"/>
        <v>0</v>
      </c>
      <c r="AM258" s="452">
        <f t="shared" si="98"/>
        <v>0</v>
      </c>
      <c r="AN258" s="456"/>
      <c r="AO258" s="493"/>
      <c r="AP258" s="456">
        <v>2034</v>
      </c>
      <c r="AQ258" s="493">
        <v>2514</v>
      </c>
      <c r="AR258" s="456">
        <v>627</v>
      </c>
      <c r="AS258" s="493">
        <v>723</v>
      </c>
      <c r="AT258" s="456">
        <v>2413</v>
      </c>
      <c r="AU258" s="493">
        <v>2564</v>
      </c>
      <c r="AV258" s="449">
        <f t="shared" si="99"/>
        <v>5074</v>
      </c>
      <c r="AW258" s="453">
        <f t="shared" si="100"/>
        <v>211.41666666666666</v>
      </c>
      <c r="AX258" s="451">
        <f t="shared" si="101"/>
        <v>5801</v>
      </c>
      <c r="AY258" s="454">
        <f t="shared" si="102"/>
        <v>241.70833333333334</v>
      </c>
      <c r="AZ258" s="455">
        <f t="shared" si="103"/>
        <v>1985.95</v>
      </c>
      <c r="BA258" s="451">
        <f t="shared" si="104"/>
        <v>1970.0416666666665</v>
      </c>
    </row>
    <row r="259" spans="1:53">
      <c r="A259" s="594" t="s">
        <v>231</v>
      </c>
      <c r="B259" s="595" t="s">
        <v>407</v>
      </c>
      <c r="C259" s="596"/>
      <c r="D259" s="597">
        <v>176035</v>
      </c>
      <c r="E259" s="597">
        <v>5</v>
      </c>
      <c r="F259" s="491" t="s">
        <v>41</v>
      </c>
      <c r="G259" s="492" t="s">
        <v>41</v>
      </c>
      <c r="H259" s="456"/>
      <c r="I259" s="493"/>
      <c r="J259" s="456">
        <v>28271</v>
      </c>
      <c r="K259" s="493">
        <v>29219</v>
      </c>
      <c r="L259" s="456">
        <v>9979</v>
      </c>
      <c r="M259" s="493">
        <v>10214</v>
      </c>
      <c r="N259" s="456">
        <v>31022</v>
      </c>
      <c r="O259" s="493">
        <v>30232</v>
      </c>
      <c r="P259" s="449">
        <f t="shared" si="87"/>
        <v>69272</v>
      </c>
      <c r="Q259" s="450">
        <f t="shared" si="88"/>
        <v>2309.0666666666666</v>
      </c>
      <c r="R259" s="451">
        <f t="shared" si="89"/>
        <v>69665</v>
      </c>
      <c r="S259" s="452">
        <f t="shared" si="90"/>
        <v>2322.1666666666665</v>
      </c>
      <c r="T259" s="456"/>
      <c r="U259" s="493"/>
      <c r="V259" s="449">
        <f t="shared" si="91"/>
        <v>0</v>
      </c>
      <c r="W259" s="448">
        <f t="shared" si="92"/>
        <v>0</v>
      </c>
      <c r="X259" s="456"/>
      <c r="Y259" s="493"/>
      <c r="Z259" s="456"/>
      <c r="AA259" s="493"/>
      <c r="AB259" s="456"/>
      <c r="AC259" s="493"/>
      <c r="AD259" s="456"/>
      <c r="AE259" s="493"/>
      <c r="AF259" s="449">
        <f t="shared" si="93"/>
        <v>0</v>
      </c>
      <c r="AG259" s="450">
        <f t="shared" si="94"/>
        <v>0</v>
      </c>
      <c r="AH259" s="451">
        <f t="shared" si="95"/>
        <v>0</v>
      </c>
      <c r="AI259" s="451">
        <f t="shared" si="96"/>
        <v>0</v>
      </c>
      <c r="AJ259" s="456"/>
      <c r="AK259" s="493"/>
      <c r="AL259" s="449">
        <f t="shared" si="97"/>
        <v>0</v>
      </c>
      <c r="AM259" s="452">
        <f t="shared" si="98"/>
        <v>0</v>
      </c>
      <c r="AN259" s="456"/>
      <c r="AO259" s="493"/>
      <c r="AP259" s="456">
        <v>1542</v>
      </c>
      <c r="AQ259" s="493">
        <v>1409</v>
      </c>
      <c r="AR259" s="456">
        <v>1164</v>
      </c>
      <c r="AS259" s="493">
        <v>1075</v>
      </c>
      <c r="AT259" s="456">
        <v>1441</v>
      </c>
      <c r="AU259" s="493">
        <v>1670</v>
      </c>
      <c r="AV259" s="449">
        <f t="shared" si="99"/>
        <v>4147</v>
      </c>
      <c r="AW259" s="453">
        <f t="shared" si="100"/>
        <v>172.79166666666666</v>
      </c>
      <c r="AX259" s="451">
        <f t="shared" si="101"/>
        <v>4154</v>
      </c>
      <c r="AY259" s="454">
        <f t="shared" si="102"/>
        <v>173.08333333333334</v>
      </c>
      <c r="AZ259" s="455">
        <f t="shared" si="103"/>
        <v>2481.8583333333331</v>
      </c>
      <c r="BA259" s="451">
        <f t="shared" si="104"/>
        <v>2495.25</v>
      </c>
    </row>
    <row r="260" spans="1:53">
      <c r="A260" s="713" t="s">
        <v>231</v>
      </c>
      <c r="B260" s="714" t="s">
        <v>695</v>
      </c>
      <c r="C260" s="715"/>
      <c r="D260" s="575">
        <v>175786</v>
      </c>
      <c r="E260" s="716">
        <v>8</v>
      </c>
      <c r="F260" s="491" t="s">
        <v>41</v>
      </c>
      <c r="G260" s="492"/>
      <c r="H260" s="456"/>
      <c r="I260" s="493"/>
      <c r="J260" s="624">
        <v>128433</v>
      </c>
      <c r="K260" s="493">
        <v>129529</v>
      </c>
      <c r="L260" s="624">
        <v>25818</v>
      </c>
      <c r="M260" s="493">
        <v>25321</v>
      </c>
      <c r="N260" s="624">
        <v>148733</v>
      </c>
      <c r="O260" s="624">
        <v>146452</v>
      </c>
      <c r="P260" s="449">
        <f t="shared" si="87"/>
        <v>302984</v>
      </c>
      <c r="Q260" s="450">
        <f t="shared" si="88"/>
        <v>10099.466666666667</v>
      </c>
      <c r="R260" s="451">
        <f t="shared" si="89"/>
        <v>301302</v>
      </c>
      <c r="S260" s="452">
        <f t="shared" si="90"/>
        <v>10043.4</v>
      </c>
      <c r="T260" s="624">
        <v>12154</v>
      </c>
      <c r="U260" s="624">
        <v>13050</v>
      </c>
      <c r="V260" s="449">
        <f t="shared" si="91"/>
        <v>302984</v>
      </c>
      <c r="W260" s="448">
        <f t="shared" si="92"/>
        <v>301302</v>
      </c>
      <c r="X260" s="456"/>
      <c r="Y260" s="493"/>
      <c r="Z260" s="456"/>
      <c r="AA260" s="493"/>
      <c r="AB260" s="456"/>
      <c r="AC260" s="493"/>
      <c r="AD260" s="456"/>
      <c r="AE260" s="493"/>
      <c r="AF260" s="449">
        <f t="shared" si="93"/>
        <v>0</v>
      </c>
      <c r="AG260" s="450">
        <f t="shared" si="94"/>
        <v>0</v>
      </c>
      <c r="AH260" s="451">
        <f t="shared" si="95"/>
        <v>0</v>
      </c>
      <c r="AI260" s="451">
        <f t="shared" si="96"/>
        <v>0</v>
      </c>
      <c r="AJ260" s="456"/>
      <c r="AK260" s="493"/>
      <c r="AL260" s="449">
        <f t="shared" si="97"/>
        <v>0</v>
      </c>
      <c r="AM260" s="452">
        <f t="shared" si="98"/>
        <v>0</v>
      </c>
      <c r="AN260" s="456"/>
      <c r="AO260" s="493"/>
      <c r="AP260" s="456"/>
      <c r="AQ260" s="493"/>
      <c r="AR260" s="456"/>
      <c r="AS260" s="493"/>
      <c r="AT260" s="456"/>
      <c r="AU260" s="493"/>
      <c r="AV260" s="449">
        <f t="shared" si="99"/>
        <v>0</v>
      </c>
      <c r="AW260" s="453">
        <f t="shared" si="100"/>
        <v>0</v>
      </c>
      <c r="AX260" s="451">
        <f t="shared" si="101"/>
        <v>0</v>
      </c>
      <c r="AY260" s="454">
        <f t="shared" si="102"/>
        <v>0</v>
      </c>
      <c r="AZ260" s="455">
        <f t="shared" si="103"/>
        <v>10099.466666666667</v>
      </c>
      <c r="BA260" s="451">
        <f t="shared" si="104"/>
        <v>10043.4</v>
      </c>
    </row>
    <row r="261" spans="1:53">
      <c r="A261" s="713" t="s">
        <v>231</v>
      </c>
      <c r="B261" s="717" t="s">
        <v>696</v>
      </c>
      <c r="C261" s="715"/>
      <c r="D261" s="575">
        <v>175829</v>
      </c>
      <c r="E261" s="718">
        <v>8</v>
      </c>
      <c r="F261" s="491" t="s">
        <v>41</v>
      </c>
      <c r="G261" s="492"/>
      <c r="H261" s="456"/>
      <c r="I261" s="493"/>
      <c r="J261" s="456">
        <v>73547</v>
      </c>
      <c r="K261" s="493">
        <v>68242</v>
      </c>
      <c r="L261" s="624">
        <v>8490</v>
      </c>
      <c r="M261" s="493">
        <v>8025</v>
      </c>
      <c r="N261" s="624">
        <v>79594</v>
      </c>
      <c r="O261" s="624">
        <v>76222</v>
      </c>
      <c r="P261" s="449">
        <f t="shared" si="87"/>
        <v>161631</v>
      </c>
      <c r="Q261" s="450">
        <f t="shared" si="88"/>
        <v>5387.7</v>
      </c>
      <c r="R261" s="451">
        <f t="shared" si="89"/>
        <v>152489</v>
      </c>
      <c r="S261" s="452">
        <f t="shared" si="90"/>
        <v>5082.9666666666662</v>
      </c>
      <c r="T261" s="624">
        <v>3689</v>
      </c>
      <c r="U261" s="624">
        <v>5533</v>
      </c>
      <c r="V261" s="449">
        <f t="shared" si="91"/>
        <v>161631</v>
      </c>
      <c r="W261" s="448">
        <f t="shared" si="92"/>
        <v>152489</v>
      </c>
      <c r="X261" s="456"/>
      <c r="Y261" s="493"/>
      <c r="Z261" s="456"/>
      <c r="AA261" s="493"/>
      <c r="AB261" s="456"/>
      <c r="AC261" s="493"/>
      <c r="AD261" s="456"/>
      <c r="AE261" s="493"/>
      <c r="AF261" s="449">
        <f t="shared" si="93"/>
        <v>0</v>
      </c>
      <c r="AG261" s="450">
        <f t="shared" si="94"/>
        <v>0</v>
      </c>
      <c r="AH261" s="451">
        <f t="shared" si="95"/>
        <v>0</v>
      </c>
      <c r="AI261" s="451">
        <f t="shared" si="96"/>
        <v>0</v>
      </c>
      <c r="AJ261" s="456"/>
      <c r="AK261" s="493"/>
      <c r="AL261" s="449">
        <f t="shared" si="97"/>
        <v>0</v>
      </c>
      <c r="AM261" s="452">
        <f t="shared" si="98"/>
        <v>0</v>
      </c>
      <c r="AN261" s="456"/>
      <c r="AO261" s="493"/>
      <c r="AP261" s="456"/>
      <c r="AQ261" s="493"/>
      <c r="AR261" s="456"/>
      <c r="AS261" s="493"/>
      <c r="AT261" s="456"/>
      <c r="AU261" s="493"/>
      <c r="AV261" s="449">
        <f t="shared" si="99"/>
        <v>0</v>
      </c>
      <c r="AW261" s="453">
        <f t="shared" si="100"/>
        <v>0</v>
      </c>
      <c r="AX261" s="451">
        <f t="shared" si="101"/>
        <v>0</v>
      </c>
      <c r="AY261" s="454">
        <f t="shared" si="102"/>
        <v>0</v>
      </c>
      <c r="AZ261" s="455">
        <f t="shared" si="103"/>
        <v>5387.7</v>
      </c>
      <c r="BA261" s="451">
        <f t="shared" si="104"/>
        <v>5082.9666666666662</v>
      </c>
    </row>
    <row r="262" spans="1:53">
      <c r="A262" s="713" t="s">
        <v>231</v>
      </c>
      <c r="B262" s="717" t="s">
        <v>697</v>
      </c>
      <c r="C262" s="715"/>
      <c r="D262" s="575">
        <v>176071</v>
      </c>
      <c r="E262" s="716">
        <v>8</v>
      </c>
      <c r="F262" s="491" t="s">
        <v>41</v>
      </c>
      <c r="G262" s="492"/>
      <c r="H262" s="719"/>
      <c r="I262" s="493"/>
      <c r="J262" s="720">
        <v>106692</v>
      </c>
      <c r="K262" s="493">
        <v>106370</v>
      </c>
      <c r="L262" s="720">
        <v>20519</v>
      </c>
      <c r="M262" s="493">
        <v>20474</v>
      </c>
      <c r="N262" s="720">
        <v>113418</v>
      </c>
      <c r="O262" s="624">
        <v>117641</v>
      </c>
      <c r="P262" s="449">
        <f t="shared" si="87"/>
        <v>240629</v>
      </c>
      <c r="Q262" s="450">
        <f t="shared" si="88"/>
        <v>8020.9666666666662</v>
      </c>
      <c r="R262" s="451">
        <f t="shared" si="89"/>
        <v>244485</v>
      </c>
      <c r="S262" s="452">
        <f t="shared" si="90"/>
        <v>8149.5</v>
      </c>
      <c r="T262" s="720">
        <v>4332</v>
      </c>
      <c r="U262" s="624">
        <v>5134</v>
      </c>
      <c r="V262" s="449">
        <f t="shared" si="91"/>
        <v>240629</v>
      </c>
      <c r="W262" s="448">
        <f t="shared" si="92"/>
        <v>244485</v>
      </c>
      <c r="X262" s="719"/>
      <c r="Y262" s="493"/>
      <c r="Z262" s="719"/>
      <c r="AA262" s="493"/>
      <c r="AB262" s="719"/>
      <c r="AC262" s="493"/>
      <c r="AD262" s="719"/>
      <c r="AE262" s="493"/>
      <c r="AF262" s="449">
        <f t="shared" si="93"/>
        <v>0</v>
      </c>
      <c r="AG262" s="450">
        <f t="shared" si="94"/>
        <v>0</v>
      </c>
      <c r="AH262" s="451">
        <f t="shared" si="95"/>
        <v>0</v>
      </c>
      <c r="AI262" s="451">
        <f t="shared" si="96"/>
        <v>0</v>
      </c>
      <c r="AJ262" s="719"/>
      <c r="AK262" s="493"/>
      <c r="AL262" s="449">
        <f t="shared" si="97"/>
        <v>0</v>
      </c>
      <c r="AM262" s="452">
        <f t="shared" si="98"/>
        <v>0</v>
      </c>
      <c r="AN262" s="719"/>
      <c r="AO262" s="493"/>
      <c r="AP262" s="719"/>
      <c r="AQ262" s="493"/>
      <c r="AR262" s="719"/>
      <c r="AS262" s="493"/>
      <c r="AT262" s="719"/>
      <c r="AU262" s="493"/>
      <c r="AV262" s="449">
        <f t="shared" si="99"/>
        <v>0</v>
      </c>
      <c r="AW262" s="453">
        <f t="shared" si="100"/>
        <v>0</v>
      </c>
      <c r="AX262" s="451">
        <f t="shared" si="101"/>
        <v>0</v>
      </c>
      <c r="AY262" s="454">
        <f t="shared" si="102"/>
        <v>0</v>
      </c>
      <c r="AZ262" s="455">
        <f t="shared" si="103"/>
        <v>8020.9666666666662</v>
      </c>
      <c r="BA262" s="451">
        <f t="shared" si="104"/>
        <v>8149.5</v>
      </c>
    </row>
    <row r="263" spans="1:53">
      <c r="A263" s="713" t="s">
        <v>231</v>
      </c>
      <c r="B263" s="717" t="s">
        <v>698</v>
      </c>
      <c r="C263" s="715"/>
      <c r="D263" s="575">
        <v>176178</v>
      </c>
      <c r="E263" s="716">
        <v>8</v>
      </c>
      <c r="F263" s="491" t="s">
        <v>41</v>
      </c>
      <c r="G263" s="492"/>
      <c r="H263" s="456"/>
      <c r="I263" s="493"/>
      <c r="J263" s="624">
        <v>90838</v>
      </c>
      <c r="K263" s="493">
        <v>89829</v>
      </c>
      <c r="L263" s="624">
        <v>16448</v>
      </c>
      <c r="M263" s="493">
        <v>15228</v>
      </c>
      <c r="N263" s="624">
        <v>99583</v>
      </c>
      <c r="O263" s="624">
        <v>96395</v>
      </c>
      <c r="P263" s="449">
        <f t="shared" si="87"/>
        <v>206869</v>
      </c>
      <c r="Q263" s="450">
        <f t="shared" si="88"/>
        <v>6895.6333333333332</v>
      </c>
      <c r="R263" s="451">
        <f t="shared" si="89"/>
        <v>201452</v>
      </c>
      <c r="S263" s="452">
        <f t="shared" si="90"/>
        <v>6715.0666666666666</v>
      </c>
      <c r="T263" s="624">
        <v>3062</v>
      </c>
      <c r="U263" s="624">
        <v>4210</v>
      </c>
      <c r="V263" s="449">
        <f t="shared" si="91"/>
        <v>206869</v>
      </c>
      <c r="W263" s="448">
        <f t="shared" si="92"/>
        <v>201452</v>
      </c>
      <c r="X263" s="456"/>
      <c r="Y263" s="493"/>
      <c r="Z263" s="456"/>
      <c r="AA263" s="493"/>
      <c r="AB263" s="456"/>
      <c r="AC263" s="493"/>
      <c r="AD263" s="456"/>
      <c r="AE263" s="493"/>
      <c r="AF263" s="449">
        <f t="shared" si="93"/>
        <v>0</v>
      </c>
      <c r="AG263" s="450">
        <f t="shared" si="94"/>
        <v>0</v>
      </c>
      <c r="AH263" s="451">
        <f t="shared" si="95"/>
        <v>0</v>
      </c>
      <c r="AI263" s="451">
        <f t="shared" si="96"/>
        <v>0</v>
      </c>
      <c r="AJ263" s="456"/>
      <c r="AK263" s="493"/>
      <c r="AL263" s="449">
        <f t="shared" si="97"/>
        <v>0</v>
      </c>
      <c r="AM263" s="452">
        <f t="shared" si="98"/>
        <v>0</v>
      </c>
      <c r="AN263" s="456"/>
      <c r="AO263" s="493"/>
      <c r="AP263" s="456"/>
      <c r="AQ263" s="493"/>
      <c r="AR263" s="456"/>
      <c r="AS263" s="493"/>
      <c r="AT263" s="456"/>
      <c r="AU263" s="493"/>
      <c r="AV263" s="449">
        <f t="shared" si="99"/>
        <v>0</v>
      </c>
      <c r="AW263" s="453">
        <f t="shared" si="100"/>
        <v>0</v>
      </c>
      <c r="AX263" s="451">
        <f t="shared" si="101"/>
        <v>0</v>
      </c>
      <c r="AY263" s="454">
        <f t="shared" si="102"/>
        <v>0</v>
      </c>
      <c r="AZ263" s="455">
        <f t="shared" si="103"/>
        <v>6895.6333333333332</v>
      </c>
      <c r="BA263" s="451">
        <f t="shared" si="104"/>
        <v>6715.0666666666666</v>
      </c>
    </row>
    <row r="264" spans="1:53">
      <c r="A264" s="713" t="s">
        <v>231</v>
      </c>
      <c r="B264" s="717" t="s">
        <v>699</v>
      </c>
      <c r="C264" s="715"/>
      <c r="D264" s="575">
        <v>175573</v>
      </c>
      <c r="E264" s="716">
        <v>9</v>
      </c>
      <c r="F264" s="491" t="s">
        <v>41</v>
      </c>
      <c r="G264" s="492"/>
      <c r="H264" s="456"/>
      <c r="I264" s="493"/>
      <c r="J264" s="624">
        <v>34555</v>
      </c>
      <c r="K264" s="493">
        <v>34581</v>
      </c>
      <c r="L264" s="624">
        <v>6907</v>
      </c>
      <c r="M264" s="493">
        <v>6928</v>
      </c>
      <c r="N264" s="624">
        <v>39428</v>
      </c>
      <c r="O264" s="624">
        <v>40145</v>
      </c>
      <c r="P264" s="449">
        <f t="shared" ref="P264:P327" si="105">SUM(H264,J264,L264,N264)</f>
        <v>80890</v>
      </c>
      <c r="Q264" s="450">
        <f t="shared" ref="Q264:Q327" si="106">+P264/30</f>
        <v>2696.3333333333335</v>
      </c>
      <c r="R264" s="451">
        <f t="shared" ref="R264:R327" si="107">SUM(I264,K264,M264,O264)</f>
        <v>81654</v>
      </c>
      <c r="S264" s="452">
        <f t="shared" ref="S264:S327" si="108">+R264/30</f>
        <v>2721.8</v>
      </c>
      <c r="T264" s="624">
        <v>2845</v>
      </c>
      <c r="U264" s="624">
        <v>4022</v>
      </c>
      <c r="V264" s="449">
        <f t="shared" ref="V264:V327" si="109">IF(ISBLANK(T264),0,P264)</f>
        <v>80890</v>
      </c>
      <c r="W264" s="448">
        <f t="shared" ref="W264:W327" si="110">IF(ISBLANK(U264),0,R264)</f>
        <v>81654</v>
      </c>
      <c r="X264" s="456"/>
      <c r="Y264" s="493"/>
      <c r="Z264" s="456"/>
      <c r="AA264" s="493"/>
      <c r="AB264" s="456"/>
      <c r="AC264" s="493"/>
      <c r="AD264" s="456"/>
      <c r="AE264" s="493"/>
      <c r="AF264" s="449">
        <f t="shared" ref="AF264:AF327" si="111">SUM(X264,Z264,AB264,AD264)</f>
        <v>0</v>
      </c>
      <c r="AG264" s="450">
        <f t="shared" ref="AG264:AG327" si="112">+AF264/900</f>
        <v>0</v>
      </c>
      <c r="AH264" s="451">
        <f t="shared" ref="AH264:AH327" si="113">SUM(Y264,AA264,AC264,AE264)</f>
        <v>0</v>
      </c>
      <c r="AI264" s="451">
        <f t="shared" ref="AI264:AI327" si="114">+AH264/900</f>
        <v>0</v>
      </c>
      <c r="AJ264" s="456"/>
      <c r="AK264" s="493"/>
      <c r="AL264" s="449">
        <f t="shared" ref="AL264:AL327" si="115">IF(ISBLANK(AJ264),0,AF264)</f>
        <v>0</v>
      </c>
      <c r="AM264" s="452">
        <f t="shared" ref="AM264:AM327" si="116">IF(ISBLANK(AK264),0,AH264)</f>
        <v>0</v>
      </c>
      <c r="AN264" s="456"/>
      <c r="AO264" s="493"/>
      <c r="AP264" s="456"/>
      <c r="AQ264" s="493"/>
      <c r="AR264" s="456"/>
      <c r="AS264" s="493"/>
      <c r="AT264" s="456"/>
      <c r="AU264" s="493"/>
      <c r="AV264" s="449">
        <f t="shared" ref="AV264:AV327" si="117">SUM(AN264,AP264,AR264,AT264)</f>
        <v>0</v>
      </c>
      <c r="AW264" s="453">
        <f t="shared" ref="AW264:AW327" si="118">+AV264/24</f>
        <v>0</v>
      </c>
      <c r="AX264" s="451">
        <f t="shared" ref="AX264:AX327" si="119">SUM(AO264,AQ264,AS264,AU264)</f>
        <v>0</v>
      </c>
      <c r="AY264" s="454">
        <f t="shared" ref="AY264:AY327" si="120">+AX264/24</f>
        <v>0</v>
      </c>
      <c r="AZ264" s="455">
        <f t="shared" ref="AZ264:AZ327" si="121">SUM(Q264,AG264,AW264)</f>
        <v>2696.3333333333335</v>
      </c>
      <c r="BA264" s="451">
        <f t="shared" ref="BA264:BA327" si="122">SUM(S264,AI264,AY264)</f>
        <v>2721.8</v>
      </c>
    </row>
    <row r="265" spans="1:53">
      <c r="A265" s="713" t="s">
        <v>231</v>
      </c>
      <c r="B265" s="717" t="s">
        <v>700</v>
      </c>
      <c r="C265" s="715"/>
      <c r="D265" s="575">
        <v>175643</v>
      </c>
      <c r="E265" s="716">
        <v>9</v>
      </c>
      <c r="F265" s="491" t="s">
        <v>41</v>
      </c>
      <c r="G265" s="492"/>
      <c r="H265" s="456"/>
      <c r="I265" s="493"/>
      <c r="J265" s="456">
        <v>30516</v>
      </c>
      <c r="K265" s="493">
        <v>31883</v>
      </c>
      <c r="L265" s="624">
        <v>4629</v>
      </c>
      <c r="M265" s="493">
        <v>4628</v>
      </c>
      <c r="N265" s="624">
        <v>36425</v>
      </c>
      <c r="O265" s="624">
        <v>36602</v>
      </c>
      <c r="P265" s="449">
        <f t="shared" si="105"/>
        <v>71570</v>
      </c>
      <c r="Q265" s="450">
        <f t="shared" si="106"/>
        <v>2385.6666666666665</v>
      </c>
      <c r="R265" s="451">
        <f t="shared" si="107"/>
        <v>73113</v>
      </c>
      <c r="S265" s="452">
        <f t="shared" si="108"/>
        <v>2437.1</v>
      </c>
      <c r="T265" s="624">
        <v>2398</v>
      </c>
      <c r="U265" s="624">
        <v>3104</v>
      </c>
      <c r="V265" s="449">
        <f t="shared" si="109"/>
        <v>71570</v>
      </c>
      <c r="W265" s="448">
        <f t="shared" si="110"/>
        <v>73113</v>
      </c>
      <c r="X265" s="456"/>
      <c r="Y265" s="493"/>
      <c r="Z265" s="456"/>
      <c r="AA265" s="493"/>
      <c r="AB265" s="456"/>
      <c r="AC265" s="493"/>
      <c r="AD265" s="456"/>
      <c r="AE265" s="493"/>
      <c r="AF265" s="449">
        <f t="shared" si="111"/>
        <v>0</v>
      </c>
      <c r="AG265" s="450">
        <f t="shared" si="112"/>
        <v>0</v>
      </c>
      <c r="AH265" s="451">
        <f t="shared" si="113"/>
        <v>0</v>
      </c>
      <c r="AI265" s="451">
        <f t="shared" si="114"/>
        <v>0</v>
      </c>
      <c r="AJ265" s="456"/>
      <c r="AK265" s="493"/>
      <c r="AL265" s="449">
        <f t="shared" si="115"/>
        <v>0</v>
      </c>
      <c r="AM265" s="452">
        <f t="shared" si="116"/>
        <v>0</v>
      </c>
      <c r="AN265" s="456"/>
      <c r="AO265" s="493"/>
      <c r="AP265" s="456"/>
      <c r="AQ265" s="493"/>
      <c r="AR265" s="456"/>
      <c r="AS265" s="493"/>
      <c r="AT265" s="456"/>
      <c r="AU265" s="493"/>
      <c r="AV265" s="449">
        <f t="shared" si="117"/>
        <v>0</v>
      </c>
      <c r="AW265" s="453">
        <f t="shared" si="118"/>
        <v>0</v>
      </c>
      <c r="AX265" s="451">
        <f t="shared" si="119"/>
        <v>0</v>
      </c>
      <c r="AY265" s="454">
        <f t="shared" si="120"/>
        <v>0</v>
      </c>
      <c r="AZ265" s="455">
        <f t="shared" si="121"/>
        <v>2385.6666666666665</v>
      </c>
      <c r="BA265" s="451">
        <f t="shared" si="122"/>
        <v>2437.1</v>
      </c>
    </row>
    <row r="266" spans="1:53">
      <c r="A266" s="713" t="s">
        <v>231</v>
      </c>
      <c r="B266" s="717" t="s">
        <v>701</v>
      </c>
      <c r="C266" s="715"/>
      <c r="D266" s="575">
        <v>175652</v>
      </c>
      <c r="E266" s="716">
        <v>9</v>
      </c>
      <c r="F266" s="491" t="s">
        <v>41</v>
      </c>
      <c r="G266" s="492"/>
      <c r="H266" s="456"/>
      <c r="I266" s="493"/>
      <c r="J266" s="624">
        <v>51218</v>
      </c>
      <c r="K266" s="493">
        <v>50517</v>
      </c>
      <c r="L266" s="624">
        <v>11525</v>
      </c>
      <c r="M266" s="493">
        <v>10869</v>
      </c>
      <c r="N266" s="624">
        <v>55874</v>
      </c>
      <c r="O266" s="624">
        <v>56645</v>
      </c>
      <c r="P266" s="449">
        <f t="shared" si="105"/>
        <v>118617</v>
      </c>
      <c r="Q266" s="450">
        <f t="shared" si="106"/>
        <v>3953.9</v>
      </c>
      <c r="R266" s="451">
        <f t="shared" si="107"/>
        <v>118031</v>
      </c>
      <c r="S266" s="452">
        <f t="shared" si="108"/>
        <v>3934.3666666666668</v>
      </c>
      <c r="T266" s="624">
        <v>2447</v>
      </c>
      <c r="U266" s="624">
        <v>3379</v>
      </c>
      <c r="V266" s="449">
        <f t="shared" si="109"/>
        <v>118617</v>
      </c>
      <c r="W266" s="448">
        <f t="shared" si="110"/>
        <v>118031</v>
      </c>
      <c r="X266" s="456"/>
      <c r="Y266" s="493"/>
      <c r="Z266" s="456"/>
      <c r="AA266" s="493"/>
      <c r="AB266" s="456"/>
      <c r="AC266" s="493"/>
      <c r="AD266" s="456"/>
      <c r="AE266" s="493"/>
      <c r="AF266" s="449">
        <f t="shared" si="111"/>
        <v>0</v>
      </c>
      <c r="AG266" s="450">
        <f t="shared" si="112"/>
        <v>0</v>
      </c>
      <c r="AH266" s="451">
        <f t="shared" si="113"/>
        <v>0</v>
      </c>
      <c r="AI266" s="451">
        <f t="shared" si="114"/>
        <v>0</v>
      </c>
      <c r="AJ266" s="456"/>
      <c r="AK266" s="493"/>
      <c r="AL266" s="449">
        <f t="shared" si="115"/>
        <v>0</v>
      </c>
      <c r="AM266" s="452">
        <f t="shared" si="116"/>
        <v>0</v>
      </c>
      <c r="AN266" s="456"/>
      <c r="AO266" s="493"/>
      <c r="AP266" s="456"/>
      <c r="AQ266" s="493"/>
      <c r="AR266" s="456"/>
      <c r="AS266" s="493"/>
      <c r="AT266" s="456"/>
      <c r="AU266" s="493"/>
      <c r="AV266" s="449">
        <f t="shared" si="117"/>
        <v>0</v>
      </c>
      <c r="AW266" s="453">
        <f t="shared" si="118"/>
        <v>0</v>
      </c>
      <c r="AX266" s="451">
        <f t="shared" si="119"/>
        <v>0</v>
      </c>
      <c r="AY266" s="454">
        <f t="shared" si="120"/>
        <v>0</v>
      </c>
      <c r="AZ266" s="455">
        <f t="shared" si="121"/>
        <v>3953.9</v>
      </c>
      <c r="BA266" s="451">
        <f t="shared" si="122"/>
        <v>3934.3666666666668</v>
      </c>
    </row>
    <row r="267" spans="1:53">
      <c r="A267" s="713" t="s">
        <v>231</v>
      </c>
      <c r="B267" s="717" t="s">
        <v>702</v>
      </c>
      <c r="C267" s="715" t="s">
        <v>710</v>
      </c>
      <c r="D267" s="575">
        <v>175810</v>
      </c>
      <c r="E267" s="716">
        <v>9</v>
      </c>
      <c r="F267" s="491" t="s">
        <v>41</v>
      </c>
      <c r="G267" s="492"/>
      <c r="H267" s="456"/>
      <c r="I267" s="493"/>
      <c r="J267" s="624">
        <v>66361</v>
      </c>
      <c r="K267" s="493">
        <v>67348</v>
      </c>
      <c r="L267" s="624">
        <v>16903</v>
      </c>
      <c r="M267" s="493">
        <v>17508</v>
      </c>
      <c r="N267" s="624">
        <v>75684</v>
      </c>
      <c r="O267" s="624">
        <v>75253</v>
      </c>
      <c r="P267" s="449">
        <f t="shared" si="105"/>
        <v>158948</v>
      </c>
      <c r="Q267" s="450">
        <f t="shared" si="106"/>
        <v>5298.2666666666664</v>
      </c>
      <c r="R267" s="451">
        <f t="shared" si="107"/>
        <v>160109</v>
      </c>
      <c r="S267" s="452">
        <f t="shared" si="108"/>
        <v>5336.9666666666662</v>
      </c>
      <c r="T267" s="624">
        <v>2869</v>
      </c>
      <c r="U267" s="624">
        <v>4623</v>
      </c>
      <c r="V267" s="449">
        <f t="shared" si="109"/>
        <v>158948</v>
      </c>
      <c r="W267" s="448">
        <f t="shared" si="110"/>
        <v>160109</v>
      </c>
      <c r="X267" s="456"/>
      <c r="Y267" s="493"/>
      <c r="Z267" s="456"/>
      <c r="AA267" s="493"/>
      <c r="AB267" s="456"/>
      <c r="AC267" s="493"/>
      <c r="AD267" s="456"/>
      <c r="AE267" s="493"/>
      <c r="AF267" s="449">
        <f t="shared" si="111"/>
        <v>0</v>
      </c>
      <c r="AG267" s="450">
        <f t="shared" si="112"/>
        <v>0</v>
      </c>
      <c r="AH267" s="451">
        <f t="shared" si="113"/>
        <v>0</v>
      </c>
      <c r="AI267" s="451">
        <f t="shared" si="114"/>
        <v>0</v>
      </c>
      <c r="AJ267" s="456"/>
      <c r="AK267" s="493"/>
      <c r="AL267" s="449">
        <f t="shared" si="115"/>
        <v>0</v>
      </c>
      <c r="AM267" s="452">
        <f t="shared" si="116"/>
        <v>0</v>
      </c>
      <c r="AN267" s="456"/>
      <c r="AO267" s="493"/>
      <c r="AP267" s="456"/>
      <c r="AQ267" s="493"/>
      <c r="AR267" s="456"/>
      <c r="AS267" s="493"/>
      <c r="AT267" s="456"/>
      <c r="AU267" s="493"/>
      <c r="AV267" s="449">
        <f t="shared" si="117"/>
        <v>0</v>
      </c>
      <c r="AW267" s="453">
        <f t="shared" si="118"/>
        <v>0</v>
      </c>
      <c r="AX267" s="451">
        <f t="shared" si="119"/>
        <v>0</v>
      </c>
      <c r="AY267" s="454">
        <f t="shared" si="120"/>
        <v>0</v>
      </c>
      <c r="AZ267" s="455">
        <f t="shared" si="121"/>
        <v>5298.2666666666664</v>
      </c>
      <c r="BA267" s="451">
        <f t="shared" si="122"/>
        <v>5336.9666666666662</v>
      </c>
    </row>
    <row r="268" spans="1:53">
      <c r="A268" s="713" t="s">
        <v>231</v>
      </c>
      <c r="B268" s="717" t="s">
        <v>703</v>
      </c>
      <c r="C268" s="715"/>
      <c r="D268" s="575">
        <v>175883</v>
      </c>
      <c r="E268" s="716">
        <v>9</v>
      </c>
      <c r="F268" s="491" t="s">
        <v>41</v>
      </c>
      <c r="G268" s="492"/>
      <c r="H268" s="456"/>
      <c r="I268" s="493"/>
      <c r="J268" s="624">
        <v>59000</v>
      </c>
      <c r="K268" s="493">
        <v>55664</v>
      </c>
      <c r="L268" s="624">
        <v>10384</v>
      </c>
      <c r="M268" s="493">
        <v>13632</v>
      </c>
      <c r="N268" s="624">
        <v>64957</v>
      </c>
      <c r="O268" s="624">
        <v>66627</v>
      </c>
      <c r="P268" s="449">
        <f t="shared" si="105"/>
        <v>134341</v>
      </c>
      <c r="Q268" s="450">
        <f t="shared" si="106"/>
        <v>4478.0333333333338</v>
      </c>
      <c r="R268" s="451">
        <f t="shared" si="107"/>
        <v>135923</v>
      </c>
      <c r="S268" s="452">
        <f t="shared" si="108"/>
        <v>4530.7666666666664</v>
      </c>
      <c r="T268" s="624">
        <v>3056</v>
      </c>
      <c r="U268" s="624">
        <v>3729</v>
      </c>
      <c r="V268" s="449">
        <f t="shared" si="109"/>
        <v>134341</v>
      </c>
      <c r="W268" s="448">
        <f t="shared" si="110"/>
        <v>135923</v>
      </c>
      <c r="X268" s="456"/>
      <c r="Y268" s="493"/>
      <c r="Z268" s="456"/>
      <c r="AA268" s="493"/>
      <c r="AB268" s="456"/>
      <c r="AC268" s="493"/>
      <c r="AD268" s="456"/>
      <c r="AE268" s="493"/>
      <c r="AF268" s="449">
        <f t="shared" si="111"/>
        <v>0</v>
      </c>
      <c r="AG268" s="450">
        <f t="shared" si="112"/>
        <v>0</v>
      </c>
      <c r="AH268" s="451">
        <f t="shared" si="113"/>
        <v>0</v>
      </c>
      <c r="AI268" s="451">
        <f t="shared" si="114"/>
        <v>0</v>
      </c>
      <c r="AJ268" s="456"/>
      <c r="AK268" s="493"/>
      <c r="AL268" s="449">
        <f t="shared" si="115"/>
        <v>0</v>
      </c>
      <c r="AM268" s="452">
        <f t="shared" si="116"/>
        <v>0</v>
      </c>
      <c r="AN268" s="456"/>
      <c r="AO268" s="493"/>
      <c r="AP268" s="456"/>
      <c r="AQ268" s="493"/>
      <c r="AR268" s="456"/>
      <c r="AS268" s="493"/>
      <c r="AT268" s="456"/>
      <c r="AU268" s="493"/>
      <c r="AV268" s="449">
        <f t="shared" si="117"/>
        <v>0</v>
      </c>
      <c r="AW268" s="453">
        <f t="shared" si="118"/>
        <v>0</v>
      </c>
      <c r="AX268" s="451">
        <f t="shared" si="119"/>
        <v>0</v>
      </c>
      <c r="AY268" s="454">
        <f t="shared" si="120"/>
        <v>0</v>
      </c>
      <c r="AZ268" s="455">
        <f t="shared" si="121"/>
        <v>4478.0333333333338</v>
      </c>
      <c r="BA268" s="451">
        <f t="shared" si="122"/>
        <v>4530.7666666666664</v>
      </c>
    </row>
    <row r="269" spans="1:53">
      <c r="A269" s="713" t="s">
        <v>231</v>
      </c>
      <c r="B269" s="717" t="s">
        <v>704</v>
      </c>
      <c r="C269" s="715"/>
      <c r="D269" s="575">
        <v>175935</v>
      </c>
      <c r="E269" s="716">
        <v>9</v>
      </c>
      <c r="F269" s="491" t="s">
        <v>41</v>
      </c>
      <c r="G269" s="492"/>
      <c r="H269" s="456"/>
      <c r="I269" s="493"/>
      <c r="J269" s="456">
        <v>40278.5</v>
      </c>
      <c r="K269" s="493">
        <v>38670</v>
      </c>
      <c r="L269" s="624">
        <v>6796</v>
      </c>
      <c r="M269" s="493">
        <v>6909</v>
      </c>
      <c r="N269" s="624">
        <v>43288.5</v>
      </c>
      <c r="O269" s="624">
        <v>44669</v>
      </c>
      <c r="P269" s="449">
        <f t="shared" si="105"/>
        <v>90363</v>
      </c>
      <c r="Q269" s="450">
        <f t="shared" si="106"/>
        <v>3012.1</v>
      </c>
      <c r="R269" s="451">
        <f t="shared" si="107"/>
        <v>90248</v>
      </c>
      <c r="S269" s="452">
        <f t="shared" si="108"/>
        <v>3008.2666666666669</v>
      </c>
      <c r="T269" s="624">
        <v>1027</v>
      </c>
      <c r="U269" s="624">
        <v>1589</v>
      </c>
      <c r="V269" s="449">
        <f t="shared" si="109"/>
        <v>90363</v>
      </c>
      <c r="W269" s="448">
        <f t="shared" si="110"/>
        <v>90248</v>
      </c>
      <c r="X269" s="456"/>
      <c r="Y269" s="493"/>
      <c r="Z269" s="456"/>
      <c r="AA269" s="493"/>
      <c r="AB269" s="456"/>
      <c r="AC269" s="493"/>
      <c r="AD269" s="456"/>
      <c r="AE269" s="493"/>
      <c r="AF269" s="449">
        <f t="shared" si="111"/>
        <v>0</v>
      </c>
      <c r="AG269" s="450">
        <f t="shared" si="112"/>
        <v>0</v>
      </c>
      <c r="AH269" s="451">
        <f t="shared" si="113"/>
        <v>0</v>
      </c>
      <c r="AI269" s="451">
        <f t="shared" si="114"/>
        <v>0</v>
      </c>
      <c r="AJ269" s="456"/>
      <c r="AK269" s="493"/>
      <c r="AL269" s="449">
        <f t="shared" si="115"/>
        <v>0</v>
      </c>
      <c r="AM269" s="452">
        <f t="shared" si="116"/>
        <v>0</v>
      </c>
      <c r="AN269" s="456"/>
      <c r="AO269" s="493"/>
      <c r="AP269" s="456"/>
      <c r="AQ269" s="493"/>
      <c r="AR269" s="456"/>
      <c r="AS269" s="493"/>
      <c r="AT269" s="456"/>
      <c r="AU269" s="493"/>
      <c r="AV269" s="449">
        <f t="shared" si="117"/>
        <v>0</v>
      </c>
      <c r="AW269" s="453">
        <f t="shared" si="118"/>
        <v>0</v>
      </c>
      <c r="AX269" s="451">
        <f t="shared" si="119"/>
        <v>0</v>
      </c>
      <c r="AY269" s="454">
        <f t="shared" si="120"/>
        <v>0</v>
      </c>
      <c r="AZ269" s="455">
        <f t="shared" si="121"/>
        <v>3012.1</v>
      </c>
      <c r="BA269" s="451">
        <f t="shared" si="122"/>
        <v>3008.2666666666669</v>
      </c>
    </row>
    <row r="270" spans="1:53">
      <c r="A270" s="713" t="s">
        <v>231</v>
      </c>
      <c r="B270" s="717" t="s">
        <v>705</v>
      </c>
      <c r="C270" s="715"/>
      <c r="D270" s="575">
        <v>176008</v>
      </c>
      <c r="E270" s="716">
        <v>9</v>
      </c>
      <c r="F270" s="491" t="s">
        <v>41</v>
      </c>
      <c r="G270" s="492"/>
      <c r="H270" s="456"/>
      <c r="I270" s="493"/>
      <c r="J270" s="624">
        <v>35501</v>
      </c>
      <c r="K270" s="493">
        <v>31627</v>
      </c>
      <c r="L270" s="624">
        <v>5318</v>
      </c>
      <c r="M270" s="493">
        <v>4319</v>
      </c>
      <c r="N270" s="624">
        <v>35197</v>
      </c>
      <c r="O270" s="624">
        <v>31446</v>
      </c>
      <c r="P270" s="449">
        <f t="shared" si="105"/>
        <v>76016</v>
      </c>
      <c r="Q270" s="450">
        <f t="shared" si="106"/>
        <v>2533.8666666666668</v>
      </c>
      <c r="R270" s="451">
        <f t="shared" si="107"/>
        <v>67392</v>
      </c>
      <c r="S270" s="452">
        <f t="shared" si="108"/>
        <v>2246.4</v>
      </c>
      <c r="T270" s="624">
        <v>1523</v>
      </c>
      <c r="U270" s="624">
        <v>1327</v>
      </c>
      <c r="V270" s="449">
        <f t="shared" si="109"/>
        <v>76016</v>
      </c>
      <c r="W270" s="448">
        <f t="shared" si="110"/>
        <v>67392</v>
      </c>
      <c r="X270" s="456"/>
      <c r="Y270" s="493"/>
      <c r="Z270" s="456"/>
      <c r="AA270" s="493"/>
      <c r="AB270" s="456"/>
      <c r="AC270" s="493"/>
      <c r="AD270" s="456"/>
      <c r="AE270" s="493"/>
      <c r="AF270" s="449">
        <f t="shared" si="111"/>
        <v>0</v>
      </c>
      <c r="AG270" s="450">
        <f t="shared" si="112"/>
        <v>0</v>
      </c>
      <c r="AH270" s="451">
        <f t="shared" si="113"/>
        <v>0</v>
      </c>
      <c r="AI270" s="451">
        <f t="shared" si="114"/>
        <v>0</v>
      </c>
      <c r="AJ270" s="456"/>
      <c r="AK270" s="493"/>
      <c r="AL270" s="449">
        <f t="shared" si="115"/>
        <v>0</v>
      </c>
      <c r="AM270" s="452">
        <f t="shared" si="116"/>
        <v>0</v>
      </c>
      <c r="AN270" s="456"/>
      <c r="AO270" s="493"/>
      <c r="AP270" s="456"/>
      <c r="AQ270" s="493"/>
      <c r="AR270" s="456"/>
      <c r="AS270" s="493"/>
      <c r="AT270" s="456"/>
      <c r="AU270" s="493"/>
      <c r="AV270" s="449">
        <f t="shared" si="117"/>
        <v>0</v>
      </c>
      <c r="AW270" s="453">
        <f t="shared" si="118"/>
        <v>0</v>
      </c>
      <c r="AX270" s="451">
        <f t="shared" si="119"/>
        <v>0</v>
      </c>
      <c r="AY270" s="454">
        <f t="shared" si="120"/>
        <v>0</v>
      </c>
      <c r="AZ270" s="455">
        <f t="shared" si="121"/>
        <v>2533.8666666666668</v>
      </c>
      <c r="BA270" s="451">
        <f t="shared" si="122"/>
        <v>2246.4</v>
      </c>
    </row>
    <row r="271" spans="1:53">
      <c r="A271" s="713" t="s">
        <v>231</v>
      </c>
      <c r="B271" s="717" t="s">
        <v>706</v>
      </c>
      <c r="C271" s="715"/>
      <c r="D271" s="575">
        <v>176169</v>
      </c>
      <c r="E271" s="716">
        <v>9</v>
      </c>
      <c r="F271" s="491" t="s">
        <v>41</v>
      </c>
      <c r="G271" s="492"/>
      <c r="H271" s="456"/>
      <c r="I271" s="493"/>
      <c r="J271" s="624">
        <v>40186</v>
      </c>
      <c r="K271" s="493">
        <v>43904</v>
      </c>
      <c r="L271" s="624">
        <v>3855</v>
      </c>
      <c r="M271" s="493">
        <v>3345</v>
      </c>
      <c r="N271" s="624">
        <v>47306</v>
      </c>
      <c r="O271" s="624">
        <v>47701</v>
      </c>
      <c r="P271" s="449">
        <f t="shared" si="105"/>
        <v>91347</v>
      </c>
      <c r="Q271" s="450">
        <f t="shared" si="106"/>
        <v>3044.9</v>
      </c>
      <c r="R271" s="451">
        <f t="shared" si="107"/>
        <v>94950</v>
      </c>
      <c r="S271" s="452">
        <f t="shared" si="108"/>
        <v>3165</v>
      </c>
      <c r="T271" s="624">
        <v>1945</v>
      </c>
      <c r="U271" s="624">
        <v>3820</v>
      </c>
      <c r="V271" s="449">
        <f t="shared" si="109"/>
        <v>91347</v>
      </c>
      <c r="W271" s="448">
        <f t="shared" si="110"/>
        <v>94950</v>
      </c>
      <c r="X271" s="456"/>
      <c r="Y271" s="493"/>
      <c r="Z271" s="456"/>
      <c r="AA271" s="493"/>
      <c r="AB271" s="456"/>
      <c r="AC271" s="493"/>
      <c r="AD271" s="456"/>
      <c r="AE271" s="493"/>
      <c r="AF271" s="449">
        <f t="shared" si="111"/>
        <v>0</v>
      </c>
      <c r="AG271" s="450">
        <f t="shared" si="112"/>
        <v>0</v>
      </c>
      <c r="AH271" s="451">
        <f t="shared" si="113"/>
        <v>0</v>
      </c>
      <c r="AI271" s="451">
        <f t="shared" si="114"/>
        <v>0</v>
      </c>
      <c r="AJ271" s="456"/>
      <c r="AK271" s="493"/>
      <c r="AL271" s="449">
        <f t="shared" si="115"/>
        <v>0</v>
      </c>
      <c r="AM271" s="452">
        <f t="shared" si="116"/>
        <v>0</v>
      </c>
      <c r="AN271" s="456"/>
      <c r="AO271" s="493"/>
      <c r="AP271" s="456"/>
      <c r="AQ271" s="493"/>
      <c r="AR271" s="456"/>
      <c r="AS271" s="493"/>
      <c r="AT271" s="456"/>
      <c r="AU271" s="493"/>
      <c r="AV271" s="449">
        <f t="shared" si="117"/>
        <v>0</v>
      </c>
      <c r="AW271" s="453">
        <f t="shared" si="118"/>
        <v>0</v>
      </c>
      <c r="AX271" s="451">
        <f t="shared" si="119"/>
        <v>0</v>
      </c>
      <c r="AY271" s="454">
        <f t="shared" si="120"/>
        <v>0</v>
      </c>
      <c r="AZ271" s="455">
        <f t="shared" si="121"/>
        <v>3044.9</v>
      </c>
      <c r="BA271" s="451">
        <f t="shared" si="122"/>
        <v>3165</v>
      </c>
    </row>
    <row r="272" spans="1:53">
      <c r="A272" s="713" t="s">
        <v>231</v>
      </c>
      <c r="B272" s="717" t="s">
        <v>707</v>
      </c>
      <c r="C272" s="715"/>
      <c r="D272" s="575">
        <v>176239</v>
      </c>
      <c r="E272" s="716">
        <v>9</v>
      </c>
      <c r="F272" s="491" t="s">
        <v>41</v>
      </c>
      <c r="G272" s="492"/>
      <c r="H272" s="456"/>
      <c r="I272" s="493"/>
      <c r="J272" s="456">
        <v>50243</v>
      </c>
      <c r="K272" s="493">
        <v>50640</v>
      </c>
      <c r="L272" s="624">
        <v>9029</v>
      </c>
      <c r="M272" s="493">
        <v>8768</v>
      </c>
      <c r="N272" s="624">
        <v>58030</v>
      </c>
      <c r="O272" s="624">
        <v>56131</v>
      </c>
      <c r="P272" s="449">
        <f t="shared" si="105"/>
        <v>117302</v>
      </c>
      <c r="Q272" s="450">
        <f t="shared" si="106"/>
        <v>3910.0666666666666</v>
      </c>
      <c r="R272" s="451">
        <f t="shared" si="107"/>
        <v>115539</v>
      </c>
      <c r="S272" s="452">
        <f t="shared" si="108"/>
        <v>3851.3</v>
      </c>
      <c r="T272" s="624">
        <v>2553</v>
      </c>
      <c r="U272" s="624">
        <v>3224</v>
      </c>
      <c r="V272" s="449">
        <f t="shared" si="109"/>
        <v>117302</v>
      </c>
      <c r="W272" s="448">
        <f t="shared" si="110"/>
        <v>115539</v>
      </c>
      <c r="X272" s="456"/>
      <c r="Y272" s="493"/>
      <c r="Z272" s="456"/>
      <c r="AA272" s="493"/>
      <c r="AB272" s="456"/>
      <c r="AC272" s="493"/>
      <c r="AD272" s="456"/>
      <c r="AE272" s="493"/>
      <c r="AF272" s="449">
        <f t="shared" si="111"/>
        <v>0</v>
      </c>
      <c r="AG272" s="450">
        <f t="shared" si="112"/>
        <v>0</v>
      </c>
      <c r="AH272" s="451">
        <f t="shared" si="113"/>
        <v>0</v>
      </c>
      <c r="AI272" s="451">
        <f t="shared" si="114"/>
        <v>0</v>
      </c>
      <c r="AJ272" s="456"/>
      <c r="AK272" s="493"/>
      <c r="AL272" s="449">
        <f t="shared" si="115"/>
        <v>0</v>
      </c>
      <c r="AM272" s="452">
        <f t="shared" si="116"/>
        <v>0</v>
      </c>
      <c r="AN272" s="456"/>
      <c r="AO272" s="493"/>
      <c r="AP272" s="456"/>
      <c r="AQ272" s="493"/>
      <c r="AR272" s="456"/>
      <c r="AS272" s="493"/>
      <c r="AT272" s="456"/>
      <c r="AU272" s="493"/>
      <c r="AV272" s="449">
        <f t="shared" si="117"/>
        <v>0</v>
      </c>
      <c r="AW272" s="453">
        <f t="shared" si="118"/>
        <v>0</v>
      </c>
      <c r="AX272" s="451">
        <f t="shared" si="119"/>
        <v>0</v>
      </c>
      <c r="AY272" s="454">
        <f t="shared" si="120"/>
        <v>0</v>
      </c>
      <c r="AZ272" s="455">
        <f t="shared" si="121"/>
        <v>3910.0666666666666</v>
      </c>
      <c r="BA272" s="451">
        <f t="shared" si="122"/>
        <v>3851.3</v>
      </c>
    </row>
    <row r="273" spans="1:53">
      <c r="A273" s="713" t="s">
        <v>231</v>
      </c>
      <c r="B273" s="717" t="s">
        <v>708</v>
      </c>
      <c r="C273" s="715"/>
      <c r="D273" s="575">
        <v>175519</v>
      </c>
      <c r="E273" s="716">
        <v>10</v>
      </c>
      <c r="F273" s="491" t="s">
        <v>41</v>
      </c>
      <c r="G273" s="492"/>
      <c r="H273" s="456"/>
      <c r="I273" s="493"/>
      <c r="J273" s="456">
        <v>23364</v>
      </c>
      <c r="K273" s="493">
        <v>23939</v>
      </c>
      <c r="L273" s="624">
        <v>2483</v>
      </c>
      <c r="M273" s="493">
        <v>3201</v>
      </c>
      <c r="N273" s="624">
        <v>26453</v>
      </c>
      <c r="O273" s="624">
        <v>26297</v>
      </c>
      <c r="P273" s="449">
        <f t="shared" si="105"/>
        <v>52300</v>
      </c>
      <c r="Q273" s="450">
        <f t="shared" si="106"/>
        <v>1743.3333333333333</v>
      </c>
      <c r="R273" s="451">
        <f t="shared" si="107"/>
        <v>53437</v>
      </c>
      <c r="S273" s="452">
        <f t="shared" si="108"/>
        <v>1781.2333333333333</v>
      </c>
      <c r="T273" s="624">
        <v>1161</v>
      </c>
      <c r="U273" s="624">
        <v>1878</v>
      </c>
      <c r="V273" s="449">
        <f t="shared" si="109"/>
        <v>52300</v>
      </c>
      <c r="W273" s="448">
        <f t="shared" si="110"/>
        <v>53437</v>
      </c>
      <c r="X273" s="456"/>
      <c r="Y273" s="493"/>
      <c r="Z273" s="456"/>
      <c r="AA273" s="493"/>
      <c r="AB273" s="456"/>
      <c r="AC273" s="493"/>
      <c r="AD273" s="456"/>
      <c r="AE273" s="493"/>
      <c r="AF273" s="449">
        <f t="shared" si="111"/>
        <v>0</v>
      </c>
      <c r="AG273" s="450">
        <f t="shared" si="112"/>
        <v>0</v>
      </c>
      <c r="AH273" s="451">
        <f t="shared" si="113"/>
        <v>0</v>
      </c>
      <c r="AI273" s="451">
        <f t="shared" si="114"/>
        <v>0</v>
      </c>
      <c r="AJ273" s="456"/>
      <c r="AK273" s="493"/>
      <c r="AL273" s="449">
        <f t="shared" si="115"/>
        <v>0</v>
      </c>
      <c r="AM273" s="452">
        <f t="shared" si="116"/>
        <v>0</v>
      </c>
      <c r="AN273" s="456"/>
      <c r="AO273" s="493"/>
      <c r="AP273" s="456"/>
      <c r="AQ273" s="493"/>
      <c r="AR273" s="456"/>
      <c r="AS273" s="493"/>
      <c r="AT273" s="456"/>
      <c r="AU273" s="493"/>
      <c r="AV273" s="449">
        <f t="shared" si="117"/>
        <v>0</v>
      </c>
      <c r="AW273" s="453">
        <f t="shared" si="118"/>
        <v>0</v>
      </c>
      <c r="AX273" s="451">
        <f t="shared" si="119"/>
        <v>0</v>
      </c>
      <c r="AY273" s="454">
        <f t="shared" si="120"/>
        <v>0</v>
      </c>
      <c r="AZ273" s="455">
        <f t="shared" si="121"/>
        <v>1743.3333333333333</v>
      </c>
      <c r="BA273" s="451">
        <f t="shared" si="122"/>
        <v>1781.2333333333333</v>
      </c>
    </row>
    <row r="274" spans="1:53">
      <c r="A274" s="713" t="s">
        <v>231</v>
      </c>
      <c r="B274" s="717" t="s">
        <v>709</v>
      </c>
      <c r="C274" s="715"/>
      <c r="D274" s="575">
        <v>176354</v>
      </c>
      <c r="E274" s="716">
        <v>10</v>
      </c>
      <c r="F274" s="491" t="s">
        <v>41</v>
      </c>
      <c r="G274" s="492"/>
      <c r="H274" s="456"/>
      <c r="I274" s="493"/>
      <c r="J274" s="456">
        <v>25279</v>
      </c>
      <c r="K274" s="493">
        <v>24233</v>
      </c>
      <c r="L274" s="624">
        <v>2707</v>
      </c>
      <c r="M274" s="493">
        <v>2524</v>
      </c>
      <c r="N274" s="624">
        <v>28149</v>
      </c>
      <c r="O274" s="624">
        <v>27556</v>
      </c>
      <c r="P274" s="449">
        <f t="shared" si="105"/>
        <v>56135</v>
      </c>
      <c r="Q274" s="450">
        <f t="shared" si="106"/>
        <v>1871.1666666666667</v>
      </c>
      <c r="R274" s="451">
        <f t="shared" si="107"/>
        <v>54313</v>
      </c>
      <c r="S274" s="452">
        <f t="shared" si="108"/>
        <v>1810.4333333333334</v>
      </c>
      <c r="T274" s="456">
        <v>1151</v>
      </c>
      <c r="U274" s="624">
        <v>1494</v>
      </c>
      <c r="V274" s="449">
        <f t="shared" si="109"/>
        <v>56135</v>
      </c>
      <c r="W274" s="448">
        <f t="shared" si="110"/>
        <v>54313</v>
      </c>
      <c r="X274" s="456"/>
      <c r="Y274" s="493"/>
      <c r="Z274" s="456"/>
      <c r="AA274" s="493"/>
      <c r="AB274" s="456"/>
      <c r="AC274" s="493"/>
      <c r="AD274" s="456"/>
      <c r="AE274" s="493"/>
      <c r="AF274" s="449">
        <f t="shared" si="111"/>
        <v>0</v>
      </c>
      <c r="AG274" s="450">
        <f t="shared" si="112"/>
        <v>0</v>
      </c>
      <c r="AH274" s="451">
        <f t="shared" si="113"/>
        <v>0</v>
      </c>
      <c r="AI274" s="451">
        <f t="shared" si="114"/>
        <v>0</v>
      </c>
      <c r="AJ274" s="456"/>
      <c r="AK274" s="493"/>
      <c r="AL274" s="449">
        <f t="shared" si="115"/>
        <v>0</v>
      </c>
      <c r="AM274" s="452">
        <f t="shared" si="116"/>
        <v>0</v>
      </c>
      <c r="AN274" s="456"/>
      <c r="AO274" s="493"/>
      <c r="AP274" s="456"/>
      <c r="AQ274" s="493"/>
      <c r="AR274" s="456"/>
      <c r="AS274" s="493"/>
      <c r="AT274" s="456"/>
      <c r="AU274" s="493"/>
      <c r="AV274" s="449">
        <f t="shared" si="117"/>
        <v>0</v>
      </c>
      <c r="AW274" s="453">
        <f t="shared" si="118"/>
        <v>0</v>
      </c>
      <c r="AX274" s="451">
        <f t="shared" si="119"/>
        <v>0</v>
      </c>
      <c r="AY274" s="454">
        <f t="shared" si="120"/>
        <v>0</v>
      </c>
      <c r="AZ274" s="455">
        <f t="shared" si="121"/>
        <v>1871.1666666666667</v>
      </c>
      <c r="BA274" s="451">
        <f t="shared" si="122"/>
        <v>1810.4333333333334</v>
      </c>
    </row>
    <row r="275" spans="1:53">
      <c r="A275" s="614" t="s">
        <v>229</v>
      </c>
      <c r="B275" s="615" t="s">
        <v>461</v>
      </c>
      <c r="C275" s="616"/>
      <c r="D275" s="617">
        <v>199193</v>
      </c>
      <c r="E275" s="618">
        <v>1</v>
      </c>
      <c r="F275" s="491" t="s">
        <v>41</v>
      </c>
      <c r="G275" s="492" t="s">
        <v>41</v>
      </c>
      <c r="H275" s="456"/>
      <c r="I275" s="493"/>
      <c r="J275" s="456">
        <v>314659</v>
      </c>
      <c r="K275" s="493">
        <v>312205</v>
      </c>
      <c r="L275" s="456">
        <v>51991</v>
      </c>
      <c r="M275" s="493">
        <v>48937</v>
      </c>
      <c r="N275" s="456">
        <v>331392</v>
      </c>
      <c r="O275" s="493">
        <v>330596</v>
      </c>
      <c r="P275" s="449">
        <f t="shared" si="105"/>
        <v>698042</v>
      </c>
      <c r="Q275" s="450">
        <f t="shared" si="106"/>
        <v>23268.066666666666</v>
      </c>
      <c r="R275" s="451">
        <f t="shared" si="107"/>
        <v>691738</v>
      </c>
      <c r="S275" s="452">
        <f t="shared" si="108"/>
        <v>23057.933333333334</v>
      </c>
      <c r="T275" s="456">
        <v>817</v>
      </c>
      <c r="U275" s="493">
        <v>1291</v>
      </c>
      <c r="V275" s="449">
        <f t="shared" si="109"/>
        <v>698042</v>
      </c>
      <c r="W275" s="448">
        <f t="shared" si="110"/>
        <v>691738</v>
      </c>
      <c r="X275" s="456"/>
      <c r="Y275" s="493"/>
      <c r="Z275" s="456"/>
      <c r="AA275" s="493"/>
      <c r="AB275" s="456"/>
      <c r="AC275" s="493"/>
      <c r="AD275" s="456"/>
      <c r="AE275" s="493"/>
      <c r="AF275" s="449">
        <f t="shared" si="111"/>
        <v>0</v>
      </c>
      <c r="AG275" s="450">
        <f t="shared" si="112"/>
        <v>0</v>
      </c>
      <c r="AH275" s="451">
        <f t="shared" si="113"/>
        <v>0</v>
      </c>
      <c r="AI275" s="451">
        <f t="shared" si="114"/>
        <v>0</v>
      </c>
      <c r="AJ275" s="456"/>
      <c r="AK275" s="493"/>
      <c r="AL275" s="449">
        <f t="shared" si="115"/>
        <v>0</v>
      </c>
      <c r="AM275" s="452">
        <f t="shared" si="116"/>
        <v>0</v>
      </c>
      <c r="AN275" s="456"/>
      <c r="AO275" s="493"/>
      <c r="AP275" s="456">
        <v>62089</v>
      </c>
      <c r="AQ275" s="493">
        <v>65131</v>
      </c>
      <c r="AR275" s="456">
        <v>8796</v>
      </c>
      <c r="AS275" s="493">
        <v>9912</v>
      </c>
      <c r="AT275" s="456">
        <v>61785</v>
      </c>
      <c r="AU275" s="493">
        <v>73976</v>
      </c>
      <c r="AV275" s="449">
        <f t="shared" si="117"/>
        <v>132670</v>
      </c>
      <c r="AW275" s="453">
        <f t="shared" si="118"/>
        <v>5527.916666666667</v>
      </c>
      <c r="AX275" s="451">
        <f t="shared" si="119"/>
        <v>149019</v>
      </c>
      <c r="AY275" s="454">
        <f t="shared" si="120"/>
        <v>6209.125</v>
      </c>
      <c r="AZ275" s="455">
        <f t="shared" si="121"/>
        <v>28795.983333333334</v>
      </c>
      <c r="BA275" s="451">
        <f t="shared" si="122"/>
        <v>29267.058333333334</v>
      </c>
    </row>
    <row r="276" spans="1:53">
      <c r="A276" s="614" t="s">
        <v>229</v>
      </c>
      <c r="B276" s="615" t="s">
        <v>462</v>
      </c>
      <c r="C276" s="616"/>
      <c r="D276" s="617">
        <v>199120</v>
      </c>
      <c r="E276" s="618">
        <v>1</v>
      </c>
      <c r="F276" s="491" t="s">
        <v>41</v>
      </c>
      <c r="G276" s="492" t="s">
        <v>41</v>
      </c>
      <c r="H276" s="456"/>
      <c r="I276" s="493"/>
      <c r="J276" s="456">
        <v>231683</v>
      </c>
      <c r="K276" s="493">
        <v>228885</v>
      </c>
      <c r="L276" s="456">
        <v>30188</v>
      </c>
      <c r="M276" s="493">
        <v>29153</v>
      </c>
      <c r="N276" s="456">
        <v>246170</v>
      </c>
      <c r="O276" s="493">
        <v>245001</v>
      </c>
      <c r="P276" s="449">
        <f t="shared" si="105"/>
        <v>508041</v>
      </c>
      <c r="Q276" s="450">
        <f t="shared" si="106"/>
        <v>16934.7</v>
      </c>
      <c r="R276" s="451">
        <f t="shared" si="107"/>
        <v>503039</v>
      </c>
      <c r="S276" s="452">
        <f t="shared" si="108"/>
        <v>16767.966666666667</v>
      </c>
      <c r="T276" s="456">
        <v>36</v>
      </c>
      <c r="U276" s="493">
        <v>50</v>
      </c>
      <c r="V276" s="449">
        <f t="shared" si="109"/>
        <v>508041</v>
      </c>
      <c r="W276" s="448">
        <f t="shared" si="110"/>
        <v>503039</v>
      </c>
      <c r="X276" s="456"/>
      <c r="Y276" s="493"/>
      <c r="Z276" s="456"/>
      <c r="AA276" s="493"/>
      <c r="AB276" s="456"/>
      <c r="AC276" s="493"/>
      <c r="AD276" s="456"/>
      <c r="AE276" s="493"/>
      <c r="AF276" s="449">
        <f t="shared" si="111"/>
        <v>0</v>
      </c>
      <c r="AG276" s="450">
        <f t="shared" si="112"/>
        <v>0</v>
      </c>
      <c r="AH276" s="451">
        <f t="shared" si="113"/>
        <v>0</v>
      </c>
      <c r="AI276" s="451">
        <f t="shared" si="114"/>
        <v>0</v>
      </c>
      <c r="AJ276" s="456"/>
      <c r="AK276" s="493"/>
      <c r="AL276" s="449">
        <f t="shared" si="115"/>
        <v>0</v>
      </c>
      <c r="AM276" s="452">
        <f t="shared" si="116"/>
        <v>0</v>
      </c>
      <c r="AN276" s="456"/>
      <c r="AO276" s="493"/>
      <c r="AP276" s="456">
        <v>86399</v>
      </c>
      <c r="AQ276" s="493">
        <v>86380</v>
      </c>
      <c r="AR276" s="456">
        <v>13148</v>
      </c>
      <c r="AS276" s="493">
        <v>12863</v>
      </c>
      <c r="AT276" s="456">
        <v>92273</v>
      </c>
      <c r="AU276" s="493">
        <v>83668</v>
      </c>
      <c r="AV276" s="449">
        <f t="shared" si="117"/>
        <v>191820</v>
      </c>
      <c r="AW276" s="453">
        <f t="shared" si="118"/>
        <v>7992.5</v>
      </c>
      <c r="AX276" s="451">
        <f t="shared" si="119"/>
        <v>182911</v>
      </c>
      <c r="AY276" s="454">
        <f t="shared" si="120"/>
        <v>7621.291666666667</v>
      </c>
      <c r="AZ276" s="455">
        <f t="shared" si="121"/>
        <v>24927.200000000001</v>
      </c>
      <c r="BA276" s="451">
        <f t="shared" si="122"/>
        <v>24389.258333333335</v>
      </c>
    </row>
    <row r="277" spans="1:53">
      <c r="A277" s="614" t="s">
        <v>229</v>
      </c>
      <c r="B277" s="615" t="s">
        <v>463</v>
      </c>
      <c r="C277" s="619"/>
      <c r="D277" s="617">
        <v>199139</v>
      </c>
      <c r="E277" s="621">
        <v>1</v>
      </c>
      <c r="F277" s="491" t="s">
        <v>41</v>
      </c>
      <c r="G277" s="492" t="s">
        <v>41</v>
      </c>
      <c r="H277" s="456"/>
      <c r="I277" s="493"/>
      <c r="J277" s="456">
        <v>269724</v>
      </c>
      <c r="K277" s="493">
        <v>279158</v>
      </c>
      <c r="L277" s="456">
        <v>43778</v>
      </c>
      <c r="M277" s="493">
        <v>47138</v>
      </c>
      <c r="N277" s="456">
        <v>297509</v>
      </c>
      <c r="O277" s="493">
        <v>307531</v>
      </c>
      <c r="P277" s="449">
        <f t="shared" si="105"/>
        <v>611011</v>
      </c>
      <c r="Q277" s="450">
        <f t="shared" si="106"/>
        <v>20367.033333333333</v>
      </c>
      <c r="R277" s="451">
        <f t="shared" si="107"/>
        <v>633827</v>
      </c>
      <c r="S277" s="452">
        <f t="shared" si="108"/>
        <v>21127.566666666666</v>
      </c>
      <c r="T277" s="456">
        <v>0</v>
      </c>
      <c r="U277" s="493">
        <v>0</v>
      </c>
      <c r="V277" s="449">
        <f t="shared" si="109"/>
        <v>611011</v>
      </c>
      <c r="W277" s="448">
        <f t="shared" si="110"/>
        <v>633827</v>
      </c>
      <c r="X277" s="456"/>
      <c r="Y277" s="493"/>
      <c r="Z277" s="456"/>
      <c r="AA277" s="493"/>
      <c r="AB277" s="456"/>
      <c r="AC277" s="493"/>
      <c r="AD277" s="456"/>
      <c r="AE277" s="493"/>
      <c r="AF277" s="449">
        <f t="shared" si="111"/>
        <v>0</v>
      </c>
      <c r="AG277" s="450">
        <f t="shared" si="112"/>
        <v>0</v>
      </c>
      <c r="AH277" s="451">
        <f t="shared" si="113"/>
        <v>0</v>
      </c>
      <c r="AI277" s="451">
        <f t="shared" si="114"/>
        <v>0</v>
      </c>
      <c r="AJ277" s="456"/>
      <c r="AK277" s="493"/>
      <c r="AL277" s="449">
        <f t="shared" si="115"/>
        <v>0</v>
      </c>
      <c r="AM277" s="452">
        <f t="shared" si="116"/>
        <v>0</v>
      </c>
      <c r="AN277" s="456"/>
      <c r="AO277" s="493"/>
      <c r="AP277" s="456">
        <v>31082</v>
      </c>
      <c r="AQ277" s="493">
        <v>33851</v>
      </c>
      <c r="AR277" s="456">
        <v>9693</v>
      </c>
      <c r="AS277" s="493">
        <v>10484</v>
      </c>
      <c r="AT277" s="456">
        <v>35709</v>
      </c>
      <c r="AU277" s="493">
        <v>37493</v>
      </c>
      <c r="AV277" s="449">
        <f t="shared" si="117"/>
        <v>76484</v>
      </c>
      <c r="AW277" s="453">
        <f t="shared" si="118"/>
        <v>3186.8333333333335</v>
      </c>
      <c r="AX277" s="451">
        <f t="shared" si="119"/>
        <v>81828</v>
      </c>
      <c r="AY277" s="454">
        <f t="shared" si="120"/>
        <v>3409.5</v>
      </c>
      <c r="AZ277" s="455">
        <f t="shared" si="121"/>
        <v>23553.866666666665</v>
      </c>
      <c r="BA277" s="451">
        <f t="shared" si="122"/>
        <v>24537.066666666666</v>
      </c>
    </row>
    <row r="278" spans="1:53">
      <c r="A278" s="614" t="s">
        <v>229</v>
      </c>
      <c r="B278" s="615" t="s">
        <v>464</v>
      </c>
      <c r="C278" s="616"/>
      <c r="D278" s="617">
        <v>199148</v>
      </c>
      <c r="E278" s="620">
        <v>1</v>
      </c>
      <c r="F278" s="491" t="s">
        <v>41</v>
      </c>
      <c r="G278" s="492" t="s">
        <v>41</v>
      </c>
      <c r="H278" s="456"/>
      <c r="I278" s="493"/>
      <c r="J278" s="456">
        <v>179141</v>
      </c>
      <c r="K278" s="493">
        <v>186617</v>
      </c>
      <c r="L278" s="456">
        <v>25846</v>
      </c>
      <c r="M278" s="493">
        <v>26424</v>
      </c>
      <c r="N278" s="456">
        <v>197274</v>
      </c>
      <c r="O278" s="493">
        <v>206694</v>
      </c>
      <c r="P278" s="449">
        <f t="shared" si="105"/>
        <v>402261</v>
      </c>
      <c r="Q278" s="450">
        <f t="shared" si="106"/>
        <v>13408.7</v>
      </c>
      <c r="R278" s="451">
        <f t="shared" si="107"/>
        <v>419735</v>
      </c>
      <c r="S278" s="452">
        <f t="shared" si="108"/>
        <v>13991.166666666666</v>
      </c>
      <c r="T278" s="456">
        <v>1723</v>
      </c>
      <c r="U278" s="493">
        <v>3939</v>
      </c>
      <c r="V278" s="449">
        <f t="shared" si="109"/>
        <v>402261</v>
      </c>
      <c r="W278" s="448">
        <f t="shared" si="110"/>
        <v>419735</v>
      </c>
      <c r="X278" s="456"/>
      <c r="Y278" s="493"/>
      <c r="Z278" s="456"/>
      <c r="AA278" s="493"/>
      <c r="AB278" s="456"/>
      <c r="AC278" s="493"/>
      <c r="AD278" s="456"/>
      <c r="AE278" s="493"/>
      <c r="AF278" s="449">
        <f t="shared" si="111"/>
        <v>0</v>
      </c>
      <c r="AG278" s="450">
        <f t="shared" si="112"/>
        <v>0</v>
      </c>
      <c r="AH278" s="451">
        <f t="shared" si="113"/>
        <v>0</v>
      </c>
      <c r="AI278" s="451">
        <f t="shared" si="114"/>
        <v>0</v>
      </c>
      <c r="AJ278" s="456"/>
      <c r="AK278" s="493"/>
      <c r="AL278" s="449">
        <f t="shared" si="115"/>
        <v>0</v>
      </c>
      <c r="AM278" s="452">
        <f t="shared" si="116"/>
        <v>0</v>
      </c>
      <c r="AN278" s="456"/>
      <c r="AO278" s="493"/>
      <c r="AP278" s="456">
        <v>27407</v>
      </c>
      <c r="AQ278" s="493">
        <v>28933</v>
      </c>
      <c r="AR278" s="456">
        <v>5630</v>
      </c>
      <c r="AS278" s="493">
        <v>5914</v>
      </c>
      <c r="AT278" s="456">
        <v>30834</v>
      </c>
      <c r="AU278" s="493">
        <v>30415</v>
      </c>
      <c r="AV278" s="449">
        <f t="shared" si="117"/>
        <v>63871</v>
      </c>
      <c r="AW278" s="453">
        <f t="shared" si="118"/>
        <v>2661.2916666666665</v>
      </c>
      <c r="AX278" s="451">
        <f t="shared" si="119"/>
        <v>65262</v>
      </c>
      <c r="AY278" s="454">
        <f t="shared" si="120"/>
        <v>2719.25</v>
      </c>
      <c r="AZ278" s="455">
        <f t="shared" si="121"/>
        <v>16069.991666666667</v>
      </c>
      <c r="BA278" s="451">
        <f t="shared" si="122"/>
        <v>16710.416666666664</v>
      </c>
    </row>
    <row r="279" spans="1:53">
      <c r="A279" s="614" t="s">
        <v>229</v>
      </c>
      <c r="B279" s="615" t="s">
        <v>465</v>
      </c>
      <c r="C279" s="619"/>
      <c r="D279" s="617">
        <v>198464</v>
      </c>
      <c r="E279" s="618">
        <v>2</v>
      </c>
      <c r="F279" s="491" t="s">
        <v>41</v>
      </c>
      <c r="G279" s="492" t="s">
        <v>41</v>
      </c>
      <c r="H279" s="456"/>
      <c r="I279" s="493"/>
      <c r="J279" s="456">
        <v>260656</v>
      </c>
      <c r="K279" s="493">
        <v>268497</v>
      </c>
      <c r="L279" s="456">
        <v>48718</v>
      </c>
      <c r="M279" s="493">
        <v>49661</v>
      </c>
      <c r="N279" s="456">
        <v>287533</v>
      </c>
      <c r="O279" s="493">
        <v>297176</v>
      </c>
      <c r="P279" s="449">
        <f t="shared" si="105"/>
        <v>596907</v>
      </c>
      <c r="Q279" s="450">
        <f t="shared" si="106"/>
        <v>19896.900000000001</v>
      </c>
      <c r="R279" s="451">
        <f t="shared" si="107"/>
        <v>615334</v>
      </c>
      <c r="S279" s="452">
        <f t="shared" si="108"/>
        <v>20511.133333333335</v>
      </c>
      <c r="T279" s="456">
        <v>2646</v>
      </c>
      <c r="U279" s="493">
        <v>6035</v>
      </c>
      <c r="V279" s="449">
        <f t="shared" si="109"/>
        <v>596907</v>
      </c>
      <c r="W279" s="448">
        <f t="shared" si="110"/>
        <v>615334</v>
      </c>
      <c r="X279" s="456"/>
      <c r="Y279" s="493"/>
      <c r="Z279" s="456"/>
      <c r="AA279" s="493"/>
      <c r="AB279" s="456"/>
      <c r="AC279" s="493"/>
      <c r="AD279" s="456"/>
      <c r="AE279" s="493"/>
      <c r="AF279" s="449">
        <f t="shared" si="111"/>
        <v>0</v>
      </c>
      <c r="AG279" s="450">
        <f t="shared" si="112"/>
        <v>0</v>
      </c>
      <c r="AH279" s="451">
        <f t="shared" si="113"/>
        <v>0</v>
      </c>
      <c r="AI279" s="451">
        <f t="shared" si="114"/>
        <v>0</v>
      </c>
      <c r="AJ279" s="456"/>
      <c r="AK279" s="493"/>
      <c r="AL279" s="449">
        <f t="shared" si="115"/>
        <v>0</v>
      </c>
      <c r="AM279" s="452">
        <f t="shared" si="116"/>
        <v>0</v>
      </c>
      <c r="AN279" s="456"/>
      <c r="AO279" s="493"/>
      <c r="AP279" s="456">
        <v>31910</v>
      </c>
      <c r="AQ279" s="493">
        <v>31232</v>
      </c>
      <c r="AR279" s="456">
        <v>15246</v>
      </c>
      <c r="AS279" s="493">
        <v>15430</v>
      </c>
      <c r="AT279" s="456">
        <v>33997</v>
      </c>
      <c r="AU279" s="493">
        <v>33875</v>
      </c>
      <c r="AV279" s="449">
        <f t="shared" si="117"/>
        <v>81153</v>
      </c>
      <c r="AW279" s="453">
        <f t="shared" si="118"/>
        <v>3381.375</v>
      </c>
      <c r="AX279" s="451">
        <f t="shared" si="119"/>
        <v>80537</v>
      </c>
      <c r="AY279" s="454">
        <f t="shared" si="120"/>
        <v>3355.7083333333335</v>
      </c>
      <c r="AZ279" s="455">
        <f t="shared" si="121"/>
        <v>23278.275000000001</v>
      </c>
      <c r="BA279" s="451">
        <f t="shared" si="122"/>
        <v>23866.841666666667</v>
      </c>
    </row>
    <row r="280" spans="1:53">
      <c r="A280" s="614" t="s">
        <v>229</v>
      </c>
      <c r="B280" s="615" t="s">
        <v>466</v>
      </c>
      <c r="C280" s="616"/>
      <c r="D280" s="617">
        <v>197869</v>
      </c>
      <c r="E280" s="618">
        <v>3</v>
      </c>
      <c r="F280" s="491" t="s">
        <v>41</v>
      </c>
      <c r="G280" s="492" t="s">
        <v>41</v>
      </c>
      <c r="H280" s="456"/>
      <c r="I280" s="493"/>
      <c r="J280" s="456">
        <v>218039</v>
      </c>
      <c r="K280" s="493">
        <v>220984</v>
      </c>
      <c r="L280" s="456">
        <v>36756</v>
      </c>
      <c r="M280" s="493">
        <v>37420</v>
      </c>
      <c r="N280" s="456">
        <v>237489</v>
      </c>
      <c r="O280" s="493">
        <v>230651</v>
      </c>
      <c r="P280" s="449">
        <f t="shared" si="105"/>
        <v>492284</v>
      </c>
      <c r="Q280" s="450">
        <f t="shared" si="106"/>
        <v>16409.466666666667</v>
      </c>
      <c r="R280" s="451">
        <f t="shared" si="107"/>
        <v>489055</v>
      </c>
      <c r="S280" s="452">
        <f t="shared" si="108"/>
        <v>16301.833333333334</v>
      </c>
      <c r="T280" s="456">
        <v>0</v>
      </c>
      <c r="U280" s="493">
        <v>0</v>
      </c>
      <c r="V280" s="449">
        <f t="shared" si="109"/>
        <v>492284</v>
      </c>
      <c r="W280" s="448">
        <f t="shared" si="110"/>
        <v>489055</v>
      </c>
      <c r="X280" s="456"/>
      <c r="Y280" s="493"/>
      <c r="Z280" s="456"/>
      <c r="AA280" s="493"/>
      <c r="AB280" s="456"/>
      <c r="AC280" s="493"/>
      <c r="AD280" s="456"/>
      <c r="AE280" s="493"/>
      <c r="AF280" s="449">
        <f t="shared" si="111"/>
        <v>0</v>
      </c>
      <c r="AG280" s="450">
        <f t="shared" si="112"/>
        <v>0</v>
      </c>
      <c r="AH280" s="451">
        <f t="shared" si="113"/>
        <v>0</v>
      </c>
      <c r="AI280" s="451">
        <f t="shared" si="114"/>
        <v>0</v>
      </c>
      <c r="AJ280" s="456"/>
      <c r="AK280" s="493"/>
      <c r="AL280" s="449">
        <f t="shared" si="115"/>
        <v>0</v>
      </c>
      <c r="AM280" s="452">
        <f t="shared" si="116"/>
        <v>0</v>
      </c>
      <c r="AN280" s="456"/>
      <c r="AO280" s="493"/>
      <c r="AP280" s="456">
        <v>13157</v>
      </c>
      <c r="AQ280" s="493">
        <v>13260</v>
      </c>
      <c r="AR280" s="456">
        <v>7154</v>
      </c>
      <c r="AS280" s="493">
        <v>6935</v>
      </c>
      <c r="AT280" s="456">
        <v>13986</v>
      </c>
      <c r="AU280" s="493">
        <v>10355</v>
      </c>
      <c r="AV280" s="449">
        <f t="shared" si="117"/>
        <v>34297</v>
      </c>
      <c r="AW280" s="453">
        <f t="shared" si="118"/>
        <v>1429.0416666666667</v>
      </c>
      <c r="AX280" s="451">
        <f t="shared" si="119"/>
        <v>30550</v>
      </c>
      <c r="AY280" s="454">
        <f t="shared" si="120"/>
        <v>1272.9166666666667</v>
      </c>
      <c r="AZ280" s="455">
        <f t="shared" si="121"/>
        <v>17838.508333333335</v>
      </c>
      <c r="BA280" s="451">
        <f t="shared" si="122"/>
        <v>17574.75</v>
      </c>
    </row>
    <row r="281" spans="1:53">
      <c r="A281" s="614" t="s">
        <v>229</v>
      </c>
      <c r="B281" s="615" t="s">
        <v>467</v>
      </c>
      <c r="C281" s="616"/>
      <c r="D281" s="617">
        <v>199102</v>
      </c>
      <c r="E281" s="618">
        <v>3</v>
      </c>
      <c r="F281" s="491" t="s">
        <v>41</v>
      </c>
      <c r="G281" s="492" t="s">
        <v>41</v>
      </c>
      <c r="H281" s="456"/>
      <c r="I281" s="493"/>
      <c r="J281" s="456">
        <v>116645</v>
      </c>
      <c r="K281" s="493">
        <v>116628</v>
      </c>
      <c r="L281" s="456">
        <v>14313</v>
      </c>
      <c r="M281" s="493">
        <v>15475</v>
      </c>
      <c r="N281" s="456">
        <v>125775</v>
      </c>
      <c r="O281" s="493">
        <v>126172</v>
      </c>
      <c r="P281" s="449">
        <f t="shared" si="105"/>
        <v>256733</v>
      </c>
      <c r="Q281" s="450">
        <f t="shared" si="106"/>
        <v>8557.7666666666664</v>
      </c>
      <c r="R281" s="451">
        <f t="shared" si="107"/>
        <v>258275</v>
      </c>
      <c r="S281" s="452">
        <f t="shared" si="108"/>
        <v>8609.1666666666661</v>
      </c>
      <c r="T281" s="456">
        <v>384</v>
      </c>
      <c r="U281" s="493">
        <v>347</v>
      </c>
      <c r="V281" s="449">
        <f t="shared" si="109"/>
        <v>256733</v>
      </c>
      <c r="W281" s="448">
        <f t="shared" si="110"/>
        <v>258275</v>
      </c>
      <c r="X281" s="456"/>
      <c r="Y281" s="493"/>
      <c r="Z281" s="456"/>
      <c r="AA281" s="493"/>
      <c r="AB281" s="456"/>
      <c r="AC281" s="493"/>
      <c r="AD281" s="456"/>
      <c r="AE281" s="493"/>
      <c r="AF281" s="449">
        <f t="shared" si="111"/>
        <v>0</v>
      </c>
      <c r="AG281" s="450">
        <f t="shared" si="112"/>
        <v>0</v>
      </c>
      <c r="AH281" s="451">
        <f t="shared" si="113"/>
        <v>0</v>
      </c>
      <c r="AI281" s="451">
        <f t="shared" si="114"/>
        <v>0</v>
      </c>
      <c r="AJ281" s="456"/>
      <c r="AK281" s="493"/>
      <c r="AL281" s="449">
        <f t="shared" si="115"/>
        <v>0</v>
      </c>
      <c r="AM281" s="452">
        <f t="shared" si="116"/>
        <v>0</v>
      </c>
      <c r="AN281" s="456"/>
      <c r="AO281" s="493"/>
      <c r="AP281" s="456">
        <v>14428</v>
      </c>
      <c r="AQ281" s="493">
        <v>13135</v>
      </c>
      <c r="AR281" s="456">
        <v>2552</v>
      </c>
      <c r="AS281" s="493">
        <v>2462</v>
      </c>
      <c r="AT281" s="456">
        <v>13170</v>
      </c>
      <c r="AU281" s="493">
        <v>12868</v>
      </c>
      <c r="AV281" s="449">
        <f t="shared" si="117"/>
        <v>30150</v>
      </c>
      <c r="AW281" s="453">
        <f t="shared" si="118"/>
        <v>1256.25</v>
      </c>
      <c r="AX281" s="451">
        <f t="shared" si="119"/>
        <v>28465</v>
      </c>
      <c r="AY281" s="454">
        <f t="shared" si="120"/>
        <v>1186.0416666666667</v>
      </c>
      <c r="AZ281" s="455">
        <f t="shared" si="121"/>
        <v>9814.0166666666664</v>
      </c>
      <c r="BA281" s="451">
        <f t="shared" si="122"/>
        <v>9795.2083333333321</v>
      </c>
    </row>
    <row r="282" spans="1:53">
      <c r="A282" s="614" t="s">
        <v>229</v>
      </c>
      <c r="B282" s="615" t="s">
        <v>468</v>
      </c>
      <c r="C282" s="616"/>
      <c r="D282" s="617">
        <v>199157</v>
      </c>
      <c r="E282" s="618">
        <v>3</v>
      </c>
      <c r="F282" s="491" t="s">
        <v>41</v>
      </c>
      <c r="G282" s="492" t="s">
        <v>41</v>
      </c>
      <c r="H282" s="456"/>
      <c r="I282" s="493"/>
      <c r="J282" s="456">
        <v>77296</v>
      </c>
      <c r="K282" s="493">
        <v>75455</v>
      </c>
      <c r="L282" s="456">
        <v>19640</v>
      </c>
      <c r="M282" s="493">
        <v>18797</v>
      </c>
      <c r="N282" s="456">
        <v>80653</v>
      </c>
      <c r="O282" s="493">
        <v>83436</v>
      </c>
      <c r="P282" s="449">
        <f t="shared" si="105"/>
        <v>177589</v>
      </c>
      <c r="Q282" s="450">
        <f t="shared" si="106"/>
        <v>5919.6333333333332</v>
      </c>
      <c r="R282" s="451">
        <f t="shared" si="107"/>
        <v>177688</v>
      </c>
      <c r="S282" s="452">
        <f t="shared" si="108"/>
        <v>5922.9333333333334</v>
      </c>
      <c r="T282" s="456">
        <v>4331</v>
      </c>
      <c r="U282" s="493">
        <v>4541</v>
      </c>
      <c r="V282" s="449">
        <f t="shared" si="109"/>
        <v>177589</v>
      </c>
      <c r="W282" s="448">
        <f t="shared" si="110"/>
        <v>177688</v>
      </c>
      <c r="X282" s="456"/>
      <c r="Y282" s="493"/>
      <c r="Z282" s="456"/>
      <c r="AA282" s="493"/>
      <c r="AB282" s="456"/>
      <c r="AC282" s="493"/>
      <c r="AD282" s="456"/>
      <c r="AE282" s="493"/>
      <c r="AF282" s="449">
        <f t="shared" si="111"/>
        <v>0</v>
      </c>
      <c r="AG282" s="450">
        <f t="shared" si="112"/>
        <v>0</v>
      </c>
      <c r="AH282" s="451">
        <f t="shared" si="113"/>
        <v>0</v>
      </c>
      <c r="AI282" s="451">
        <f t="shared" si="114"/>
        <v>0</v>
      </c>
      <c r="AJ282" s="456"/>
      <c r="AK282" s="493"/>
      <c r="AL282" s="449">
        <f t="shared" si="115"/>
        <v>0</v>
      </c>
      <c r="AM282" s="452">
        <f t="shared" si="116"/>
        <v>0</v>
      </c>
      <c r="AN282" s="456"/>
      <c r="AO282" s="493"/>
      <c r="AP282" s="456">
        <v>17061</v>
      </c>
      <c r="AQ282" s="493">
        <v>16346</v>
      </c>
      <c r="AR282" s="456">
        <v>4330</v>
      </c>
      <c r="AS282" s="493">
        <v>4227</v>
      </c>
      <c r="AT282" s="456">
        <v>17358</v>
      </c>
      <c r="AU282" s="493">
        <v>18364</v>
      </c>
      <c r="AV282" s="449">
        <f t="shared" si="117"/>
        <v>38749</v>
      </c>
      <c r="AW282" s="453">
        <f t="shared" si="118"/>
        <v>1614.5416666666667</v>
      </c>
      <c r="AX282" s="451">
        <f t="shared" si="119"/>
        <v>38937</v>
      </c>
      <c r="AY282" s="454">
        <f t="shared" si="120"/>
        <v>1622.375</v>
      </c>
      <c r="AZ282" s="455">
        <f t="shared" si="121"/>
        <v>7534.1750000000002</v>
      </c>
      <c r="BA282" s="451">
        <f t="shared" si="122"/>
        <v>7545.3083333333334</v>
      </c>
    </row>
    <row r="283" spans="1:53">
      <c r="A283" s="614" t="s">
        <v>229</v>
      </c>
      <c r="B283" s="615" t="s">
        <v>469</v>
      </c>
      <c r="C283" s="616"/>
      <c r="D283" s="617">
        <v>199218</v>
      </c>
      <c r="E283" s="618">
        <v>3</v>
      </c>
      <c r="F283" s="491" t="s">
        <v>41</v>
      </c>
      <c r="G283" s="492" t="s">
        <v>41</v>
      </c>
      <c r="H283" s="456"/>
      <c r="I283" s="493"/>
      <c r="J283" s="456">
        <v>162776</v>
      </c>
      <c r="K283" s="493">
        <v>167872</v>
      </c>
      <c r="L283" s="456">
        <v>32837</v>
      </c>
      <c r="M283" s="493">
        <v>36163</v>
      </c>
      <c r="N283" s="456">
        <v>179926</v>
      </c>
      <c r="O283" s="493">
        <v>182198</v>
      </c>
      <c r="P283" s="449">
        <f t="shared" si="105"/>
        <v>375539</v>
      </c>
      <c r="Q283" s="450">
        <f t="shared" si="106"/>
        <v>12517.966666666667</v>
      </c>
      <c r="R283" s="451">
        <f t="shared" si="107"/>
        <v>386233</v>
      </c>
      <c r="S283" s="452">
        <f t="shared" si="108"/>
        <v>12874.433333333332</v>
      </c>
      <c r="T283" s="456">
        <v>1395</v>
      </c>
      <c r="U283" s="493">
        <v>1233</v>
      </c>
      <c r="V283" s="449">
        <f t="shared" si="109"/>
        <v>375539</v>
      </c>
      <c r="W283" s="448">
        <f t="shared" si="110"/>
        <v>386233</v>
      </c>
      <c r="X283" s="456"/>
      <c r="Y283" s="493"/>
      <c r="Z283" s="456"/>
      <c r="AA283" s="493"/>
      <c r="AB283" s="456"/>
      <c r="AC283" s="493"/>
      <c r="AD283" s="456"/>
      <c r="AE283" s="493"/>
      <c r="AF283" s="449">
        <f t="shared" si="111"/>
        <v>0</v>
      </c>
      <c r="AG283" s="450">
        <f t="shared" si="112"/>
        <v>0</v>
      </c>
      <c r="AH283" s="451">
        <f t="shared" si="113"/>
        <v>0</v>
      </c>
      <c r="AI283" s="451">
        <f t="shared" si="114"/>
        <v>0</v>
      </c>
      <c r="AJ283" s="456"/>
      <c r="AK283" s="493"/>
      <c r="AL283" s="449">
        <f t="shared" si="115"/>
        <v>0</v>
      </c>
      <c r="AM283" s="452">
        <f t="shared" si="116"/>
        <v>0</v>
      </c>
      <c r="AN283" s="456"/>
      <c r="AO283" s="493"/>
      <c r="AP283" s="456">
        <v>10526</v>
      </c>
      <c r="AQ283" s="493">
        <v>11456</v>
      </c>
      <c r="AR283" s="456">
        <v>3604</v>
      </c>
      <c r="AS283" s="493">
        <v>4717</v>
      </c>
      <c r="AT283" s="456">
        <v>11596</v>
      </c>
      <c r="AU283" s="493">
        <v>12409</v>
      </c>
      <c r="AV283" s="449">
        <f t="shared" si="117"/>
        <v>25726</v>
      </c>
      <c r="AW283" s="453">
        <f t="shared" si="118"/>
        <v>1071.9166666666667</v>
      </c>
      <c r="AX283" s="451">
        <f t="shared" si="119"/>
        <v>28582</v>
      </c>
      <c r="AY283" s="454">
        <f t="shared" si="120"/>
        <v>1190.9166666666667</v>
      </c>
      <c r="AZ283" s="455">
        <f t="shared" si="121"/>
        <v>13589.883333333333</v>
      </c>
      <c r="BA283" s="451">
        <f t="shared" si="122"/>
        <v>14065.349999999999</v>
      </c>
    </row>
    <row r="284" spans="1:53">
      <c r="A284" s="614" t="s">
        <v>229</v>
      </c>
      <c r="B284" s="615" t="s">
        <v>470</v>
      </c>
      <c r="C284" s="616"/>
      <c r="D284" s="617">
        <v>200004</v>
      </c>
      <c r="E284" s="618">
        <v>3</v>
      </c>
      <c r="F284" s="491" t="s">
        <v>41</v>
      </c>
      <c r="G284" s="492" t="s">
        <v>41</v>
      </c>
      <c r="H284" s="456"/>
      <c r="I284" s="493"/>
      <c r="J284" s="456">
        <v>107215</v>
      </c>
      <c r="K284" s="493">
        <v>109408</v>
      </c>
      <c r="L284" s="456">
        <v>17010</v>
      </c>
      <c r="M284" s="493">
        <v>16411</v>
      </c>
      <c r="N284" s="456">
        <v>118252</v>
      </c>
      <c r="O284" s="493">
        <v>118776</v>
      </c>
      <c r="P284" s="449">
        <f t="shared" si="105"/>
        <v>242477</v>
      </c>
      <c r="Q284" s="450">
        <f t="shared" si="106"/>
        <v>8082.5666666666666</v>
      </c>
      <c r="R284" s="451">
        <f t="shared" si="107"/>
        <v>244595</v>
      </c>
      <c r="S284" s="452">
        <f t="shared" si="108"/>
        <v>8153.166666666667</v>
      </c>
      <c r="T284" s="456">
        <v>0</v>
      </c>
      <c r="U284" s="493">
        <v>0</v>
      </c>
      <c r="V284" s="449">
        <f t="shared" si="109"/>
        <v>242477</v>
      </c>
      <c r="W284" s="448">
        <f t="shared" si="110"/>
        <v>244595</v>
      </c>
      <c r="X284" s="456"/>
      <c r="Y284" s="493"/>
      <c r="Z284" s="456"/>
      <c r="AA284" s="493"/>
      <c r="AB284" s="456"/>
      <c r="AC284" s="493"/>
      <c r="AD284" s="456"/>
      <c r="AE284" s="493"/>
      <c r="AF284" s="449">
        <f t="shared" si="111"/>
        <v>0</v>
      </c>
      <c r="AG284" s="450">
        <f t="shared" si="112"/>
        <v>0</v>
      </c>
      <c r="AH284" s="451">
        <f t="shared" si="113"/>
        <v>0</v>
      </c>
      <c r="AI284" s="451">
        <f t="shared" si="114"/>
        <v>0</v>
      </c>
      <c r="AJ284" s="456"/>
      <c r="AK284" s="493"/>
      <c r="AL284" s="449">
        <f t="shared" si="115"/>
        <v>0</v>
      </c>
      <c r="AM284" s="452">
        <f t="shared" si="116"/>
        <v>0</v>
      </c>
      <c r="AN284" s="456"/>
      <c r="AO284" s="493"/>
      <c r="AP284" s="456">
        <v>12163</v>
      </c>
      <c r="AQ284" s="493">
        <v>11889</v>
      </c>
      <c r="AR284" s="456">
        <v>5375</v>
      </c>
      <c r="AS284" s="493">
        <v>5604</v>
      </c>
      <c r="AT284" s="456">
        <v>12494</v>
      </c>
      <c r="AU284" s="493">
        <v>11964</v>
      </c>
      <c r="AV284" s="449">
        <f t="shared" si="117"/>
        <v>30032</v>
      </c>
      <c r="AW284" s="453">
        <f t="shared" si="118"/>
        <v>1251.3333333333333</v>
      </c>
      <c r="AX284" s="451">
        <f t="shared" si="119"/>
        <v>29457</v>
      </c>
      <c r="AY284" s="454">
        <f t="shared" si="120"/>
        <v>1227.375</v>
      </c>
      <c r="AZ284" s="455">
        <f t="shared" si="121"/>
        <v>9333.9</v>
      </c>
      <c r="BA284" s="451">
        <f t="shared" si="122"/>
        <v>9380.5416666666679</v>
      </c>
    </row>
    <row r="285" spans="1:53">
      <c r="A285" s="614" t="s">
        <v>229</v>
      </c>
      <c r="B285" s="615" t="s">
        <v>471</v>
      </c>
      <c r="C285" s="616"/>
      <c r="D285" s="617">
        <v>198543</v>
      </c>
      <c r="E285" s="618">
        <v>4</v>
      </c>
      <c r="F285" s="491" t="s">
        <v>41</v>
      </c>
      <c r="G285" s="492" t="s">
        <v>41</v>
      </c>
      <c r="H285" s="456"/>
      <c r="I285" s="493"/>
      <c r="J285" s="456">
        <v>63930</v>
      </c>
      <c r="K285" s="493">
        <v>63646</v>
      </c>
      <c r="L285" s="456">
        <v>19165</v>
      </c>
      <c r="M285" s="493">
        <v>19479</v>
      </c>
      <c r="N285" s="456">
        <v>65490</v>
      </c>
      <c r="O285" s="493">
        <v>68258</v>
      </c>
      <c r="P285" s="449">
        <f t="shared" si="105"/>
        <v>148585</v>
      </c>
      <c r="Q285" s="450">
        <f t="shared" si="106"/>
        <v>4952.833333333333</v>
      </c>
      <c r="R285" s="451">
        <f t="shared" si="107"/>
        <v>151383</v>
      </c>
      <c r="S285" s="452">
        <f t="shared" si="108"/>
        <v>5046.1000000000004</v>
      </c>
      <c r="T285" s="456">
        <v>4699</v>
      </c>
      <c r="U285" s="493">
        <v>2693</v>
      </c>
      <c r="V285" s="449">
        <f t="shared" si="109"/>
        <v>148585</v>
      </c>
      <c r="W285" s="448">
        <f t="shared" si="110"/>
        <v>151383</v>
      </c>
      <c r="X285" s="456"/>
      <c r="Y285" s="493"/>
      <c r="Z285" s="456"/>
      <c r="AA285" s="493"/>
      <c r="AB285" s="456"/>
      <c r="AC285" s="493"/>
      <c r="AD285" s="456"/>
      <c r="AE285" s="493"/>
      <c r="AF285" s="449">
        <f t="shared" si="111"/>
        <v>0</v>
      </c>
      <c r="AG285" s="450">
        <f t="shared" si="112"/>
        <v>0</v>
      </c>
      <c r="AH285" s="451">
        <f t="shared" si="113"/>
        <v>0</v>
      </c>
      <c r="AI285" s="451">
        <f t="shared" si="114"/>
        <v>0</v>
      </c>
      <c r="AJ285" s="456"/>
      <c r="AK285" s="493"/>
      <c r="AL285" s="449">
        <f t="shared" si="115"/>
        <v>0</v>
      </c>
      <c r="AM285" s="452">
        <f t="shared" si="116"/>
        <v>0</v>
      </c>
      <c r="AN285" s="456"/>
      <c r="AO285" s="493"/>
      <c r="AP285" s="456">
        <v>5493</v>
      </c>
      <c r="AQ285" s="493">
        <v>4488</v>
      </c>
      <c r="AR285" s="456">
        <v>1534</v>
      </c>
      <c r="AS285" s="493">
        <v>1476</v>
      </c>
      <c r="AT285" s="456">
        <v>4590</v>
      </c>
      <c r="AU285" s="493">
        <v>4134</v>
      </c>
      <c r="AV285" s="449">
        <f t="shared" si="117"/>
        <v>11617</v>
      </c>
      <c r="AW285" s="453">
        <f t="shared" si="118"/>
        <v>484.04166666666669</v>
      </c>
      <c r="AX285" s="451">
        <f t="shared" si="119"/>
        <v>10098</v>
      </c>
      <c r="AY285" s="454">
        <f t="shared" si="120"/>
        <v>420.75</v>
      </c>
      <c r="AZ285" s="455">
        <f t="shared" si="121"/>
        <v>5436.875</v>
      </c>
      <c r="BA285" s="451">
        <f t="shared" si="122"/>
        <v>5466.85</v>
      </c>
    </row>
    <row r="286" spans="1:53">
      <c r="A286" s="614" t="s">
        <v>229</v>
      </c>
      <c r="B286" s="615" t="s">
        <v>472</v>
      </c>
      <c r="C286" s="616"/>
      <c r="D286" s="617">
        <v>199281</v>
      </c>
      <c r="E286" s="618">
        <v>5</v>
      </c>
      <c r="F286" s="491" t="s">
        <v>41</v>
      </c>
      <c r="G286" s="492" t="s">
        <v>41</v>
      </c>
      <c r="H286" s="456"/>
      <c r="I286" s="493"/>
      <c r="J286" s="456">
        <v>63039</v>
      </c>
      <c r="K286" s="493">
        <v>62841</v>
      </c>
      <c r="L286" s="456">
        <v>16618</v>
      </c>
      <c r="M286" s="493">
        <v>15883</v>
      </c>
      <c r="N286" s="456">
        <v>70645</v>
      </c>
      <c r="O286" s="493">
        <v>73285</v>
      </c>
      <c r="P286" s="449">
        <f t="shared" si="105"/>
        <v>150302</v>
      </c>
      <c r="Q286" s="450">
        <f t="shared" si="106"/>
        <v>5010.0666666666666</v>
      </c>
      <c r="R286" s="451">
        <f t="shared" si="107"/>
        <v>152009</v>
      </c>
      <c r="S286" s="452">
        <f t="shared" si="108"/>
        <v>5066.9666666666662</v>
      </c>
      <c r="T286" s="456">
        <v>0</v>
      </c>
      <c r="U286" s="493">
        <v>0</v>
      </c>
      <c r="V286" s="449">
        <f t="shared" si="109"/>
        <v>150302</v>
      </c>
      <c r="W286" s="448">
        <f t="shared" si="110"/>
        <v>152009</v>
      </c>
      <c r="X286" s="456"/>
      <c r="Y286" s="493"/>
      <c r="Z286" s="456"/>
      <c r="AA286" s="493"/>
      <c r="AB286" s="456"/>
      <c r="AC286" s="493"/>
      <c r="AD286" s="456"/>
      <c r="AE286" s="493"/>
      <c r="AF286" s="449">
        <f t="shared" si="111"/>
        <v>0</v>
      </c>
      <c r="AG286" s="450">
        <f t="shared" si="112"/>
        <v>0</v>
      </c>
      <c r="AH286" s="451">
        <f t="shared" si="113"/>
        <v>0</v>
      </c>
      <c r="AI286" s="451">
        <f t="shared" si="114"/>
        <v>0</v>
      </c>
      <c r="AJ286" s="456"/>
      <c r="AK286" s="493"/>
      <c r="AL286" s="449">
        <f t="shared" si="115"/>
        <v>0</v>
      </c>
      <c r="AM286" s="452">
        <f t="shared" si="116"/>
        <v>0</v>
      </c>
      <c r="AN286" s="456"/>
      <c r="AO286" s="493"/>
      <c r="AP286" s="456">
        <v>5112</v>
      </c>
      <c r="AQ286" s="493">
        <v>4824</v>
      </c>
      <c r="AR286" s="456">
        <v>2765</v>
      </c>
      <c r="AS286" s="493">
        <v>2725</v>
      </c>
      <c r="AT286" s="456">
        <v>5031</v>
      </c>
      <c r="AU286" s="493">
        <v>5008</v>
      </c>
      <c r="AV286" s="449">
        <f t="shared" si="117"/>
        <v>12908</v>
      </c>
      <c r="AW286" s="453">
        <f t="shared" si="118"/>
        <v>537.83333333333337</v>
      </c>
      <c r="AX286" s="451">
        <f t="shared" si="119"/>
        <v>12557</v>
      </c>
      <c r="AY286" s="454">
        <f t="shared" si="120"/>
        <v>523.20833333333337</v>
      </c>
      <c r="AZ286" s="455">
        <f t="shared" si="121"/>
        <v>5547.9</v>
      </c>
      <c r="BA286" s="451">
        <f t="shared" si="122"/>
        <v>5590.1749999999993</v>
      </c>
    </row>
    <row r="287" spans="1:53">
      <c r="A287" s="614" t="s">
        <v>229</v>
      </c>
      <c r="B287" s="615" t="s">
        <v>473</v>
      </c>
      <c r="C287" s="616"/>
      <c r="D287" s="617">
        <v>199999</v>
      </c>
      <c r="E287" s="618">
        <v>5</v>
      </c>
      <c r="F287" s="491" t="s">
        <v>41</v>
      </c>
      <c r="G287" s="492" t="s">
        <v>41</v>
      </c>
      <c r="H287" s="456"/>
      <c r="I287" s="493"/>
      <c r="J287" s="456">
        <v>62517</v>
      </c>
      <c r="K287" s="493">
        <v>56953</v>
      </c>
      <c r="L287" s="456">
        <v>10577</v>
      </c>
      <c r="M287" s="493">
        <v>9755</v>
      </c>
      <c r="N287" s="456">
        <v>63589</v>
      </c>
      <c r="O287" s="493">
        <v>62494</v>
      </c>
      <c r="P287" s="449">
        <f t="shared" si="105"/>
        <v>136683</v>
      </c>
      <c r="Q287" s="450">
        <f t="shared" si="106"/>
        <v>4556.1000000000004</v>
      </c>
      <c r="R287" s="451">
        <f t="shared" si="107"/>
        <v>129202</v>
      </c>
      <c r="S287" s="452">
        <f t="shared" si="108"/>
        <v>4306.7333333333336</v>
      </c>
      <c r="T287" s="456">
        <v>0</v>
      </c>
      <c r="U287" s="493">
        <v>0</v>
      </c>
      <c r="V287" s="449">
        <f t="shared" si="109"/>
        <v>136683</v>
      </c>
      <c r="W287" s="448">
        <f t="shared" si="110"/>
        <v>129202</v>
      </c>
      <c r="X287" s="456"/>
      <c r="Y287" s="493"/>
      <c r="Z287" s="456"/>
      <c r="AA287" s="493"/>
      <c r="AB287" s="456"/>
      <c r="AC287" s="493"/>
      <c r="AD287" s="456"/>
      <c r="AE287" s="493"/>
      <c r="AF287" s="449">
        <f t="shared" si="111"/>
        <v>0</v>
      </c>
      <c r="AG287" s="450">
        <f t="shared" si="112"/>
        <v>0</v>
      </c>
      <c r="AH287" s="451">
        <f t="shared" si="113"/>
        <v>0</v>
      </c>
      <c r="AI287" s="451">
        <f t="shared" si="114"/>
        <v>0</v>
      </c>
      <c r="AJ287" s="456"/>
      <c r="AK287" s="493"/>
      <c r="AL287" s="449">
        <f t="shared" si="115"/>
        <v>0</v>
      </c>
      <c r="AM287" s="452">
        <f t="shared" si="116"/>
        <v>0</v>
      </c>
      <c r="AN287" s="456"/>
      <c r="AO287" s="493"/>
      <c r="AP287" s="456">
        <v>4402</v>
      </c>
      <c r="AQ287" s="493">
        <v>3978</v>
      </c>
      <c r="AR287" s="456">
        <v>2048</v>
      </c>
      <c r="AS287" s="493">
        <v>1982</v>
      </c>
      <c r="AT287" s="456">
        <v>4205</v>
      </c>
      <c r="AU287" s="493">
        <v>4203</v>
      </c>
      <c r="AV287" s="449">
        <f t="shared" si="117"/>
        <v>10655</v>
      </c>
      <c r="AW287" s="453">
        <f t="shared" si="118"/>
        <v>443.95833333333331</v>
      </c>
      <c r="AX287" s="451">
        <f t="shared" si="119"/>
        <v>10163</v>
      </c>
      <c r="AY287" s="454">
        <f t="shared" si="120"/>
        <v>423.45833333333331</v>
      </c>
      <c r="AZ287" s="455">
        <f t="shared" si="121"/>
        <v>5000.0583333333334</v>
      </c>
      <c r="BA287" s="451">
        <f t="shared" si="122"/>
        <v>4730.1916666666666</v>
      </c>
    </row>
    <row r="288" spans="1:53">
      <c r="A288" s="614" t="s">
        <v>229</v>
      </c>
      <c r="B288" s="615" t="s">
        <v>474</v>
      </c>
      <c r="C288" s="616"/>
      <c r="D288" s="617">
        <v>198507</v>
      </c>
      <c r="E288" s="618">
        <v>6</v>
      </c>
      <c r="F288" s="491" t="s">
        <v>41</v>
      </c>
      <c r="G288" s="492" t="s">
        <v>41</v>
      </c>
      <c r="H288" s="456"/>
      <c r="I288" s="493"/>
      <c r="J288" s="456">
        <v>29542</v>
      </c>
      <c r="K288" s="493">
        <v>22900</v>
      </c>
      <c r="L288" s="456">
        <v>5609</v>
      </c>
      <c r="M288" s="493">
        <v>4290</v>
      </c>
      <c r="N288" s="456">
        <v>25622</v>
      </c>
      <c r="O288" s="493">
        <v>21968</v>
      </c>
      <c r="P288" s="449">
        <f t="shared" si="105"/>
        <v>60773</v>
      </c>
      <c r="Q288" s="450">
        <f t="shared" si="106"/>
        <v>2025.7666666666667</v>
      </c>
      <c r="R288" s="451">
        <f t="shared" si="107"/>
        <v>49158</v>
      </c>
      <c r="S288" s="452">
        <f t="shared" si="108"/>
        <v>1638.6</v>
      </c>
      <c r="T288" s="456">
        <v>0</v>
      </c>
      <c r="U288" s="493">
        <v>0</v>
      </c>
      <c r="V288" s="449">
        <f t="shared" si="109"/>
        <v>60773</v>
      </c>
      <c r="W288" s="448">
        <f t="shared" si="110"/>
        <v>49158</v>
      </c>
      <c r="X288" s="456"/>
      <c r="Y288" s="493"/>
      <c r="Z288" s="456"/>
      <c r="AA288" s="493"/>
      <c r="AB288" s="456"/>
      <c r="AC288" s="493"/>
      <c r="AD288" s="456"/>
      <c r="AE288" s="493"/>
      <c r="AF288" s="449">
        <f t="shared" si="111"/>
        <v>0</v>
      </c>
      <c r="AG288" s="450">
        <f t="shared" si="112"/>
        <v>0</v>
      </c>
      <c r="AH288" s="451">
        <f t="shared" si="113"/>
        <v>0</v>
      </c>
      <c r="AI288" s="451">
        <f t="shared" si="114"/>
        <v>0</v>
      </c>
      <c r="AJ288" s="456"/>
      <c r="AK288" s="493"/>
      <c r="AL288" s="449">
        <f t="shared" si="115"/>
        <v>0</v>
      </c>
      <c r="AM288" s="452">
        <f t="shared" si="116"/>
        <v>0</v>
      </c>
      <c r="AN288" s="456"/>
      <c r="AO288" s="493"/>
      <c r="AP288" s="456">
        <v>459</v>
      </c>
      <c r="AQ288" s="493">
        <v>378</v>
      </c>
      <c r="AR288" s="456">
        <v>211</v>
      </c>
      <c r="AS288" s="493">
        <v>190</v>
      </c>
      <c r="AT288" s="456">
        <v>371</v>
      </c>
      <c r="AU288" s="493">
        <v>248</v>
      </c>
      <c r="AV288" s="449">
        <f t="shared" si="117"/>
        <v>1041</v>
      </c>
      <c r="AW288" s="453">
        <f t="shared" si="118"/>
        <v>43.375</v>
      </c>
      <c r="AX288" s="451">
        <f t="shared" si="119"/>
        <v>816</v>
      </c>
      <c r="AY288" s="454">
        <f t="shared" si="120"/>
        <v>34</v>
      </c>
      <c r="AZ288" s="455">
        <f t="shared" si="121"/>
        <v>2069.1416666666664</v>
      </c>
      <c r="BA288" s="451">
        <f t="shared" si="122"/>
        <v>1672.6</v>
      </c>
    </row>
    <row r="289" spans="1:53">
      <c r="A289" s="614" t="s">
        <v>229</v>
      </c>
      <c r="B289" s="615" t="s">
        <v>475</v>
      </c>
      <c r="C289" s="616"/>
      <c r="D289" s="617">
        <v>199111</v>
      </c>
      <c r="E289" s="618">
        <v>6</v>
      </c>
      <c r="F289" s="491" t="s">
        <v>41</v>
      </c>
      <c r="G289" s="492" t="s">
        <v>41</v>
      </c>
      <c r="H289" s="456"/>
      <c r="I289" s="493"/>
      <c r="J289" s="456">
        <v>46921</v>
      </c>
      <c r="K289" s="493">
        <v>46573</v>
      </c>
      <c r="L289" s="456">
        <v>4281</v>
      </c>
      <c r="M289" s="493">
        <v>4625</v>
      </c>
      <c r="N289" s="456">
        <v>49783</v>
      </c>
      <c r="O289" s="493">
        <v>51674</v>
      </c>
      <c r="P289" s="449">
        <f t="shared" si="105"/>
        <v>100985</v>
      </c>
      <c r="Q289" s="450">
        <f t="shared" si="106"/>
        <v>3366.1666666666665</v>
      </c>
      <c r="R289" s="451">
        <f t="shared" si="107"/>
        <v>102872</v>
      </c>
      <c r="S289" s="452">
        <f t="shared" si="108"/>
        <v>3429.0666666666666</v>
      </c>
      <c r="T289" s="456">
        <v>0</v>
      </c>
      <c r="U289" s="493">
        <v>0</v>
      </c>
      <c r="V289" s="449">
        <f t="shared" si="109"/>
        <v>100985</v>
      </c>
      <c r="W289" s="448">
        <f t="shared" si="110"/>
        <v>102872</v>
      </c>
      <c r="X289" s="456"/>
      <c r="Y289" s="493"/>
      <c r="Z289" s="456"/>
      <c r="AA289" s="493"/>
      <c r="AB289" s="456"/>
      <c r="AC289" s="493"/>
      <c r="AD289" s="456"/>
      <c r="AE289" s="493"/>
      <c r="AF289" s="449">
        <f t="shared" si="111"/>
        <v>0</v>
      </c>
      <c r="AG289" s="450">
        <f t="shared" si="112"/>
        <v>0</v>
      </c>
      <c r="AH289" s="451">
        <f t="shared" si="113"/>
        <v>0</v>
      </c>
      <c r="AI289" s="451">
        <f t="shared" si="114"/>
        <v>0</v>
      </c>
      <c r="AJ289" s="456"/>
      <c r="AK289" s="493"/>
      <c r="AL289" s="449">
        <f t="shared" si="115"/>
        <v>0</v>
      </c>
      <c r="AM289" s="452">
        <f t="shared" si="116"/>
        <v>0</v>
      </c>
      <c r="AN289" s="456"/>
      <c r="AO289" s="493"/>
      <c r="AP289" s="456">
        <v>171</v>
      </c>
      <c r="AQ289" s="493">
        <v>159</v>
      </c>
      <c r="AR289" s="456">
        <v>9</v>
      </c>
      <c r="AS289" s="493">
        <v>3</v>
      </c>
      <c r="AT289" s="456">
        <v>207</v>
      </c>
      <c r="AU289" s="493">
        <v>179</v>
      </c>
      <c r="AV289" s="449">
        <f t="shared" si="117"/>
        <v>387</v>
      </c>
      <c r="AW289" s="453">
        <f t="shared" si="118"/>
        <v>16.125</v>
      </c>
      <c r="AX289" s="451">
        <f t="shared" si="119"/>
        <v>341</v>
      </c>
      <c r="AY289" s="454">
        <f t="shared" si="120"/>
        <v>14.208333333333334</v>
      </c>
      <c r="AZ289" s="455">
        <f t="shared" si="121"/>
        <v>3382.2916666666665</v>
      </c>
      <c r="BA289" s="451">
        <f t="shared" si="122"/>
        <v>3443.2750000000001</v>
      </c>
    </row>
    <row r="290" spans="1:53">
      <c r="A290" s="678" t="s">
        <v>229</v>
      </c>
      <c r="B290" s="679" t="s">
        <v>602</v>
      </c>
      <c r="C290" s="680"/>
      <c r="D290" s="681">
        <v>197887</v>
      </c>
      <c r="E290" s="558">
        <v>8</v>
      </c>
      <c r="F290" s="491" t="s">
        <v>41</v>
      </c>
      <c r="G290" s="492" t="s">
        <v>41</v>
      </c>
      <c r="H290" s="456"/>
      <c r="I290" s="493"/>
      <c r="J290" s="456">
        <v>63314</v>
      </c>
      <c r="K290" s="493">
        <v>56227</v>
      </c>
      <c r="L290" s="456">
        <v>13781</v>
      </c>
      <c r="M290" s="493">
        <v>12793</v>
      </c>
      <c r="N290" s="456">
        <v>68541</v>
      </c>
      <c r="O290" s="493">
        <v>61116</v>
      </c>
      <c r="P290" s="449">
        <f t="shared" si="105"/>
        <v>145636</v>
      </c>
      <c r="Q290" s="450">
        <f t="shared" si="106"/>
        <v>4854.5333333333338</v>
      </c>
      <c r="R290" s="451">
        <f t="shared" si="107"/>
        <v>130136</v>
      </c>
      <c r="S290" s="452">
        <f t="shared" si="108"/>
        <v>4337.8666666666668</v>
      </c>
      <c r="T290" s="456">
        <v>12095</v>
      </c>
      <c r="U290" s="493">
        <v>12655</v>
      </c>
      <c r="V290" s="449">
        <f t="shared" si="109"/>
        <v>145636</v>
      </c>
      <c r="W290" s="448">
        <f t="shared" si="110"/>
        <v>130136</v>
      </c>
      <c r="X290" s="456"/>
      <c r="Y290" s="493"/>
      <c r="Z290" s="456">
        <v>257617</v>
      </c>
      <c r="AA290" s="493">
        <v>276445</v>
      </c>
      <c r="AB290" s="456">
        <v>196200</v>
      </c>
      <c r="AC290" s="493">
        <v>201298</v>
      </c>
      <c r="AD290" s="456">
        <v>332873</v>
      </c>
      <c r="AE290" s="493">
        <v>299388</v>
      </c>
      <c r="AF290" s="449">
        <f t="shared" si="111"/>
        <v>786690</v>
      </c>
      <c r="AG290" s="450">
        <f t="shared" si="112"/>
        <v>874.1</v>
      </c>
      <c r="AH290" s="451">
        <f t="shared" si="113"/>
        <v>777131</v>
      </c>
      <c r="AI290" s="451">
        <f t="shared" si="114"/>
        <v>863.47888888888883</v>
      </c>
      <c r="AJ290" s="456"/>
      <c r="AK290" s="493"/>
      <c r="AL290" s="449">
        <f t="shared" si="115"/>
        <v>0</v>
      </c>
      <c r="AM290" s="452">
        <f t="shared" si="116"/>
        <v>0</v>
      </c>
      <c r="AN290" s="456"/>
      <c r="AO290" s="493"/>
      <c r="AP290" s="456"/>
      <c r="AQ290" s="493"/>
      <c r="AR290" s="456"/>
      <c r="AS290" s="493"/>
      <c r="AT290" s="456"/>
      <c r="AU290" s="493"/>
      <c r="AV290" s="449">
        <f t="shared" si="117"/>
        <v>0</v>
      </c>
      <c r="AW290" s="453">
        <f t="shared" si="118"/>
        <v>0</v>
      </c>
      <c r="AX290" s="451">
        <f t="shared" si="119"/>
        <v>0</v>
      </c>
      <c r="AY290" s="454">
        <f t="shared" si="120"/>
        <v>0</v>
      </c>
      <c r="AZ290" s="455">
        <f t="shared" si="121"/>
        <v>5728.6333333333341</v>
      </c>
      <c r="BA290" s="451">
        <f t="shared" si="122"/>
        <v>5201.3455555555556</v>
      </c>
    </row>
    <row r="291" spans="1:53">
      <c r="A291" s="678" t="s">
        <v>229</v>
      </c>
      <c r="B291" s="679" t="s">
        <v>603</v>
      </c>
      <c r="C291" s="680"/>
      <c r="D291" s="681">
        <v>198154</v>
      </c>
      <c r="E291" s="558">
        <v>8</v>
      </c>
      <c r="F291" s="491" t="s">
        <v>41</v>
      </c>
      <c r="G291" s="492" t="s">
        <v>41</v>
      </c>
      <c r="H291" s="456"/>
      <c r="I291" s="493"/>
      <c r="J291" s="456">
        <v>87430</v>
      </c>
      <c r="K291" s="493">
        <v>84218</v>
      </c>
      <c r="L291" s="456">
        <v>22193</v>
      </c>
      <c r="M291" s="493">
        <v>21464</v>
      </c>
      <c r="N291" s="456">
        <v>93609</v>
      </c>
      <c r="O291" s="493">
        <v>90068</v>
      </c>
      <c r="P291" s="449">
        <f t="shared" si="105"/>
        <v>203232</v>
      </c>
      <c r="Q291" s="450">
        <f t="shared" si="106"/>
        <v>6774.4</v>
      </c>
      <c r="R291" s="451">
        <f t="shared" si="107"/>
        <v>195750</v>
      </c>
      <c r="S291" s="452">
        <f t="shared" si="108"/>
        <v>6525</v>
      </c>
      <c r="T291" s="456">
        <v>5389</v>
      </c>
      <c r="U291" s="493">
        <v>6372</v>
      </c>
      <c r="V291" s="449">
        <f t="shared" si="109"/>
        <v>203232</v>
      </c>
      <c r="W291" s="448">
        <f t="shared" si="110"/>
        <v>195750</v>
      </c>
      <c r="X291" s="456"/>
      <c r="Y291" s="493"/>
      <c r="Z291" s="456">
        <v>291396</v>
      </c>
      <c r="AA291" s="493">
        <v>285772</v>
      </c>
      <c r="AB291" s="456">
        <v>164144</v>
      </c>
      <c r="AC291" s="493">
        <v>133434</v>
      </c>
      <c r="AD291" s="456">
        <v>383185</v>
      </c>
      <c r="AE291" s="493">
        <v>331467</v>
      </c>
      <c r="AF291" s="449">
        <f t="shared" si="111"/>
        <v>838725</v>
      </c>
      <c r="AG291" s="450">
        <f t="shared" si="112"/>
        <v>931.91666666666663</v>
      </c>
      <c r="AH291" s="451">
        <f t="shared" si="113"/>
        <v>750673</v>
      </c>
      <c r="AI291" s="451">
        <f t="shared" si="114"/>
        <v>834.08111111111111</v>
      </c>
      <c r="AJ291" s="456"/>
      <c r="AK291" s="493"/>
      <c r="AL291" s="449">
        <f t="shared" si="115"/>
        <v>0</v>
      </c>
      <c r="AM291" s="452">
        <f t="shared" si="116"/>
        <v>0</v>
      </c>
      <c r="AN291" s="456"/>
      <c r="AO291" s="493"/>
      <c r="AP291" s="456"/>
      <c r="AQ291" s="493"/>
      <c r="AR291" s="456"/>
      <c r="AS291" s="493"/>
      <c r="AT291" s="456"/>
      <c r="AU291" s="493"/>
      <c r="AV291" s="449">
        <f t="shared" si="117"/>
        <v>0</v>
      </c>
      <c r="AW291" s="453">
        <f t="shared" si="118"/>
        <v>0</v>
      </c>
      <c r="AX291" s="451">
        <f t="shared" si="119"/>
        <v>0</v>
      </c>
      <c r="AY291" s="454">
        <f t="shared" si="120"/>
        <v>0</v>
      </c>
      <c r="AZ291" s="455">
        <f t="shared" si="121"/>
        <v>7706.3166666666666</v>
      </c>
      <c r="BA291" s="451">
        <f t="shared" si="122"/>
        <v>7359.0811111111107</v>
      </c>
    </row>
    <row r="292" spans="1:53">
      <c r="A292" s="678" t="s">
        <v>229</v>
      </c>
      <c r="B292" s="679" t="s">
        <v>604</v>
      </c>
      <c r="C292" s="680"/>
      <c r="D292" s="681">
        <v>198260</v>
      </c>
      <c r="E292" s="558">
        <v>8</v>
      </c>
      <c r="F292" s="491" t="s">
        <v>41</v>
      </c>
      <c r="G292" s="492" t="s">
        <v>41</v>
      </c>
      <c r="H292" s="456"/>
      <c r="I292" s="493"/>
      <c r="J292" s="456">
        <v>181262</v>
      </c>
      <c r="K292" s="493">
        <v>172045</v>
      </c>
      <c r="L292" s="456">
        <v>46593</v>
      </c>
      <c r="M292" s="493">
        <v>40315</v>
      </c>
      <c r="N292" s="456">
        <v>178808</v>
      </c>
      <c r="O292" s="493">
        <v>176683</v>
      </c>
      <c r="P292" s="449">
        <f t="shared" si="105"/>
        <v>406663</v>
      </c>
      <c r="Q292" s="450">
        <f t="shared" si="106"/>
        <v>13555.433333333332</v>
      </c>
      <c r="R292" s="451">
        <f t="shared" si="107"/>
        <v>389043</v>
      </c>
      <c r="S292" s="452">
        <f t="shared" si="108"/>
        <v>12968.1</v>
      </c>
      <c r="T292" s="456">
        <v>944</v>
      </c>
      <c r="U292" s="493">
        <v>250</v>
      </c>
      <c r="V292" s="449">
        <f t="shared" si="109"/>
        <v>406663</v>
      </c>
      <c r="W292" s="448">
        <f t="shared" si="110"/>
        <v>389043</v>
      </c>
      <c r="X292" s="456"/>
      <c r="Y292" s="493"/>
      <c r="Z292" s="456">
        <v>581550</v>
      </c>
      <c r="AA292" s="493">
        <v>588452</v>
      </c>
      <c r="AB292" s="456">
        <v>266602</v>
      </c>
      <c r="AC292" s="493">
        <v>277137</v>
      </c>
      <c r="AD292" s="456">
        <v>641687</v>
      </c>
      <c r="AE292" s="493">
        <v>617459</v>
      </c>
      <c r="AF292" s="449">
        <f t="shared" si="111"/>
        <v>1489839</v>
      </c>
      <c r="AG292" s="450">
        <f t="shared" si="112"/>
        <v>1655.3766666666668</v>
      </c>
      <c r="AH292" s="451">
        <f t="shared" si="113"/>
        <v>1483048</v>
      </c>
      <c r="AI292" s="451">
        <f t="shared" si="114"/>
        <v>1647.8311111111111</v>
      </c>
      <c r="AJ292" s="456"/>
      <c r="AK292" s="493"/>
      <c r="AL292" s="449">
        <f t="shared" si="115"/>
        <v>0</v>
      </c>
      <c r="AM292" s="452">
        <f t="shared" si="116"/>
        <v>0</v>
      </c>
      <c r="AN292" s="456"/>
      <c r="AO292" s="493"/>
      <c r="AP292" s="456"/>
      <c r="AQ292" s="493"/>
      <c r="AR292" s="456"/>
      <c r="AS292" s="493"/>
      <c r="AT292" s="456"/>
      <c r="AU292" s="493"/>
      <c r="AV292" s="449">
        <f t="shared" si="117"/>
        <v>0</v>
      </c>
      <c r="AW292" s="453">
        <f t="shared" si="118"/>
        <v>0</v>
      </c>
      <c r="AX292" s="451">
        <f t="shared" si="119"/>
        <v>0</v>
      </c>
      <c r="AY292" s="454">
        <f t="shared" si="120"/>
        <v>0</v>
      </c>
      <c r="AZ292" s="455">
        <f t="shared" si="121"/>
        <v>15210.81</v>
      </c>
      <c r="BA292" s="451">
        <f t="shared" si="122"/>
        <v>14615.931111111111</v>
      </c>
    </row>
    <row r="293" spans="1:53">
      <c r="A293" s="678" t="s">
        <v>229</v>
      </c>
      <c r="B293" s="679" t="s">
        <v>605</v>
      </c>
      <c r="C293" s="680"/>
      <c r="D293" s="681">
        <v>198534</v>
      </c>
      <c r="E293" s="558">
        <v>8</v>
      </c>
      <c r="F293" s="491" t="s">
        <v>41</v>
      </c>
      <c r="G293" s="492" t="s">
        <v>41</v>
      </c>
      <c r="H293" s="456"/>
      <c r="I293" s="493"/>
      <c r="J293" s="456">
        <v>112030</v>
      </c>
      <c r="K293" s="493">
        <v>111342</v>
      </c>
      <c r="L293" s="456">
        <v>30827</v>
      </c>
      <c r="M293" s="493">
        <v>29889</v>
      </c>
      <c r="N293" s="456">
        <v>116466</v>
      </c>
      <c r="O293" s="493">
        <v>112579</v>
      </c>
      <c r="P293" s="449">
        <f t="shared" si="105"/>
        <v>259323</v>
      </c>
      <c r="Q293" s="450">
        <f t="shared" si="106"/>
        <v>8644.1</v>
      </c>
      <c r="R293" s="451">
        <f t="shared" si="107"/>
        <v>253810</v>
      </c>
      <c r="S293" s="452">
        <f t="shared" si="108"/>
        <v>8460.3333333333339</v>
      </c>
      <c r="T293" s="456">
        <v>6558</v>
      </c>
      <c r="U293" s="493">
        <v>7804</v>
      </c>
      <c r="V293" s="449">
        <f t="shared" si="109"/>
        <v>259323</v>
      </c>
      <c r="W293" s="448">
        <f t="shared" si="110"/>
        <v>253810</v>
      </c>
      <c r="X293" s="456"/>
      <c r="Y293" s="493"/>
      <c r="Z293" s="456">
        <v>652375</v>
      </c>
      <c r="AA293" s="493">
        <v>647590</v>
      </c>
      <c r="AB293" s="456">
        <v>439728</v>
      </c>
      <c r="AC293" s="493">
        <v>484962</v>
      </c>
      <c r="AD293" s="456">
        <v>898158</v>
      </c>
      <c r="AE293" s="493">
        <v>909766</v>
      </c>
      <c r="AF293" s="449">
        <f t="shared" si="111"/>
        <v>1990261</v>
      </c>
      <c r="AG293" s="450">
        <f t="shared" si="112"/>
        <v>2211.4011111111113</v>
      </c>
      <c r="AH293" s="451">
        <f t="shared" si="113"/>
        <v>2042318</v>
      </c>
      <c r="AI293" s="451">
        <f t="shared" si="114"/>
        <v>2269.2422222222222</v>
      </c>
      <c r="AJ293" s="456"/>
      <c r="AK293" s="493"/>
      <c r="AL293" s="449">
        <f t="shared" si="115"/>
        <v>0</v>
      </c>
      <c r="AM293" s="452">
        <f t="shared" si="116"/>
        <v>0</v>
      </c>
      <c r="AN293" s="456"/>
      <c r="AO293" s="493"/>
      <c r="AP293" s="456"/>
      <c r="AQ293" s="493"/>
      <c r="AR293" s="456"/>
      <c r="AS293" s="493"/>
      <c r="AT293" s="456"/>
      <c r="AU293" s="493"/>
      <c r="AV293" s="449">
        <f t="shared" si="117"/>
        <v>0</v>
      </c>
      <c r="AW293" s="453">
        <f t="shared" si="118"/>
        <v>0</v>
      </c>
      <c r="AX293" s="451">
        <f t="shared" si="119"/>
        <v>0</v>
      </c>
      <c r="AY293" s="454">
        <f t="shared" si="120"/>
        <v>0</v>
      </c>
      <c r="AZ293" s="455">
        <f t="shared" si="121"/>
        <v>10855.501111111113</v>
      </c>
      <c r="BA293" s="451">
        <f t="shared" si="122"/>
        <v>10729.575555555555</v>
      </c>
    </row>
    <row r="294" spans="1:53">
      <c r="A294" s="678" t="s">
        <v>229</v>
      </c>
      <c r="B294" s="679" t="s">
        <v>606</v>
      </c>
      <c r="C294" s="680"/>
      <c r="D294" s="681">
        <v>198552</v>
      </c>
      <c r="E294" s="558">
        <v>8</v>
      </c>
      <c r="F294" s="491" t="s">
        <v>41</v>
      </c>
      <c r="G294" s="492" t="s">
        <v>41</v>
      </c>
      <c r="H294" s="456"/>
      <c r="I294" s="493"/>
      <c r="J294" s="456">
        <v>84003</v>
      </c>
      <c r="K294" s="493">
        <v>75020</v>
      </c>
      <c r="L294" s="456">
        <v>24228</v>
      </c>
      <c r="M294" s="493">
        <v>21562</v>
      </c>
      <c r="N294" s="456">
        <v>89044</v>
      </c>
      <c r="O294" s="493">
        <v>82994</v>
      </c>
      <c r="P294" s="449">
        <f t="shared" si="105"/>
        <v>197275</v>
      </c>
      <c r="Q294" s="450">
        <f t="shared" si="106"/>
        <v>6575.833333333333</v>
      </c>
      <c r="R294" s="451">
        <f t="shared" si="107"/>
        <v>179576</v>
      </c>
      <c r="S294" s="452">
        <f t="shared" si="108"/>
        <v>5985.8666666666668</v>
      </c>
      <c r="T294" s="456">
        <v>9000</v>
      </c>
      <c r="U294" s="493">
        <v>8130</v>
      </c>
      <c r="V294" s="449">
        <f t="shared" si="109"/>
        <v>197275</v>
      </c>
      <c r="W294" s="448">
        <f t="shared" si="110"/>
        <v>179576</v>
      </c>
      <c r="X294" s="456"/>
      <c r="Y294" s="493"/>
      <c r="Z294" s="456">
        <v>363570</v>
      </c>
      <c r="AA294" s="493">
        <v>337513</v>
      </c>
      <c r="AB294" s="456">
        <v>260998</v>
      </c>
      <c r="AC294" s="493">
        <v>220476</v>
      </c>
      <c r="AD294" s="456">
        <v>406791</v>
      </c>
      <c r="AE294" s="493">
        <v>351008</v>
      </c>
      <c r="AF294" s="449">
        <f t="shared" si="111"/>
        <v>1031359</v>
      </c>
      <c r="AG294" s="450">
        <f t="shared" si="112"/>
        <v>1145.9544444444443</v>
      </c>
      <c r="AH294" s="451">
        <f t="shared" si="113"/>
        <v>908997</v>
      </c>
      <c r="AI294" s="451">
        <f t="shared" si="114"/>
        <v>1009.9966666666667</v>
      </c>
      <c r="AJ294" s="456"/>
      <c r="AK294" s="493"/>
      <c r="AL294" s="449">
        <f t="shared" si="115"/>
        <v>0</v>
      </c>
      <c r="AM294" s="452">
        <f t="shared" si="116"/>
        <v>0</v>
      </c>
      <c r="AN294" s="456"/>
      <c r="AO294" s="493"/>
      <c r="AP294" s="456"/>
      <c r="AQ294" s="493"/>
      <c r="AR294" s="456"/>
      <c r="AS294" s="493"/>
      <c r="AT294" s="456"/>
      <c r="AU294" s="493"/>
      <c r="AV294" s="449">
        <f t="shared" si="117"/>
        <v>0</v>
      </c>
      <c r="AW294" s="453">
        <f t="shared" si="118"/>
        <v>0</v>
      </c>
      <c r="AX294" s="451">
        <f t="shared" si="119"/>
        <v>0</v>
      </c>
      <c r="AY294" s="454">
        <f t="shared" si="120"/>
        <v>0</v>
      </c>
      <c r="AZ294" s="455">
        <f t="shared" si="121"/>
        <v>7721.7877777777776</v>
      </c>
      <c r="BA294" s="451">
        <f t="shared" si="122"/>
        <v>6995.8633333333337</v>
      </c>
    </row>
    <row r="295" spans="1:53">
      <c r="A295" s="678" t="s">
        <v>229</v>
      </c>
      <c r="B295" s="679" t="s">
        <v>607</v>
      </c>
      <c r="C295" s="680"/>
      <c r="D295" s="681">
        <v>198622</v>
      </c>
      <c r="E295" s="558">
        <v>8</v>
      </c>
      <c r="F295" s="491" t="s">
        <v>41</v>
      </c>
      <c r="G295" s="492" t="s">
        <v>41</v>
      </c>
      <c r="H295" s="456"/>
      <c r="I295" s="493"/>
      <c r="J295" s="456">
        <v>125378</v>
      </c>
      <c r="K295" s="493">
        <v>111198</v>
      </c>
      <c r="L295" s="456">
        <v>29154</v>
      </c>
      <c r="M295" s="493">
        <v>27633</v>
      </c>
      <c r="N295" s="456">
        <v>137328</v>
      </c>
      <c r="O295" s="493">
        <v>121693</v>
      </c>
      <c r="P295" s="449">
        <f t="shared" si="105"/>
        <v>291860</v>
      </c>
      <c r="Q295" s="450">
        <f t="shared" si="106"/>
        <v>9728.6666666666661</v>
      </c>
      <c r="R295" s="451">
        <f t="shared" si="107"/>
        <v>260524</v>
      </c>
      <c r="S295" s="452">
        <f t="shared" si="108"/>
        <v>8684.1333333333332</v>
      </c>
      <c r="T295" s="456">
        <v>4612</v>
      </c>
      <c r="U295" s="493">
        <v>4378</v>
      </c>
      <c r="V295" s="449">
        <f t="shared" si="109"/>
        <v>291860</v>
      </c>
      <c r="W295" s="448">
        <f t="shared" si="110"/>
        <v>260524</v>
      </c>
      <c r="X295" s="456"/>
      <c r="Y295" s="493"/>
      <c r="Z295" s="456">
        <v>516509</v>
      </c>
      <c r="AA295" s="493">
        <v>459389</v>
      </c>
      <c r="AB295" s="456">
        <v>309166</v>
      </c>
      <c r="AC295" s="493">
        <v>259577</v>
      </c>
      <c r="AD295" s="456">
        <v>599099</v>
      </c>
      <c r="AE295" s="493">
        <v>479606</v>
      </c>
      <c r="AF295" s="449">
        <f t="shared" si="111"/>
        <v>1424774</v>
      </c>
      <c r="AG295" s="450">
        <f t="shared" si="112"/>
        <v>1583.0822222222223</v>
      </c>
      <c r="AH295" s="451">
        <f t="shared" si="113"/>
        <v>1198572</v>
      </c>
      <c r="AI295" s="451">
        <f t="shared" si="114"/>
        <v>1331.7466666666667</v>
      </c>
      <c r="AJ295" s="456"/>
      <c r="AK295" s="493"/>
      <c r="AL295" s="449">
        <f t="shared" si="115"/>
        <v>0</v>
      </c>
      <c r="AM295" s="452">
        <f t="shared" si="116"/>
        <v>0</v>
      </c>
      <c r="AN295" s="456"/>
      <c r="AO295" s="493"/>
      <c r="AP295" s="456"/>
      <c r="AQ295" s="493"/>
      <c r="AR295" s="456"/>
      <c r="AS295" s="493"/>
      <c r="AT295" s="456"/>
      <c r="AU295" s="493"/>
      <c r="AV295" s="449">
        <f t="shared" si="117"/>
        <v>0</v>
      </c>
      <c r="AW295" s="453">
        <f t="shared" si="118"/>
        <v>0</v>
      </c>
      <c r="AX295" s="451">
        <f t="shared" si="119"/>
        <v>0</v>
      </c>
      <c r="AY295" s="454">
        <f t="shared" si="120"/>
        <v>0</v>
      </c>
      <c r="AZ295" s="455">
        <f t="shared" si="121"/>
        <v>11311.748888888887</v>
      </c>
      <c r="BA295" s="451">
        <f t="shared" si="122"/>
        <v>10015.879999999999</v>
      </c>
    </row>
    <row r="296" spans="1:53">
      <c r="A296" s="678" t="s">
        <v>229</v>
      </c>
      <c r="B296" s="679" t="s">
        <v>608</v>
      </c>
      <c r="C296" s="680"/>
      <c r="D296" s="681">
        <v>199333</v>
      </c>
      <c r="E296" s="558">
        <v>8</v>
      </c>
      <c r="F296" s="491" t="s">
        <v>41</v>
      </c>
      <c r="G296" s="492" t="s">
        <v>41</v>
      </c>
      <c r="H296" s="456"/>
      <c r="I296" s="493"/>
      <c r="J296" s="456">
        <v>87791</v>
      </c>
      <c r="K296" s="493">
        <v>84153</v>
      </c>
      <c r="L296" s="456">
        <v>21804</v>
      </c>
      <c r="M296" s="493">
        <v>20721</v>
      </c>
      <c r="N296" s="456">
        <v>93330</v>
      </c>
      <c r="O296" s="493">
        <v>90830</v>
      </c>
      <c r="P296" s="449">
        <f t="shared" si="105"/>
        <v>202925</v>
      </c>
      <c r="Q296" s="450">
        <f t="shared" si="106"/>
        <v>6764.166666666667</v>
      </c>
      <c r="R296" s="451">
        <f t="shared" si="107"/>
        <v>195704</v>
      </c>
      <c r="S296" s="452">
        <f t="shared" si="108"/>
        <v>6523.4666666666662</v>
      </c>
      <c r="T296" s="456">
        <v>2948</v>
      </c>
      <c r="U296" s="493">
        <v>4303</v>
      </c>
      <c r="V296" s="449">
        <f t="shared" si="109"/>
        <v>202925</v>
      </c>
      <c r="W296" s="448">
        <f t="shared" si="110"/>
        <v>195704</v>
      </c>
      <c r="X296" s="456"/>
      <c r="Y296" s="493"/>
      <c r="Z296" s="456">
        <v>258473</v>
      </c>
      <c r="AA296" s="493">
        <v>260335</v>
      </c>
      <c r="AB296" s="456">
        <v>168869</v>
      </c>
      <c r="AC296" s="493">
        <v>130394</v>
      </c>
      <c r="AD296" s="456">
        <v>319646</v>
      </c>
      <c r="AE296" s="493">
        <v>257685</v>
      </c>
      <c r="AF296" s="449">
        <f t="shared" si="111"/>
        <v>746988</v>
      </c>
      <c r="AG296" s="450">
        <f t="shared" si="112"/>
        <v>829.98666666666668</v>
      </c>
      <c r="AH296" s="451">
        <f t="shared" si="113"/>
        <v>648414</v>
      </c>
      <c r="AI296" s="451">
        <f t="shared" si="114"/>
        <v>720.46</v>
      </c>
      <c r="AJ296" s="456"/>
      <c r="AK296" s="493"/>
      <c r="AL296" s="449">
        <f t="shared" si="115"/>
        <v>0</v>
      </c>
      <c r="AM296" s="452">
        <f t="shared" si="116"/>
        <v>0</v>
      </c>
      <c r="AN296" s="456"/>
      <c r="AO296" s="493"/>
      <c r="AP296" s="456"/>
      <c r="AQ296" s="493"/>
      <c r="AR296" s="456"/>
      <c r="AS296" s="493"/>
      <c r="AT296" s="456"/>
      <c r="AU296" s="493"/>
      <c r="AV296" s="449">
        <f t="shared" si="117"/>
        <v>0</v>
      </c>
      <c r="AW296" s="453">
        <f t="shared" si="118"/>
        <v>0</v>
      </c>
      <c r="AX296" s="451">
        <f t="shared" si="119"/>
        <v>0</v>
      </c>
      <c r="AY296" s="454">
        <f t="shared" si="120"/>
        <v>0</v>
      </c>
      <c r="AZ296" s="455">
        <f t="shared" si="121"/>
        <v>7594.1533333333336</v>
      </c>
      <c r="BA296" s="451">
        <f t="shared" si="122"/>
        <v>7243.9266666666663</v>
      </c>
    </row>
    <row r="297" spans="1:53">
      <c r="A297" s="560" t="s">
        <v>229</v>
      </c>
      <c r="B297" s="552" t="s">
        <v>609</v>
      </c>
      <c r="C297" s="682"/>
      <c r="D297" s="683">
        <v>199494</v>
      </c>
      <c r="E297" s="561">
        <v>8</v>
      </c>
      <c r="F297" s="491" t="s">
        <v>41</v>
      </c>
      <c r="G297" s="492" t="s">
        <v>41</v>
      </c>
      <c r="H297" s="456"/>
      <c r="I297" s="493"/>
      <c r="J297" s="456">
        <v>59570</v>
      </c>
      <c r="K297" s="493">
        <v>55441</v>
      </c>
      <c r="L297" s="456">
        <v>12596</v>
      </c>
      <c r="M297" s="493">
        <v>11277</v>
      </c>
      <c r="N297" s="456">
        <v>64261</v>
      </c>
      <c r="O297" s="493">
        <v>61438</v>
      </c>
      <c r="P297" s="449">
        <f t="shared" si="105"/>
        <v>136427</v>
      </c>
      <c r="Q297" s="450">
        <f t="shared" si="106"/>
        <v>4547.5666666666666</v>
      </c>
      <c r="R297" s="451">
        <f t="shared" si="107"/>
        <v>128156</v>
      </c>
      <c r="S297" s="452">
        <f t="shared" si="108"/>
        <v>4271.8666666666668</v>
      </c>
      <c r="T297" s="456">
        <v>9165</v>
      </c>
      <c r="U297" s="493">
        <v>12023</v>
      </c>
      <c r="V297" s="449">
        <f t="shared" si="109"/>
        <v>136427</v>
      </c>
      <c r="W297" s="448">
        <f t="shared" si="110"/>
        <v>128156</v>
      </c>
      <c r="X297" s="456"/>
      <c r="Y297" s="493"/>
      <c r="Z297" s="456">
        <v>292509</v>
      </c>
      <c r="AA297" s="493">
        <v>280904</v>
      </c>
      <c r="AB297" s="456">
        <v>186006</v>
      </c>
      <c r="AC297" s="493">
        <v>172879</v>
      </c>
      <c r="AD297" s="456">
        <v>330407</v>
      </c>
      <c r="AE297" s="493">
        <v>288274</v>
      </c>
      <c r="AF297" s="449">
        <f t="shared" si="111"/>
        <v>808922</v>
      </c>
      <c r="AG297" s="450">
        <f t="shared" si="112"/>
        <v>898.80222222222221</v>
      </c>
      <c r="AH297" s="451">
        <f t="shared" si="113"/>
        <v>742057</v>
      </c>
      <c r="AI297" s="451">
        <f t="shared" si="114"/>
        <v>824.50777777777773</v>
      </c>
      <c r="AJ297" s="456"/>
      <c r="AK297" s="493"/>
      <c r="AL297" s="449">
        <f t="shared" si="115"/>
        <v>0</v>
      </c>
      <c r="AM297" s="452">
        <f t="shared" si="116"/>
        <v>0</v>
      </c>
      <c r="AN297" s="456"/>
      <c r="AO297" s="493"/>
      <c r="AP297" s="456"/>
      <c r="AQ297" s="493"/>
      <c r="AR297" s="456"/>
      <c r="AS297" s="493"/>
      <c r="AT297" s="456"/>
      <c r="AU297" s="493"/>
      <c r="AV297" s="449">
        <f t="shared" si="117"/>
        <v>0</v>
      </c>
      <c r="AW297" s="453">
        <f t="shared" si="118"/>
        <v>0</v>
      </c>
      <c r="AX297" s="451">
        <f t="shared" si="119"/>
        <v>0</v>
      </c>
      <c r="AY297" s="454">
        <f t="shared" si="120"/>
        <v>0</v>
      </c>
      <c r="AZ297" s="455">
        <f t="shared" si="121"/>
        <v>5446.3688888888892</v>
      </c>
      <c r="BA297" s="451">
        <f t="shared" si="122"/>
        <v>5096.3744444444446</v>
      </c>
    </row>
    <row r="298" spans="1:53">
      <c r="A298" s="678" t="s">
        <v>229</v>
      </c>
      <c r="B298" s="679" t="s">
        <v>610</v>
      </c>
      <c r="C298" s="680"/>
      <c r="D298" s="681">
        <v>199856</v>
      </c>
      <c r="E298" s="558">
        <v>8</v>
      </c>
      <c r="F298" s="491" t="s">
        <v>41</v>
      </c>
      <c r="G298" s="492" t="s">
        <v>41</v>
      </c>
      <c r="H298" s="456"/>
      <c r="I298" s="493"/>
      <c r="J298" s="456">
        <v>195205</v>
      </c>
      <c r="K298" s="493">
        <v>193820</v>
      </c>
      <c r="L298" s="456">
        <v>44538</v>
      </c>
      <c r="M298" s="493">
        <v>43925</v>
      </c>
      <c r="N298" s="456">
        <v>196906</v>
      </c>
      <c r="O298" s="493">
        <v>200906</v>
      </c>
      <c r="P298" s="449">
        <f t="shared" si="105"/>
        <v>436649</v>
      </c>
      <c r="Q298" s="450">
        <f t="shared" si="106"/>
        <v>14554.966666666667</v>
      </c>
      <c r="R298" s="451">
        <f t="shared" si="107"/>
        <v>438651</v>
      </c>
      <c r="S298" s="452">
        <f t="shared" si="108"/>
        <v>14621.7</v>
      </c>
      <c r="T298" s="456">
        <v>5559</v>
      </c>
      <c r="U298" s="493">
        <v>6319</v>
      </c>
      <c r="V298" s="449">
        <f t="shared" si="109"/>
        <v>436649</v>
      </c>
      <c r="W298" s="448">
        <f t="shared" si="110"/>
        <v>438651</v>
      </c>
      <c r="X298" s="456"/>
      <c r="Y298" s="493"/>
      <c r="Z298" s="456">
        <v>703720</v>
      </c>
      <c r="AA298" s="493">
        <v>705650</v>
      </c>
      <c r="AB298" s="456">
        <v>652584</v>
      </c>
      <c r="AC298" s="493">
        <v>625764</v>
      </c>
      <c r="AD298" s="456">
        <v>893912</v>
      </c>
      <c r="AE298" s="493">
        <v>890273</v>
      </c>
      <c r="AF298" s="449">
        <f t="shared" si="111"/>
        <v>2250216</v>
      </c>
      <c r="AG298" s="450">
        <f t="shared" si="112"/>
        <v>2500.2399999999998</v>
      </c>
      <c r="AH298" s="451">
        <f t="shared" si="113"/>
        <v>2221687</v>
      </c>
      <c r="AI298" s="451">
        <f t="shared" si="114"/>
        <v>2468.5411111111111</v>
      </c>
      <c r="AJ298" s="456"/>
      <c r="AK298" s="493"/>
      <c r="AL298" s="449">
        <f t="shared" si="115"/>
        <v>0</v>
      </c>
      <c r="AM298" s="452">
        <f t="shared" si="116"/>
        <v>0</v>
      </c>
      <c r="AN298" s="456"/>
      <c r="AO298" s="493"/>
      <c r="AP298" s="456"/>
      <c r="AQ298" s="493"/>
      <c r="AR298" s="456"/>
      <c r="AS298" s="493"/>
      <c r="AT298" s="456"/>
      <c r="AU298" s="493"/>
      <c r="AV298" s="449">
        <f t="shared" si="117"/>
        <v>0</v>
      </c>
      <c r="AW298" s="453">
        <f t="shared" si="118"/>
        <v>0</v>
      </c>
      <c r="AX298" s="451">
        <f t="shared" si="119"/>
        <v>0</v>
      </c>
      <c r="AY298" s="454">
        <f t="shared" si="120"/>
        <v>0</v>
      </c>
      <c r="AZ298" s="455">
        <f t="shared" si="121"/>
        <v>17055.206666666665</v>
      </c>
      <c r="BA298" s="451">
        <f t="shared" si="122"/>
        <v>17090.241111111111</v>
      </c>
    </row>
    <row r="299" spans="1:53">
      <c r="A299" s="678" t="s">
        <v>229</v>
      </c>
      <c r="B299" s="684" t="s">
        <v>611</v>
      </c>
      <c r="C299" s="685"/>
      <c r="D299" s="681">
        <v>199786</v>
      </c>
      <c r="E299" s="558">
        <v>9</v>
      </c>
      <c r="F299" s="491" t="s">
        <v>41</v>
      </c>
      <c r="G299" s="492" t="s">
        <v>41</v>
      </c>
      <c r="H299" s="456"/>
      <c r="I299" s="493"/>
      <c r="J299" s="456">
        <v>39454</v>
      </c>
      <c r="K299" s="493">
        <v>38134</v>
      </c>
      <c r="L299" s="456">
        <v>7835</v>
      </c>
      <c r="M299" s="493">
        <v>9118</v>
      </c>
      <c r="N299" s="456">
        <v>41264</v>
      </c>
      <c r="O299" s="493">
        <v>40344</v>
      </c>
      <c r="P299" s="449">
        <f t="shared" si="105"/>
        <v>88553</v>
      </c>
      <c r="Q299" s="450">
        <f t="shared" si="106"/>
        <v>2951.7666666666669</v>
      </c>
      <c r="R299" s="451">
        <f t="shared" si="107"/>
        <v>87596</v>
      </c>
      <c r="S299" s="452">
        <f t="shared" si="108"/>
        <v>2919.8666666666668</v>
      </c>
      <c r="T299" s="456">
        <v>4968</v>
      </c>
      <c r="U299" s="493">
        <v>7134</v>
      </c>
      <c r="V299" s="449">
        <f t="shared" si="109"/>
        <v>88553</v>
      </c>
      <c r="W299" s="448">
        <f t="shared" si="110"/>
        <v>87596</v>
      </c>
      <c r="X299" s="456"/>
      <c r="Y299" s="493"/>
      <c r="Z299" s="456">
        <v>153641</v>
      </c>
      <c r="AA299" s="493">
        <v>172213</v>
      </c>
      <c r="AB299" s="456">
        <v>137943</v>
      </c>
      <c r="AC299" s="493">
        <v>137119</v>
      </c>
      <c r="AD299" s="456">
        <v>204625</v>
      </c>
      <c r="AE299" s="493">
        <v>184524</v>
      </c>
      <c r="AF299" s="449">
        <f t="shared" si="111"/>
        <v>496209</v>
      </c>
      <c r="AG299" s="450">
        <f t="shared" si="112"/>
        <v>551.34333333333336</v>
      </c>
      <c r="AH299" s="451">
        <f t="shared" si="113"/>
        <v>493856</v>
      </c>
      <c r="AI299" s="451">
        <f t="shared" si="114"/>
        <v>548.72888888888883</v>
      </c>
      <c r="AJ299" s="456"/>
      <c r="AK299" s="493"/>
      <c r="AL299" s="449">
        <f t="shared" si="115"/>
        <v>0</v>
      </c>
      <c r="AM299" s="452">
        <f t="shared" si="116"/>
        <v>0</v>
      </c>
      <c r="AN299" s="456"/>
      <c r="AO299" s="493"/>
      <c r="AP299" s="456"/>
      <c r="AQ299" s="493"/>
      <c r="AR299" s="456"/>
      <c r="AS299" s="493"/>
      <c r="AT299" s="456"/>
      <c r="AU299" s="493"/>
      <c r="AV299" s="449">
        <f t="shared" si="117"/>
        <v>0</v>
      </c>
      <c r="AW299" s="453">
        <f t="shared" si="118"/>
        <v>0</v>
      </c>
      <c r="AX299" s="451">
        <f t="shared" si="119"/>
        <v>0</v>
      </c>
      <c r="AY299" s="454">
        <f t="shared" si="120"/>
        <v>0</v>
      </c>
      <c r="AZ299" s="455">
        <f t="shared" si="121"/>
        <v>3503.11</v>
      </c>
      <c r="BA299" s="451">
        <f t="shared" si="122"/>
        <v>3468.5955555555556</v>
      </c>
    </row>
    <row r="300" spans="1:53">
      <c r="A300" s="678" t="s">
        <v>229</v>
      </c>
      <c r="B300" s="684" t="s">
        <v>612</v>
      </c>
      <c r="C300" s="685"/>
      <c r="D300" s="681">
        <v>198118</v>
      </c>
      <c r="E300" s="558">
        <v>9</v>
      </c>
      <c r="F300" s="491" t="s">
        <v>41</v>
      </c>
      <c r="G300" s="492" t="s">
        <v>41</v>
      </c>
      <c r="H300" s="456"/>
      <c r="I300" s="493"/>
      <c r="J300" s="456">
        <v>31403</v>
      </c>
      <c r="K300" s="493">
        <v>29424</v>
      </c>
      <c r="L300" s="456">
        <v>7326</v>
      </c>
      <c r="M300" s="493">
        <v>6867</v>
      </c>
      <c r="N300" s="456">
        <v>33061</v>
      </c>
      <c r="O300" s="493">
        <v>31354</v>
      </c>
      <c r="P300" s="449">
        <f t="shared" si="105"/>
        <v>71790</v>
      </c>
      <c r="Q300" s="450">
        <f t="shared" si="106"/>
        <v>2393</v>
      </c>
      <c r="R300" s="451">
        <f t="shared" si="107"/>
        <v>67645</v>
      </c>
      <c r="S300" s="452">
        <f t="shared" si="108"/>
        <v>2254.8333333333335</v>
      </c>
      <c r="T300" s="456">
        <v>8468</v>
      </c>
      <c r="U300" s="493">
        <v>9700</v>
      </c>
      <c r="V300" s="449">
        <f t="shared" si="109"/>
        <v>71790</v>
      </c>
      <c r="W300" s="448">
        <f t="shared" si="110"/>
        <v>67645</v>
      </c>
      <c r="X300" s="456"/>
      <c r="Y300" s="493"/>
      <c r="Z300" s="456">
        <v>209428</v>
      </c>
      <c r="AA300" s="493">
        <v>194474</v>
      </c>
      <c r="AB300" s="456">
        <v>138982</v>
      </c>
      <c r="AC300" s="493">
        <v>128868</v>
      </c>
      <c r="AD300" s="456">
        <v>266158</v>
      </c>
      <c r="AE300" s="493">
        <v>253340</v>
      </c>
      <c r="AF300" s="449">
        <f t="shared" si="111"/>
        <v>614568</v>
      </c>
      <c r="AG300" s="450">
        <f t="shared" si="112"/>
        <v>682.85333333333335</v>
      </c>
      <c r="AH300" s="451">
        <f t="shared" si="113"/>
        <v>576682</v>
      </c>
      <c r="AI300" s="451">
        <f t="shared" si="114"/>
        <v>640.75777777777773</v>
      </c>
      <c r="AJ300" s="456"/>
      <c r="AK300" s="493"/>
      <c r="AL300" s="449">
        <f t="shared" si="115"/>
        <v>0</v>
      </c>
      <c r="AM300" s="452">
        <f t="shared" si="116"/>
        <v>0</v>
      </c>
      <c r="AN300" s="456"/>
      <c r="AO300" s="493"/>
      <c r="AP300" s="456"/>
      <c r="AQ300" s="493"/>
      <c r="AR300" s="456"/>
      <c r="AS300" s="493"/>
      <c r="AT300" s="456"/>
      <c r="AU300" s="493"/>
      <c r="AV300" s="449">
        <f t="shared" si="117"/>
        <v>0</v>
      </c>
      <c r="AW300" s="453">
        <f t="shared" si="118"/>
        <v>0</v>
      </c>
      <c r="AX300" s="451">
        <f t="shared" si="119"/>
        <v>0</v>
      </c>
      <c r="AY300" s="454">
        <f t="shared" si="120"/>
        <v>0</v>
      </c>
      <c r="AZ300" s="455">
        <f t="shared" si="121"/>
        <v>3075.8533333333335</v>
      </c>
      <c r="BA300" s="451">
        <f t="shared" si="122"/>
        <v>2895.5911111111113</v>
      </c>
    </row>
    <row r="301" spans="1:53">
      <c r="A301" s="678" t="s">
        <v>229</v>
      </c>
      <c r="B301" s="684" t="s">
        <v>613</v>
      </c>
      <c r="C301" s="685"/>
      <c r="D301" s="686">
        <v>198233</v>
      </c>
      <c r="E301" s="548">
        <v>9</v>
      </c>
      <c r="F301" s="491" t="s">
        <v>41</v>
      </c>
      <c r="G301" s="492" t="s">
        <v>41</v>
      </c>
      <c r="H301" s="456"/>
      <c r="I301" s="493"/>
      <c r="J301" s="456">
        <v>37545</v>
      </c>
      <c r="K301" s="493">
        <v>37404</v>
      </c>
      <c r="L301" s="456">
        <v>9017</v>
      </c>
      <c r="M301" s="493">
        <v>8322</v>
      </c>
      <c r="N301" s="456">
        <v>39512</v>
      </c>
      <c r="O301" s="493">
        <v>41293</v>
      </c>
      <c r="P301" s="449">
        <f t="shared" si="105"/>
        <v>86074</v>
      </c>
      <c r="Q301" s="450">
        <f t="shared" si="106"/>
        <v>2869.1333333333332</v>
      </c>
      <c r="R301" s="451">
        <f t="shared" si="107"/>
        <v>87019</v>
      </c>
      <c r="S301" s="452">
        <f t="shared" si="108"/>
        <v>2900.6333333333332</v>
      </c>
      <c r="T301" s="456">
        <v>7757</v>
      </c>
      <c r="U301" s="493">
        <v>7850</v>
      </c>
      <c r="V301" s="449">
        <f t="shared" si="109"/>
        <v>86074</v>
      </c>
      <c r="W301" s="448">
        <f t="shared" si="110"/>
        <v>87019</v>
      </c>
      <c r="X301" s="456"/>
      <c r="Y301" s="493"/>
      <c r="Z301" s="456">
        <v>223680</v>
      </c>
      <c r="AA301" s="493">
        <v>209476</v>
      </c>
      <c r="AB301" s="456">
        <v>158372</v>
      </c>
      <c r="AC301" s="493">
        <v>116515</v>
      </c>
      <c r="AD301" s="456">
        <v>241618</v>
      </c>
      <c r="AE301" s="493">
        <v>208507</v>
      </c>
      <c r="AF301" s="449">
        <f t="shared" si="111"/>
        <v>623670</v>
      </c>
      <c r="AG301" s="450">
        <f t="shared" si="112"/>
        <v>692.9666666666667</v>
      </c>
      <c r="AH301" s="451">
        <f t="shared" si="113"/>
        <v>534498</v>
      </c>
      <c r="AI301" s="451">
        <f t="shared" si="114"/>
        <v>593.88666666666666</v>
      </c>
      <c r="AJ301" s="456"/>
      <c r="AK301" s="493"/>
      <c r="AL301" s="449">
        <f t="shared" si="115"/>
        <v>0</v>
      </c>
      <c r="AM301" s="452">
        <f t="shared" si="116"/>
        <v>0</v>
      </c>
      <c r="AN301" s="456"/>
      <c r="AO301" s="493"/>
      <c r="AP301" s="456"/>
      <c r="AQ301" s="493"/>
      <c r="AR301" s="456"/>
      <c r="AS301" s="493"/>
      <c r="AT301" s="456"/>
      <c r="AU301" s="493"/>
      <c r="AV301" s="449">
        <f t="shared" si="117"/>
        <v>0</v>
      </c>
      <c r="AW301" s="453">
        <f t="shared" si="118"/>
        <v>0</v>
      </c>
      <c r="AX301" s="451">
        <f t="shared" si="119"/>
        <v>0</v>
      </c>
      <c r="AY301" s="454">
        <f t="shared" si="120"/>
        <v>0</v>
      </c>
      <c r="AZ301" s="455">
        <f t="shared" si="121"/>
        <v>3562.1</v>
      </c>
      <c r="BA301" s="451">
        <f t="shared" si="122"/>
        <v>3494.52</v>
      </c>
    </row>
    <row r="302" spans="1:53">
      <c r="A302" s="678" t="s">
        <v>229</v>
      </c>
      <c r="B302" s="684" t="s">
        <v>614</v>
      </c>
      <c r="C302" s="685"/>
      <c r="D302" s="686">
        <v>198251</v>
      </c>
      <c r="E302" s="548">
        <v>9</v>
      </c>
      <c r="F302" s="491" t="s">
        <v>41</v>
      </c>
      <c r="G302" s="492" t="s">
        <v>41</v>
      </c>
      <c r="H302" s="456"/>
      <c r="I302" s="493"/>
      <c r="J302" s="456">
        <v>40598</v>
      </c>
      <c r="K302" s="493">
        <v>37944</v>
      </c>
      <c r="L302" s="456">
        <v>6543</v>
      </c>
      <c r="M302" s="493">
        <v>7820</v>
      </c>
      <c r="N302" s="456">
        <v>44917</v>
      </c>
      <c r="O302" s="493">
        <v>42924</v>
      </c>
      <c r="P302" s="449">
        <f t="shared" si="105"/>
        <v>92058</v>
      </c>
      <c r="Q302" s="450">
        <f t="shared" si="106"/>
        <v>3068.6</v>
      </c>
      <c r="R302" s="451">
        <f t="shared" si="107"/>
        <v>88688</v>
      </c>
      <c r="S302" s="452">
        <f t="shared" si="108"/>
        <v>2956.2666666666669</v>
      </c>
      <c r="T302" s="456">
        <v>8093</v>
      </c>
      <c r="U302" s="493">
        <v>11303</v>
      </c>
      <c r="V302" s="449">
        <f t="shared" si="109"/>
        <v>92058</v>
      </c>
      <c r="W302" s="448">
        <f t="shared" si="110"/>
        <v>88688</v>
      </c>
      <c r="X302" s="456"/>
      <c r="Y302" s="493"/>
      <c r="Z302" s="456">
        <v>330817</v>
      </c>
      <c r="AA302" s="493">
        <v>278945</v>
      </c>
      <c r="AB302" s="456">
        <v>217935</v>
      </c>
      <c r="AC302" s="493">
        <v>198406</v>
      </c>
      <c r="AD302" s="456">
        <v>458628</v>
      </c>
      <c r="AE302" s="493">
        <v>380460</v>
      </c>
      <c r="AF302" s="449">
        <f t="shared" si="111"/>
        <v>1007380</v>
      </c>
      <c r="AG302" s="450">
        <f t="shared" si="112"/>
        <v>1119.3111111111111</v>
      </c>
      <c r="AH302" s="451">
        <f t="shared" si="113"/>
        <v>857811</v>
      </c>
      <c r="AI302" s="451">
        <f t="shared" si="114"/>
        <v>953.12333333333333</v>
      </c>
      <c r="AJ302" s="456"/>
      <c r="AK302" s="493"/>
      <c r="AL302" s="449">
        <f t="shared" si="115"/>
        <v>0</v>
      </c>
      <c r="AM302" s="452">
        <f t="shared" si="116"/>
        <v>0</v>
      </c>
      <c r="AN302" s="456"/>
      <c r="AO302" s="493"/>
      <c r="AP302" s="456"/>
      <c r="AQ302" s="493"/>
      <c r="AR302" s="456"/>
      <c r="AS302" s="493"/>
      <c r="AT302" s="456"/>
      <c r="AU302" s="493"/>
      <c r="AV302" s="449">
        <f t="shared" si="117"/>
        <v>0</v>
      </c>
      <c r="AW302" s="453">
        <f t="shared" si="118"/>
        <v>0</v>
      </c>
      <c r="AX302" s="451">
        <f t="shared" si="119"/>
        <v>0</v>
      </c>
      <c r="AY302" s="454">
        <f t="shared" si="120"/>
        <v>0</v>
      </c>
      <c r="AZ302" s="455">
        <f t="shared" si="121"/>
        <v>4187.9111111111106</v>
      </c>
      <c r="BA302" s="451">
        <f t="shared" si="122"/>
        <v>3909.3900000000003</v>
      </c>
    </row>
    <row r="303" spans="1:53">
      <c r="A303" s="678" t="s">
        <v>229</v>
      </c>
      <c r="B303" s="684" t="s">
        <v>615</v>
      </c>
      <c r="C303" s="685"/>
      <c r="D303" s="681">
        <v>198321</v>
      </c>
      <c r="E303" s="558">
        <v>9</v>
      </c>
      <c r="F303" s="491" t="s">
        <v>41</v>
      </c>
      <c r="G303" s="492" t="s">
        <v>41</v>
      </c>
      <c r="H303" s="456"/>
      <c r="I303" s="493"/>
      <c r="J303" s="456">
        <v>24588</v>
      </c>
      <c r="K303" s="493">
        <v>21133</v>
      </c>
      <c r="L303" s="456">
        <v>3693</v>
      </c>
      <c r="M303" s="493">
        <v>3546</v>
      </c>
      <c r="N303" s="456">
        <v>27649</v>
      </c>
      <c r="O303" s="493">
        <v>24132</v>
      </c>
      <c r="P303" s="449">
        <f t="shared" si="105"/>
        <v>55930</v>
      </c>
      <c r="Q303" s="450">
        <f t="shared" si="106"/>
        <v>1864.3333333333333</v>
      </c>
      <c r="R303" s="451">
        <f t="shared" si="107"/>
        <v>48811</v>
      </c>
      <c r="S303" s="452">
        <f t="shared" si="108"/>
        <v>1627.0333333333333</v>
      </c>
      <c r="T303" s="456">
        <v>9183</v>
      </c>
      <c r="U303" s="493">
        <v>10985</v>
      </c>
      <c r="V303" s="449">
        <f t="shared" si="109"/>
        <v>55930</v>
      </c>
      <c r="W303" s="448">
        <f t="shared" si="110"/>
        <v>48811</v>
      </c>
      <c r="X303" s="456"/>
      <c r="Y303" s="493"/>
      <c r="Z303" s="456">
        <v>138157</v>
      </c>
      <c r="AA303" s="493">
        <v>127883</v>
      </c>
      <c r="AB303" s="456">
        <v>102884</v>
      </c>
      <c r="AC303" s="493">
        <v>107613</v>
      </c>
      <c r="AD303" s="456">
        <v>173327</v>
      </c>
      <c r="AE303" s="493">
        <v>165833</v>
      </c>
      <c r="AF303" s="449">
        <f t="shared" si="111"/>
        <v>414368</v>
      </c>
      <c r="AG303" s="450">
        <f t="shared" si="112"/>
        <v>460.4088888888889</v>
      </c>
      <c r="AH303" s="451">
        <f t="shared" si="113"/>
        <v>401329</v>
      </c>
      <c r="AI303" s="451">
        <f t="shared" si="114"/>
        <v>445.92111111111109</v>
      </c>
      <c r="AJ303" s="456"/>
      <c r="AK303" s="493"/>
      <c r="AL303" s="449">
        <f t="shared" si="115"/>
        <v>0</v>
      </c>
      <c r="AM303" s="452">
        <f t="shared" si="116"/>
        <v>0</v>
      </c>
      <c r="AN303" s="456"/>
      <c r="AO303" s="493"/>
      <c r="AP303" s="456"/>
      <c r="AQ303" s="493"/>
      <c r="AR303" s="456"/>
      <c r="AS303" s="493"/>
      <c r="AT303" s="456"/>
      <c r="AU303" s="493"/>
      <c r="AV303" s="449">
        <f t="shared" si="117"/>
        <v>0</v>
      </c>
      <c r="AW303" s="453">
        <f t="shared" si="118"/>
        <v>0</v>
      </c>
      <c r="AX303" s="451">
        <f t="shared" si="119"/>
        <v>0</v>
      </c>
      <c r="AY303" s="454">
        <f t="shared" si="120"/>
        <v>0</v>
      </c>
      <c r="AZ303" s="455">
        <f t="shared" si="121"/>
        <v>2324.7422222222222</v>
      </c>
      <c r="BA303" s="451">
        <f t="shared" si="122"/>
        <v>2072.9544444444446</v>
      </c>
    </row>
    <row r="304" spans="1:53">
      <c r="A304" s="678" t="s">
        <v>229</v>
      </c>
      <c r="B304" s="557" t="s">
        <v>616</v>
      </c>
      <c r="C304" s="687"/>
      <c r="D304" s="681">
        <v>198330</v>
      </c>
      <c r="E304" s="558">
        <v>9</v>
      </c>
      <c r="F304" s="491" t="s">
        <v>41</v>
      </c>
      <c r="G304" s="492" t="s">
        <v>41</v>
      </c>
      <c r="H304" s="456"/>
      <c r="I304" s="493"/>
      <c r="J304" s="456">
        <v>43460</v>
      </c>
      <c r="K304" s="493">
        <v>43196</v>
      </c>
      <c r="L304" s="456">
        <v>16980</v>
      </c>
      <c r="M304" s="493">
        <v>16005</v>
      </c>
      <c r="N304" s="456">
        <v>45313</v>
      </c>
      <c r="O304" s="493">
        <v>45362</v>
      </c>
      <c r="P304" s="449">
        <f t="shared" si="105"/>
        <v>105753</v>
      </c>
      <c r="Q304" s="450">
        <f t="shared" si="106"/>
        <v>3525.1</v>
      </c>
      <c r="R304" s="451">
        <f t="shared" si="107"/>
        <v>104563</v>
      </c>
      <c r="S304" s="452">
        <f t="shared" si="108"/>
        <v>3485.4333333333334</v>
      </c>
      <c r="T304" s="456">
        <v>824</v>
      </c>
      <c r="U304" s="493">
        <v>780</v>
      </c>
      <c r="V304" s="449">
        <f t="shared" si="109"/>
        <v>105753</v>
      </c>
      <c r="W304" s="448">
        <f t="shared" si="110"/>
        <v>104563</v>
      </c>
      <c r="X304" s="456"/>
      <c r="Y304" s="493"/>
      <c r="Z304" s="456">
        <v>192286</v>
      </c>
      <c r="AA304" s="493">
        <v>173589</v>
      </c>
      <c r="AB304" s="456">
        <v>145440</v>
      </c>
      <c r="AC304" s="493">
        <v>128148</v>
      </c>
      <c r="AD304" s="456">
        <v>247808</v>
      </c>
      <c r="AE304" s="493">
        <v>203123</v>
      </c>
      <c r="AF304" s="449">
        <f t="shared" si="111"/>
        <v>585534</v>
      </c>
      <c r="AG304" s="450">
        <f t="shared" si="112"/>
        <v>650.59333333333336</v>
      </c>
      <c r="AH304" s="451">
        <f t="shared" si="113"/>
        <v>504860</v>
      </c>
      <c r="AI304" s="451">
        <f t="shared" si="114"/>
        <v>560.95555555555552</v>
      </c>
      <c r="AJ304" s="456"/>
      <c r="AK304" s="493"/>
      <c r="AL304" s="449">
        <f t="shared" si="115"/>
        <v>0</v>
      </c>
      <c r="AM304" s="452">
        <f t="shared" si="116"/>
        <v>0</v>
      </c>
      <c r="AN304" s="456"/>
      <c r="AO304" s="493"/>
      <c r="AP304" s="456"/>
      <c r="AQ304" s="493"/>
      <c r="AR304" s="456"/>
      <c r="AS304" s="493"/>
      <c r="AT304" s="456"/>
      <c r="AU304" s="493"/>
      <c r="AV304" s="449">
        <f t="shared" si="117"/>
        <v>0</v>
      </c>
      <c r="AW304" s="453">
        <f t="shared" si="118"/>
        <v>0</v>
      </c>
      <c r="AX304" s="451">
        <f t="shared" si="119"/>
        <v>0</v>
      </c>
      <c r="AY304" s="454">
        <f t="shared" si="120"/>
        <v>0</v>
      </c>
      <c r="AZ304" s="455">
        <f t="shared" si="121"/>
        <v>4175.6933333333336</v>
      </c>
      <c r="BA304" s="451">
        <f t="shared" si="122"/>
        <v>4046.3888888888887</v>
      </c>
    </row>
    <row r="305" spans="1:53">
      <c r="A305" s="678" t="s">
        <v>229</v>
      </c>
      <c r="B305" s="679" t="s">
        <v>617</v>
      </c>
      <c r="C305" s="680"/>
      <c r="D305" s="681">
        <v>198367</v>
      </c>
      <c r="E305" s="558">
        <v>9</v>
      </c>
      <c r="F305" s="491" t="s">
        <v>41</v>
      </c>
      <c r="G305" s="492" t="s">
        <v>41</v>
      </c>
      <c r="H305" s="456"/>
      <c r="I305" s="493"/>
      <c r="J305" s="456">
        <v>28257</v>
      </c>
      <c r="K305" s="493">
        <v>25388</v>
      </c>
      <c r="L305" s="456">
        <v>7926</v>
      </c>
      <c r="M305" s="493">
        <v>6474</v>
      </c>
      <c r="N305" s="456">
        <v>29967</v>
      </c>
      <c r="O305" s="493">
        <v>26513</v>
      </c>
      <c r="P305" s="449">
        <f t="shared" si="105"/>
        <v>66150</v>
      </c>
      <c r="Q305" s="450">
        <f t="shared" si="106"/>
        <v>2205</v>
      </c>
      <c r="R305" s="451">
        <f t="shared" si="107"/>
        <v>58375</v>
      </c>
      <c r="S305" s="452">
        <f t="shared" si="108"/>
        <v>1945.8333333333333</v>
      </c>
      <c r="T305" s="456">
        <v>5097</v>
      </c>
      <c r="U305" s="493">
        <v>6385</v>
      </c>
      <c r="V305" s="449">
        <f t="shared" si="109"/>
        <v>66150</v>
      </c>
      <c r="W305" s="448">
        <f t="shared" si="110"/>
        <v>58375</v>
      </c>
      <c r="X305" s="456"/>
      <c r="Y305" s="493"/>
      <c r="Z305" s="456">
        <v>121364</v>
      </c>
      <c r="AA305" s="493">
        <v>143777</v>
      </c>
      <c r="AB305" s="456">
        <v>98370</v>
      </c>
      <c r="AC305" s="493">
        <v>76869</v>
      </c>
      <c r="AD305" s="456">
        <v>165180</v>
      </c>
      <c r="AE305" s="493">
        <v>143498</v>
      </c>
      <c r="AF305" s="449">
        <f t="shared" si="111"/>
        <v>384914</v>
      </c>
      <c r="AG305" s="450">
        <f t="shared" si="112"/>
        <v>427.68222222222221</v>
      </c>
      <c r="AH305" s="451">
        <f t="shared" si="113"/>
        <v>364144</v>
      </c>
      <c r="AI305" s="451">
        <f t="shared" si="114"/>
        <v>404.60444444444443</v>
      </c>
      <c r="AJ305" s="456"/>
      <c r="AK305" s="493"/>
      <c r="AL305" s="449">
        <f t="shared" si="115"/>
        <v>0</v>
      </c>
      <c r="AM305" s="452">
        <f t="shared" si="116"/>
        <v>0</v>
      </c>
      <c r="AN305" s="456"/>
      <c r="AO305" s="493"/>
      <c r="AP305" s="456"/>
      <c r="AQ305" s="493"/>
      <c r="AR305" s="456"/>
      <c r="AS305" s="493"/>
      <c r="AT305" s="456"/>
      <c r="AU305" s="493"/>
      <c r="AV305" s="449">
        <f t="shared" si="117"/>
        <v>0</v>
      </c>
      <c r="AW305" s="453">
        <f t="shared" si="118"/>
        <v>0</v>
      </c>
      <c r="AX305" s="451">
        <f t="shared" si="119"/>
        <v>0</v>
      </c>
      <c r="AY305" s="454">
        <f t="shared" si="120"/>
        <v>0</v>
      </c>
      <c r="AZ305" s="455">
        <f t="shared" si="121"/>
        <v>2632.6822222222222</v>
      </c>
      <c r="BA305" s="451">
        <f t="shared" si="122"/>
        <v>2350.4377777777777</v>
      </c>
    </row>
    <row r="306" spans="1:53">
      <c r="A306" s="678" t="s">
        <v>229</v>
      </c>
      <c r="B306" s="679" t="s">
        <v>618</v>
      </c>
      <c r="C306" s="680"/>
      <c r="D306" s="681">
        <v>198376</v>
      </c>
      <c r="E306" s="558">
        <v>9</v>
      </c>
      <c r="F306" s="491" t="s">
        <v>41</v>
      </c>
      <c r="G306" s="492" t="s">
        <v>41</v>
      </c>
      <c r="H306" s="456"/>
      <c r="I306" s="493"/>
      <c r="J306" s="456">
        <v>34412</v>
      </c>
      <c r="K306" s="493">
        <v>32097</v>
      </c>
      <c r="L306" s="456">
        <v>6267</v>
      </c>
      <c r="M306" s="493">
        <v>5610</v>
      </c>
      <c r="N306" s="456">
        <v>37002</v>
      </c>
      <c r="O306" s="493">
        <v>36081</v>
      </c>
      <c r="P306" s="449">
        <f t="shared" si="105"/>
        <v>77681</v>
      </c>
      <c r="Q306" s="450">
        <f t="shared" si="106"/>
        <v>2589.3666666666668</v>
      </c>
      <c r="R306" s="451">
        <f t="shared" si="107"/>
        <v>73788</v>
      </c>
      <c r="S306" s="452">
        <f t="shared" si="108"/>
        <v>2459.6</v>
      </c>
      <c r="T306" s="456">
        <v>6661</v>
      </c>
      <c r="U306" s="493">
        <v>7197</v>
      </c>
      <c r="V306" s="449">
        <f t="shared" si="109"/>
        <v>77681</v>
      </c>
      <c r="W306" s="448">
        <f t="shared" si="110"/>
        <v>73788</v>
      </c>
      <c r="X306" s="456"/>
      <c r="Y306" s="493"/>
      <c r="Z306" s="456">
        <v>163564</v>
      </c>
      <c r="AA306" s="493">
        <v>174253</v>
      </c>
      <c r="AB306" s="456">
        <v>132718</v>
      </c>
      <c r="AC306" s="493">
        <v>140374</v>
      </c>
      <c r="AD306" s="456">
        <v>217476</v>
      </c>
      <c r="AE306" s="493">
        <v>203354</v>
      </c>
      <c r="AF306" s="449">
        <f t="shared" si="111"/>
        <v>513758</v>
      </c>
      <c r="AG306" s="450">
        <f t="shared" si="112"/>
        <v>570.84222222222218</v>
      </c>
      <c r="AH306" s="451">
        <f t="shared" si="113"/>
        <v>517981</v>
      </c>
      <c r="AI306" s="451">
        <f t="shared" si="114"/>
        <v>575.53444444444449</v>
      </c>
      <c r="AJ306" s="456"/>
      <c r="AK306" s="493"/>
      <c r="AL306" s="449">
        <f t="shared" si="115"/>
        <v>0</v>
      </c>
      <c r="AM306" s="452">
        <f t="shared" si="116"/>
        <v>0</v>
      </c>
      <c r="AN306" s="456"/>
      <c r="AO306" s="493"/>
      <c r="AP306" s="456"/>
      <c r="AQ306" s="493"/>
      <c r="AR306" s="456"/>
      <c r="AS306" s="493"/>
      <c r="AT306" s="456"/>
      <c r="AU306" s="493"/>
      <c r="AV306" s="449">
        <f t="shared" si="117"/>
        <v>0</v>
      </c>
      <c r="AW306" s="453">
        <f t="shared" si="118"/>
        <v>0</v>
      </c>
      <c r="AX306" s="451">
        <f t="shared" si="119"/>
        <v>0</v>
      </c>
      <c r="AY306" s="454">
        <f t="shared" si="120"/>
        <v>0</v>
      </c>
      <c r="AZ306" s="455">
        <f t="shared" si="121"/>
        <v>3160.2088888888889</v>
      </c>
      <c r="BA306" s="451">
        <f t="shared" si="122"/>
        <v>3035.1344444444444</v>
      </c>
    </row>
    <row r="307" spans="1:53">
      <c r="A307" s="560" t="s">
        <v>229</v>
      </c>
      <c r="B307" s="684" t="s">
        <v>619</v>
      </c>
      <c r="C307" s="685"/>
      <c r="D307" s="683">
        <v>198455</v>
      </c>
      <c r="E307" s="548">
        <v>9</v>
      </c>
      <c r="F307" s="491" t="s">
        <v>41</v>
      </c>
      <c r="G307" s="492" t="s">
        <v>41</v>
      </c>
      <c r="H307" s="456"/>
      <c r="I307" s="493"/>
      <c r="J307" s="456">
        <v>44978</v>
      </c>
      <c r="K307" s="493">
        <v>42594</v>
      </c>
      <c r="L307" s="456">
        <v>10855</v>
      </c>
      <c r="M307" s="493">
        <v>10822</v>
      </c>
      <c r="N307" s="456">
        <v>47449</v>
      </c>
      <c r="O307" s="493">
        <v>44421</v>
      </c>
      <c r="P307" s="449">
        <f t="shared" si="105"/>
        <v>103282</v>
      </c>
      <c r="Q307" s="450">
        <f t="shared" si="106"/>
        <v>3442.7333333333331</v>
      </c>
      <c r="R307" s="451">
        <f t="shared" si="107"/>
        <v>97837</v>
      </c>
      <c r="S307" s="452">
        <f t="shared" si="108"/>
        <v>3261.2333333333331</v>
      </c>
      <c r="T307" s="456">
        <v>3161</v>
      </c>
      <c r="U307" s="493">
        <v>4898</v>
      </c>
      <c r="V307" s="449">
        <f t="shared" si="109"/>
        <v>103282</v>
      </c>
      <c r="W307" s="448">
        <f t="shared" si="110"/>
        <v>97837</v>
      </c>
      <c r="X307" s="456"/>
      <c r="Y307" s="493"/>
      <c r="Z307" s="456">
        <v>234333</v>
      </c>
      <c r="AA307" s="493">
        <v>208703</v>
      </c>
      <c r="AB307" s="456">
        <v>136865</v>
      </c>
      <c r="AC307" s="493">
        <v>149191</v>
      </c>
      <c r="AD307" s="456">
        <v>261315</v>
      </c>
      <c r="AE307" s="493">
        <v>248931</v>
      </c>
      <c r="AF307" s="449">
        <f t="shared" si="111"/>
        <v>632513</v>
      </c>
      <c r="AG307" s="450">
        <f t="shared" si="112"/>
        <v>702.79222222222222</v>
      </c>
      <c r="AH307" s="451">
        <f t="shared" si="113"/>
        <v>606825</v>
      </c>
      <c r="AI307" s="451">
        <f t="shared" si="114"/>
        <v>674.25</v>
      </c>
      <c r="AJ307" s="456"/>
      <c r="AK307" s="493"/>
      <c r="AL307" s="449">
        <f t="shared" si="115"/>
        <v>0</v>
      </c>
      <c r="AM307" s="452">
        <f t="shared" si="116"/>
        <v>0</v>
      </c>
      <c r="AN307" s="456"/>
      <c r="AO307" s="493"/>
      <c r="AP307" s="456"/>
      <c r="AQ307" s="493"/>
      <c r="AR307" s="456"/>
      <c r="AS307" s="493"/>
      <c r="AT307" s="456"/>
      <c r="AU307" s="493"/>
      <c r="AV307" s="449">
        <f t="shared" si="117"/>
        <v>0</v>
      </c>
      <c r="AW307" s="453">
        <f t="shared" si="118"/>
        <v>0</v>
      </c>
      <c r="AX307" s="451">
        <f t="shared" si="119"/>
        <v>0</v>
      </c>
      <c r="AY307" s="454">
        <f t="shared" si="120"/>
        <v>0</v>
      </c>
      <c r="AZ307" s="455">
        <f t="shared" si="121"/>
        <v>4145.525555555555</v>
      </c>
      <c r="BA307" s="451">
        <f t="shared" si="122"/>
        <v>3935.4833333333331</v>
      </c>
    </row>
    <row r="308" spans="1:53">
      <c r="A308" s="678" t="s">
        <v>229</v>
      </c>
      <c r="B308" s="679" t="s">
        <v>620</v>
      </c>
      <c r="C308" s="680"/>
      <c r="D308" s="681">
        <v>198491</v>
      </c>
      <c r="E308" s="558">
        <v>9</v>
      </c>
      <c r="F308" s="491" t="s">
        <v>41</v>
      </c>
      <c r="G308" s="492" t="s">
        <v>41</v>
      </c>
      <c r="H308" s="456"/>
      <c r="I308" s="493"/>
      <c r="J308" s="456">
        <v>26157</v>
      </c>
      <c r="K308" s="493">
        <v>22843</v>
      </c>
      <c r="L308" s="456">
        <v>6782</v>
      </c>
      <c r="M308" s="493">
        <v>6239</v>
      </c>
      <c r="N308" s="456">
        <v>27853</v>
      </c>
      <c r="O308" s="493">
        <v>24401</v>
      </c>
      <c r="P308" s="449">
        <f t="shared" si="105"/>
        <v>60792</v>
      </c>
      <c r="Q308" s="450">
        <f t="shared" si="106"/>
        <v>2026.4</v>
      </c>
      <c r="R308" s="451">
        <f t="shared" si="107"/>
        <v>53483</v>
      </c>
      <c r="S308" s="452">
        <f t="shared" si="108"/>
        <v>1782.7666666666667</v>
      </c>
      <c r="T308" s="456">
        <v>2842</v>
      </c>
      <c r="U308" s="493">
        <v>3302</v>
      </c>
      <c r="V308" s="449">
        <f t="shared" si="109"/>
        <v>60792</v>
      </c>
      <c r="W308" s="448">
        <f t="shared" si="110"/>
        <v>53483</v>
      </c>
      <c r="X308" s="456"/>
      <c r="Y308" s="493"/>
      <c r="Z308" s="456">
        <v>135108</v>
      </c>
      <c r="AA308" s="493">
        <v>121922</v>
      </c>
      <c r="AB308" s="456">
        <v>80470</v>
      </c>
      <c r="AC308" s="493">
        <v>50098</v>
      </c>
      <c r="AD308" s="456">
        <v>129989</v>
      </c>
      <c r="AE308" s="493">
        <v>125909</v>
      </c>
      <c r="AF308" s="449">
        <f t="shared" si="111"/>
        <v>345567</v>
      </c>
      <c r="AG308" s="450">
        <f t="shared" si="112"/>
        <v>383.96333333333331</v>
      </c>
      <c r="AH308" s="451">
        <f t="shared" si="113"/>
        <v>297929</v>
      </c>
      <c r="AI308" s="451">
        <f t="shared" si="114"/>
        <v>331.03222222222223</v>
      </c>
      <c r="AJ308" s="456"/>
      <c r="AK308" s="493"/>
      <c r="AL308" s="449">
        <f t="shared" si="115"/>
        <v>0</v>
      </c>
      <c r="AM308" s="452">
        <f t="shared" si="116"/>
        <v>0</v>
      </c>
      <c r="AN308" s="456"/>
      <c r="AO308" s="493"/>
      <c r="AP308" s="456"/>
      <c r="AQ308" s="493"/>
      <c r="AR308" s="456"/>
      <c r="AS308" s="493"/>
      <c r="AT308" s="456"/>
      <c r="AU308" s="493"/>
      <c r="AV308" s="449">
        <f t="shared" si="117"/>
        <v>0</v>
      </c>
      <c r="AW308" s="453">
        <f t="shared" si="118"/>
        <v>0</v>
      </c>
      <c r="AX308" s="451">
        <f t="shared" si="119"/>
        <v>0</v>
      </c>
      <c r="AY308" s="454">
        <f t="shared" si="120"/>
        <v>0</v>
      </c>
      <c r="AZ308" s="455">
        <f t="shared" si="121"/>
        <v>2410.3633333333332</v>
      </c>
      <c r="BA308" s="451">
        <f t="shared" si="122"/>
        <v>2113.798888888889</v>
      </c>
    </row>
    <row r="309" spans="1:53">
      <c r="A309" s="678" t="s">
        <v>229</v>
      </c>
      <c r="B309" s="684" t="s">
        <v>621</v>
      </c>
      <c r="C309" s="688"/>
      <c r="D309" s="686">
        <v>198570</v>
      </c>
      <c r="E309" s="548">
        <v>9</v>
      </c>
      <c r="F309" s="491" t="s">
        <v>41</v>
      </c>
      <c r="G309" s="492" t="s">
        <v>41</v>
      </c>
      <c r="H309" s="456"/>
      <c r="I309" s="493"/>
      <c r="J309" s="456">
        <v>53217</v>
      </c>
      <c r="K309" s="493">
        <v>48922</v>
      </c>
      <c r="L309" s="456">
        <v>11773</v>
      </c>
      <c r="M309" s="493">
        <v>11347</v>
      </c>
      <c r="N309" s="456">
        <v>58379</v>
      </c>
      <c r="O309" s="493">
        <v>54266</v>
      </c>
      <c r="P309" s="449">
        <f t="shared" si="105"/>
        <v>123369</v>
      </c>
      <c r="Q309" s="450">
        <f t="shared" si="106"/>
        <v>4112.3</v>
      </c>
      <c r="R309" s="451">
        <f t="shared" si="107"/>
        <v>114535</v>
      </c>
      <c r="S309" s="452">
        <f t="shared" si="108"/>
        <v>3817.8333333333335</v>
      </c>
      <c r="T309" s="456">
        <v>1587</v>
      </c>
      <c r="U309" s="493">
        <v>3274</v>
      </c>
      <c r="V309" s="449">
        <f t="shared" si="109"/>
        <v>123369</v>
      </c>
      <c r="W309" s="448">
        <f t="shared" si="110"/>
        <v>114535</v>
      </c>
      <c r="X309" s="456"/>
      <c r="Y309" s="493"/>
      <c r="Z309" s="456">
        <v>154344</v>
      </c>
      <c r="AA309" s="493">
        <v>132084</v>
      </c>
      <c r="AB309" s="456">
        <v>95516</v>
      </c>
      <c r="AC309" s="493">
        <v>79456</v>
      </c>
      <c r="AD309" s="456">
        <v>152499</v>
      </c>
      <c r="AE309" s="493">
        <v>139837</v>
      </c>
      <c r="AF309" s="449">
        <f t="shared" si="111"/>
        <v>402359</v>
      </c>
      <c r="AG309" s="450">
        <f t="shared" si="112"/>
        <v>447.06555555555553</v>
      </c>
      <c r="AH309" s="451">
        <f t="shared" si="113"/>
        <v>351377</v>
      </c>
      <c r="AI309" s="451">
        <f t="shared" si="114"/>
        <v>390.41888888888889</v>
      </c>
      <c r="AJ309" s="456"/>
      <c r="AK309" s="493"/>
      <c r="AL309" s="449">
        <f t="shared" si="115"/>
        <v>0</v>
      </c>
      <c r="AM309" s="452">
        <f t="shared" si="116"/>
        <v>0</v>
      </c>
      <c r="AN309" s="456"/>
      <c r="AO309" s="493"/>
      <c r="AP309" s="456"/>
      <c r="AQ309" s="493"/>
      <c r="AR309" s="456"/>
      <c r="AS309" s="493"/>
      <c r="AT309" s="456"/>
      <c r="AU309" s="493"/>
      <c r="AV309" s="449">
        <f t="shared" si="117"/>
        <v>0</v>
      </c>
      <c r="AW309" s="453">
        <f t="shared" si="118"/>
        <v>0</v>
      </c>
      <c r="AX309" s="451">
        <f t="shared" si="119"/>
        <v>0</v>
      </c>
      <c r="AY309" s="454">
        <f t="shared" si="120"/>
        <v>0</v>
      </c>
      <c r="AZ309" s="455">
        <f t="shared" si="121"/>
        <v>4559.3655555555561</v>
      </c>
      <c r="BA309" s="451">
        <f t="shared" si="122"/>
        <v>4208.2522222222224</v>
      </c>
    </row>
    <row r="310" spans="1:53">
      <c r="A310" s="678" t="s">
        <v>229</v>
      </c>
      <c r="B310" s="679" t="s">
        <v>622</v>
      </c>
      <c r="C310" s="680"/>
      <c r="D310" s="681">
        <v>198774</v>
      </c>
      <c r="E310" s="558">
        <v>9</v>
      </c>
      <c r="F310" s="491" t="s">
        <v>41</v>
      </c>
      <c r="G310" s="492" t="s">
        <v>41</v>
      </c>
      <c r="H310" s="456"/>
      <c r="I310" s="493"/>
      <c r="J310" s="456">
        <v>38100</v>
      </c>
      <c r="K310" s="493">
        <v>32635</v>
      </c>
      <c r="L310" s="456">
        <v>3146</v>
      </c>
      <c r="M310" s="493">
        <v>3495</v>
      </c>
      <c r="N310" s="456">
        <v>40062</v>
      </c>
      <c r="O310" s="493">
        <v>34394</v>
      </c>
      <c r="P310" s="449">
        <f t="shared" si="105"/>
        <v>81308</v>
      </c>
      <c r="Q310" s="450">
        <f t="shared" si="106"/>
        <v>2710.2666666666669</v>
      </c>
      <c r="R310" s="451">
        <f t="shared" si="107"/>
        <v>70524</v>
      </c>
      <c r="S310" s="452">
        <f t="shared" si="108"/>
        <v>2350.8000000000002</v>
      </c>
      <c r="T310" s="456">
        <v>8131</v>
      </c>
      <c r="U310" s="493">
        <v>10311</v>
      </c>
      <c r="V310" s="449">
        <f t="shared" si="109"/>
        <v>81308</v>
      </c>
      <c r="W310" s="448">
        <f t="shared" si="110"/>
        <v>70524</v>
      </c>
      <c r="X310" s="456"/>
      <c r="Y310" s="493"/>
      <c r="Z310" s="456">
        <v>163381</v>
      </c>
      <c r="AA310" s="493">
        <v>175510</v>
      </c>
      <c r="AB310" s="456">
        <v>145937</v>
      </c>
      <c r="AC310" s="493">
        <v>115940</v>
      </c>
      <c r="AD310" s="456">
        <v>233121</v>
      </c>
      <c r="AE310" s="493">
        <v>217644</v>
      </c>
      <c r="AF310" s="449">
        <f t="shared" si="111"/>
        <v>542439</v>
      </c>
      <c r="AG310" s="450">
        <f t="shared" si="112"/>
        <v>602.71</v>
      </c>
      <c r="AH310" s="451">
        <f t="shared" si="113"/>
        <v>509094</v>
      </c>
      <c r="AI310" s="451">
        <f t="shared" si="114"/>
        <v>565.66</v>
      </c>
      <c r="AJ310" s="456"/>
      <c r="AK310" s="493"/>
      <c r="AL310" s="449">
        <f t="shared" si="115"/>
        <v>0</v>
      </c>
      <c r="AM310" s="452">
        <f t="shared" si="116"/>
        <v>0</v>
      </c>
      <c r="AN310" s="456"/>
      <c r="AO310" s="493"/>
      <c r="AP310" s="456"/>
      <c r="AQ310" s="493"/>
      <c r="AR310" s="456"/>
      <c r="AS310" s="493"/>
      <c r="AT310" s="456"/>
      <c r="AU310" s="493"/>
      <c r="AV310" s="449">
        <f t="shared" si="117"/>
        <v>0</v>
      </c>
      <c r="AW310" s="453">
        <f t="shared" si="118"/>
        <v>0</v>
      </c>
      <c r="AX310" s="451">
        <f t="shared" si="119"/>
        <v>0</v>
      </c>
      <c r="AY310" s="454">
        <f t="shared" si="120"/>
        <v>0</v>
      </c>
      <c r="AZ310" s="455">
        <f t="shared" si="121"/>
        <v>3312.9766666666669</v>
      </c>
      <c r="BA310" s="451">
        <f t="shared" si="122"/>
        <v>2916.46</v>
      </c>
    </row>
    <row r="311" spans="1:53">
      <c r="A311" s="678" t="s">
        <v>229</v>
      </c>
      <c r="B311" s="679" t="s">
        <v>623</v>
      </c>
      <c r="C311" s="680"/>
      <c r="D311" s="681">
        <v>198817</v>
      </c>
      <c r="E311" s="558">
        <v>9</v>
      </c>
      <c r="F311" s="491" t="s">
        <v>41</v>
      </c>
      <c r="G311" s="492" t="s">
        <v>41</v>
      </c>
      <c r="H311" s="456"/>
      <c r="I311" s="493"/>
      <c r="J311" s="456">
        <v>23760</v>
      </c>
      <c r="K311" s="493">
        <v>21347</v>
      </c>
      <c r="L311" s="456">
        <v>7149</v>
      </c>
      <c r="M311" s="493">
        <v>6893</v>
      </c>
      <c r="N311" s="456">
        <v>25987</v>
      </c>
      <c r="O311" s="493">
        <v>24935</v>
      </c>
      <c r="P311" s="449">
        <f t="shared" si="105"/>
        <v>56896</v>
      </c>
      <c r="Q311" s="450">
        <f t="shared" si="106"/>
        <v>1896.5333333333333</v>
      </c>
      <c r="R311" s="451">
        <f t="shared" si="107"/>
        <v>53175</v>
      </c>
      <c r="S311" s="452">
        <f t="shared" si="108"/>
        <v>1772.5</v>
      </c>
      <c r="T311" s="456">
        <v>7463</v>
      </c>
      <c r="U311" s="493">
        <v>9797</v>
      </c>
      <c r="V311" s="449">
        <f t="shared" si="109"/>
        <v>56896</v>
      </c>
      <c r="W311" s="448">
        <f t="shared" si="110"/>
        <v>53175</v>
      </c>
      <c r="X311" s="456"/>
      <c r="Y311" s="493"/>
      <c r="Z311" s="456">
        <v>464271</v>
      </c>
      <c r="AA311" s="493">
        <v>400035</v>
      </c>
      <c r="AB311" s="456">
        <v>282840</v>
      </c>
      <c r="AC311" s="493">
        <v>309060</v>
      </c>
      <c r="AD311" s="456">
        <v>500410</v>
      </c>
      <c r="AE311" s="493">
        <v>417827</v>
      </c>
      <c r="AF311" s="449">
        <f t="shared" si="111"/>
        <v>1247521</v>
      </c>
      <c r="AG311" s="450">
        <f t="shared" si="112"/>
        <v>1386.1344444444444</v>
      </c>
      <c r="AH311" s="451">
        <f t="shared" si="113"/>
        <v>1126922</v>
      </c>
      <c r="AI311" s="451">
        <f t="shared" si="114"/>
        <v>1252.1355555555556</v>
      </c>
      <c r="AJ311" s="456"/>
      <c r="AK311" s="493"/>
      <c r="AL311" s="449">
        <f t="shared" si="115"/>
        <v>0</v>
      </c>
      <c r="AM311" s="452">
        <f t="shared" si="116"/>
        <v>0</v>
      </c>
      <c r="AN311" s="456"/>
      <c r="AO311" s="493"/>
      <c r="AP311" s="456"/>
      <c r="AQ311" s="493"/>
      <c r="AR311" s="456"/>
      <c r="AS311" s="493"/>
      <c r="AT311" s="456"/>
      <c r="AU311" s="493"/>
      <c r="AV311" s="449">
        <f t="shared" si="117"/>
        <v>0</v>
      </c>
      <c r="AW311" s="453">
        <f t="shared" si="118"/>
        <v>0</v>
      </c>
      <c r="AX311" s="451">
        <f t="shared" si="119"/>
        <v>0</v>
      </c>
      <c r="AY311" s="454">
        <f t="shared" si="120"/>
        <v>0</v>
      </c>
      <c r="AZ311" s="455">
        <f t="shared" si="121"/>
        <v>3282.6677777777777</v>
      </c>
      <c r="BA311" s="451">
        <f t="shared" si="122"/>
        <v>3024.6355555555556</v>
      </c>
    </row>
    <row r="312" spans="1:53">
      <c r="A312" s="678" t="s">
        <v>229</v>
      </c>
      <c r="B312" s="679" t="s">
        <v>624</v>
      </c>
      <c r="C312" s="680"/>
      <c r="D312" s="681">
        <v>198987</v>
      </c>
      <c r="E312" s="558">
        <v>9</v>
      </c>
      <c r="F312" s="491" t="s">
        <v>41</v>
      </c>
      <c r="G312" s="492" t="s">
        <v>41</v>
      </c>
      <c r="H312" s="456"/>
      <c r="I312" s="493"/>
      <c r="J312" s="456">
        <v>26333</v>
      </c>
      <c r="K312" s="493">
        <v>23766</v>
      </c>
      <c r="L312" s="456">
        <v>5318</v>
      </c>
      <c r="M312" s="493">
        <v>5482</v>
      </c>
      <c r="N312" s="456">
        <v>28564</v>
      </c>
      <c r="O312" s="493">
        <v>24921</v>
      </c>
      <c r="P312" s="449">
        <f t="shared" si="105"/>
        <v>60215</v>
      </c>
      <c r="Q312" s="450">
        <f t="shared" si="106"/>
        <v>2007.1666666666667</v>
      </c>
      <c r="R312" s="451">
        <f t="shared" si="107"/>
        <v>54169</v>
      </c>
      <c r="S312" s="452">
        <f t="shared" si="108"/>
        <v>1805.6333333333334</v>
      </c>
      <c r="T312" s="456">
        <v>8128</v>
      </c>
      <c r="U312" s="493">
        <v>7618</v>
      </c>
      <c r="V312" s="449">
        <f t="shared" si="109"/>
        <v>60215</v>
      </c>
      <c r="W312" s="448">
        <f t="shared" si="110"/>
        <v>54169</v>
      </c>
      <c r="X312" s="456"/>
      <c r="Y312" s="493"/>
      <c r="Z312" s="456">
        <v>110576</v>
      </c>
      <c r="AA312" s="493">
        <v>79375</v>
      </c>
      <c r="AB312" s="456">
        <v>81082</v>
      </c>
      <c r="AC312" s="493">
        <v>74119</v>
      </c>
      <c r="AD312" s="456">
        <v>171250</v>
      </c>
      <c r="AE312" s="493">
        <v>144527</v>
      </c>
      <c r="AF312" s="449">
        <f t="shared" si="111"/>
        <v>362908</v>
      </c>
      <c r="AG312" s="450">
        <f t="shared" si="112"/>
        <v>403.23111111111109</v>
      </c>
      <c r="AH312" s="451">
        <f t="shared" si="113"/>
        <v>298021</v>
      </c>
      <c r="AI312" s="451">
        <f t="shared" si="114"/>
        <v>331.13444444444445</v>
      </c>
      <c r="AJ312" s="456"/>
      <c r="AK312" s="493"/>
      <c r="AL312" s="449">
        <f t="shared" si="115"/>
        <v>0</v>
      </c>
      <c r="AM312" s="452">
        <f t="shared" si="116"/>
        <v>0</v>
      </c>
      <c r="AN312" s="456"/>
      <c r="AO312" s="493"/>
      <c r="AP312" s="456"/>
      <c r="AQ312" s="493"/>
      <c r="AR312" s="456"/>
      <c r="AS312" s="493"/>
      <c r="AT312" s="456"/>
      <c r="AU312" s="493"/>
      <c r="AV312" s="449">
        <f t="shared" si="117"/>
        <v>0</v>
      </c>
      <c r="AW312" s="453">
        <f t="shared" si="118"/>
        <v>0</v>
      </c>
      <c r="AX312" s="451">
        <f t="shared" si="119"/>
        <v>0</v>
      </c>
      <c r="AY312" s="454">
        <f t="shared" si="120"/>
        <v>0</v>
      </c>
      <c r="AZ312" s="455">
        <f t="shared" si="121"/>
        <v>2410.3977777777777</v>
      </c>
      <c r="BA312" s="451">
        <f t="shared" si="122"/>
        <v>2136.7677777777781</v>
      </c>
    </row>
    <row r="313" spans="1:53">
      <c r="A313" s="678" t="s">
        <v>229</v>
      </c>
      <c r="B313" s="679" t="s">
        <v>625</v>
      </c>
      <c r="C313" s="680"/>
      <c r="D313" s="681">
        <v>199087</v>
      </c>
      <c r="E313" s="558">
        <v>9</v>
      </c>
      <c r="F313" s="491" t="s">
        <v>41</v>
      </c>
      <c r="G313" s="492" t="s">
        <v>41</v>
      </c>
      <c r="H313" s="456"/>
      <c r="I313" s="493"/>
      <c r="J313" s="456">
        <v>29248</v>
      </c>
      <c r="K313" s="493">
        <v>27819</v>
      </c>
      <c r="L313" s="456">
        <v>6101</v>
      </c>
      <c r="M313" s="493">
        <v>6276</v>
      </c>
      <c r="N313" s="456">
        <v>28757</v>
      </c>
      <c r="O313" s="493">
        <v>30276</v>
      </c>
      <c r="P313" s="449">
        <f t="shared" si="105"/>
        <v>64106</v>
      </c>
      <c r="Q313" s="450">
        <f t="shared" si="106"/>
        <v>2136.8666666666668</v>
      </c>
      <c r="R313" s="451">
        <f t="shared" si="107"/>
        <v>64371</v>
      </c>
      <c r="S313" s="452">
        <f t="shared" si="108"/>
        <v>2145.6999999999998</v>
      </c>
      <c r="T313" s="456">
        <v>5885</v>
      </c>
      <c r="U313" s="493">
        <v>6614</v>
      </c>
      <c r="V313" s="449">
        <f t="shared" si="109"/>
        <v>64106</v>
      </c>
      <c r="W313" s="448">
        <f t="shared" si="110"/>
        <v>64371</v>
      </c>
      <c r="X313" s="456"/>
      <c r="Y313" s="493"/>
      <c r="Z313" s="456">
        <v>139816</v>
      </c>
      <c r="AA313" s="493">
        <v>134496</v>
      </c>
      <c r="AB313" s="456">
        <v>84935</v>
      </c>
      <c r="AC313" s="493">
        <v>88270</v>
      </c>
      <c r="AD313" s="456">
        <v>187783</v>
      </c>
      <c r="AE313" s="493">
        <v>171824</v>
      </c>
      <c r="AF313" s="449">
        <f t="shared" si="111"/>
        <v>412534</v>
      </c>
      <c r="AG313" s="450">
        <f t="shared" si="112"/>
        <v>458.37111111111113</v>
      </c>
      <c r="AH313" s="451">
        <f t="shared" si="113"/>
        <v>394590</v>
      </c>
      <c r="AI313" s="451">
        <f t="shared" si="114"/>
        <v>438.43333333333334</v>
      </c>
      <c r="AJ313" s="456"/>
      <c r="AK313" s="493"/>
      <c r="AL313" s="449">
        <f t="shared" si="115"/>
        <v>0</v>
      </c>
      <c r="AM313" s="452">
        <f t="shared" si="116"/>
        <v>0</v>
      </c>
      <c r="AN313" s="456"/>
      <c r="AO313" s="493"/>
      <c r="AP313" s="456"/>
      <c r="AQ313" s="493"/>
      <c r="AR313" s="456"/>
      <c r="AS313" s="493"/>
      <c r="AT313" s="456"/>
      <c r="AU313" s="493"/>
      <c r="AV313" s="449">
        <f t="shared" si="117"/>
        <v>0</v>
      </c>
      <c r="AW313" s="453">
        <f t="shared" si="118"/>
        <v>0</v>
      </c>
      <c r="AX313" s="451">
        <f t="shared" si="119"/>
        <v>0</v>
      </c>
      <c r="AY313" s="454">
        <f t="shared" si="120"/>
        <v>0</v>
      </c>
      <c r="AZ313" s="455">
        <f t="shared" si="121"/>
        <v>2595.2377777777779</v>
      </c>
      <c r="BA313" s="451">
        <f t="shared" si="122"/>
        <v>2584.1333333333332</v>
      </c>
    </row>
    <row r="314" spans="1:53">
      <c r="A314" s="678" t="s">
        <v>229</v>
      </c>
      <c r="B314" s="679" t="s">
        <v>626</v>
      </c>
      <c r="C314" s="680"/>
      <c r="D314" s="681">
        <v>199421</v>
      </c>
      <c r="E314" s="558">
        <v>9</v>
      </c>
      <c r="F314" s="491" t="s">
        <v>41</v>
      </c>
      <c r="G314" s="492" t="s">
        <v>41</v>
      </c>
      <c r="H314" s="456"/>
      <c r="I314" s="493"/>
      <c r="J314" s="456">
        <v>25306</v>
      </c>
      <c r="K314" s="493">
        <v>23150</v>
      </c>
      <c r="L314" s="456">
        <v>4767</v>
      </c>
      <c r="M314" s="493">
        <v>5221</v>
      </c>
      <c r="N314" s="456">
        <v>28143</v>
      </c>
      <c r="O314" s="493">
        <v>25853</v>
      </c>
      <c r="P314" s="449">
        <f t="shared" si="105"/>
        <v>58216</v>
      </c>
      <c r="Q314" s="450">
        <f t="shared" si="106"/>
        <v>1940.5333333333333</v>
      </c>
      <c r="R314" s="451">
        <f t="shared" si="107"/>
        <v>54224</v>
      </c>
      <c r="S314" s="452">
        <f t="shared" si="108"/>
        <v>1807.4666666666667</v>
      </c>
      <c r="T314" s="456">
        <v>5945</v>
      </c>
      <c r="U314" s="493">
        <v>6247</v>
      </c>
      <c r="V314" s="449">
        <f t="shared" si="109"/>
        <v>58216</v>
      </c>
      <c r="W314" s="448">
        <f t="shared" si="110"/>
        <v>54224</v>
      </c>
      <c r="X314" s="456"/>
      <c r="Y314" s="493"/>
      <c r="Z314" s="456">
        <v>123972</v>
      </c>
      <c r="AA314" s="493">
        <v>139552</v>
      </c>
      <c r="AB314" s="456">
        <v>110611</v>
      </c>
      <c r="AC314" s="493">
        <v>78530</v>
      </c>
      <c r="AD314" s="456">
        <v>139516</v>
      </c>
      <c r="AE314" s="493">
        <v>119574</v>
      </c>
      <c r="AF314" s="449">
        <f t="shared" si="111"/>
        <v>374099</v>
      </c>
      <c r="AG314" s="450">
        <f t="shared" si="112"/>
        <v>415.66555555555556</v>
      </c>
      <c r="AH314" s="451">
        <f t="shared" si="113"/>
        <v>337656</v>
      </c>
      <c r="AI314" s="451">
        <f t="shared" si="114"/>
        <v>375.17333333333335</v>
      </c>
      <c r="AJ314" s="456"/>
      <c r="AK314" s="493"/>
      <c r="AL314" s="449">
        <f t="shared" si="115"/>
        <v>0</v>
      </c>
      <c r="AM314" s="452">
        <f t="shared" si="116"/>
        <v>0</v>
      </c>
      <c r="AN314" s="456"/>
      <c r="AO314" s="493"/>
      <c r="AP314" s="456"/>
      <c r="AQ314" s="493"/>
      <c r="AR314" s="456"/>
      <c r="AS314" s="493"/>
      <c r="AT314" s="456"/>
      <c r="AU314" s="493"/>
      <c r="AV314" s="449">
        <f t="shared" si="117"/>
        <v>0</v>
      </c>
      <c r="AW314" s="453">
        <f t="shared" si="118"/>
        <v>0</v>
      </c>
      <c r="AX314" s="451">
        <f t="shared" si="119"/>
        <v>0</v>
      </c>
      <c r="AY314" s="454">
        <f t="shared" si="120"/>
        <v>0</v>
      </c>
      <c r="AZ314" s="455">
        <f t="shared" si="121"/>
        <v>2356.1988888888891</v>
      </c>
      <c r="BA314" s="451">
        <f t="shared" si="122"/>
        <v>2182.64</v>
      </c>
    </row>
    <row r="315" spans="1:53">
      <c r="A315" s="678" t="s">
        <v>229</v>
      </c>
      <c r="B315" s="684" t="s">
        <v>627</v>
      </c>
      <c r="C315" s="689"/>
      <c r="D315" s="686">
        <v>199449</v>
      </c>
      <c r="E315" s="550">
        <v>9</v>
      </c>
      <c r="F315" s="491" t="s">
        <v>41</v>
      </c>
      <c r="G315" s="492" t="s">
        <v>41</v>
      </c>
      <c r="H315" s="456"/>
      <c r="I315" s="493"/>
      <c r="J315" s="456">
        <v>20674</v>
      </c>
      <c r="K315" s="493">
        <v>18281</v>
      </c>
      <c r="L315" s="456">
        <v>3428</v>
      </c>
      <c r="M315" s="493">
        <v>3664</v>
      </c>
      <c r="N315" s="456">
        <v>22908</v>
      </c>
      <c r="O315" s="493">
        <v>20950</v>
      </c>
      <c r="P315" s="449">
        <f t="shared" si="105"/>
        <v>47010</v>
      </c>
      <c r="Q315" s="450">
        <f t="shared" si="106"/>
        <v>1567</v>
      </c>
      <c r="R315" s="451">
        <f t="shared" si="107"/>
        <v>42895</v>
      </c>
      <c r="S315" s="452">
        <f t="shared" si="108"/>
        <v>1429.8333333333333</v>
      </c>
      <c r="T315" s="456">
        <v>7010</v>
      </c>
      <c r="U315" s="493">
        <v>8226</v>
      </c>
      <c r="V315" s="449">
        <f t="shared" si="109"/>
        <v>47010</v>
      </c>
      <c r="W315" s="448">
        <f t="shared" si="110"/>
        <v>42895</v>
      </c>
      <c r="X315" s="456"/>
      <c r="Y315" s="493"/>
      <c r="Z315" s="456">
        <v>167050</v>
      </c>
      <c r="AA315" s="493">
        <v>210388</v>
      </c>
      <c r="AB315" s="456">
        <v>135231</v>
      </c>
      <c r="AC315" s="493">
        <v>161077</v>
      </c>
      <c r="AD315" s="456">
        <v>234079</v>
      </c>
      <c r="AE315" s="493">
        <v>194080</v>
      </c>
      <c r="AF315" s="449">
        <f t="shared" si="111"/>
        <v>536360</v>
      </c>
      <c r="AG315" s="450">
        <f t="shared" si="112"/>
        <v>595.95555555555552</v>
      </c>
      <c r="AH315" s="451">
        <f t="shared" si="113"/>
        <v>565545</v>
      </c>
      <c r="AI315" s="451">
        <f t="shared" si="114"/>
        <v>628.38333333333333</v>
      </c>
      <c r="AJ315" s="456"/>
      <c r="AK315" s="493"/>
      <c r="AL315" s="449">
        <f t="shared" si="115"/>
        <v>0</v>
      </c>
      <c r="AM315" s="452">
        <f t="shared" si="116"/>
        <v>0</v>
      </c>
      <c r="AN315" s="456"/>
      <c r="AO315" s="493"/>
      <c r="AP315" s="456"/>
      <c r="AQ315" s="493"/>
      <c r="AR315" s="456"/>
      <c r="AS315" s="493"/>
      <c r="AT315" s="456"/>
      <c r="AU315" s="493"/>
      <c r="AV315" s="449">
        <f t="shared" si="117"/>
        <v>0</v>
      </c>
      <c r="AW315" s="453">
        <f t="shared" si="118"/>
        <v>0</v>
      </c>
      <c r="AX315" s="451">
        <f t="shared" si="119"/>
        <v>0</v>
      </c>
      <c r="AY315" s="454">
        <f t="shared" si="120"/>
        <v>0</v>
      </c>
      <c r="AZ315" s="455">
        <f t="shared" si="121"/>
        <v>2162.9555555555553</v>
      </c>
      <c r="BA315" s="451">
        <f t="shared" si="122"/>
        <v>2058.2166666666667</v>
      </c>
    </row>
    <row r="316" spans="1:53">
      <c r="A316" s="678" t="s">
        <v>229</v>
      </c>
      <c r="B316" s="679" t="s">
        <v>628</v>
      </c>
      <c r="C316" s="680"/>
      <c r="D316" s="681">
        <v>199476</v>
      </c>
      <c r="E316" s="558">
        <v>9</v>
      </c>
      <c r="F316" s="491" t="s">
        <v>41</v>
      </c>
      <c r="G316" s="492" t="s">
        <v>41</v>
      </c>
      <c r="H316" s="456"/>
      <c r="I316" s="493"/>
      <c r="J316" s="456">
        <v>18060</v>
      </c>
      <c r="K316" s="493">
        <v>16800</v>
      </c>
      <c r="L316" s="456">
        <v>2718</v>
      </c>
      <c r="M316" s="493">
        <v>3401</v>
      </c>
      <c r="N316" s="456">
        <v>22389</v>
      </c>
      <c r="O316" s="493">
        <v>19295</v>
      </c>
      <c r="P316" s="449">
        <f t="shared" si="105"/>
        <v>43167</v>
      </c>
      <c r="Q316" s="450">
        <f t="shared" si="106"/>
        <v>1438.9</v>
      </c>
      <c r="R316" s="451">
        <f t="shared" si="107"/>
        <v>39496</v>
      </c>
      <c r="S316" s="452">
        <f t="shared" si="108"/>
        <v>1316.5333333333333</v>
      </c>
      <c r="T316" s="456">
        <v>2977</v>
      </c>
      <c r="U316" s="493">
        <v>3103</v>
      </c>
      <c r="V316" s="449">
        <f t="shared" si="109"/>
        <v>43167</v>
      </c>
      <c r="W316" s="448">
        <f t="shared" si="110"/>
        <v>39496</v>
      </c>
      <c r="X316" s="456"/>
      <c r="Y316" s="493"/>
      <c r="Z316" s="456">
        <v>258014</v>
      </c>
      <c r="AA316" s="493">
        <v>247616</v>
      </c>
      <c r="AB316" s="456">
        <v>147349</v>
      </c>
      <c r="AC316" s="493">
        <v>207813</v>
      </c>
      <c r="AD316" s="456">
        <v>388581</v>
      </c>
      <c r="AE316" s="493">
        <v>325139</v>
      </c>
      <c r="AF316" s="449">
        <f t="shared" si="111"/>
        <v>793944</v>
      </c>
      <c r="AG316" s="450">
        <f t="shared" si="112"/>
        <v>882.16</v>
      </c>
      <c r="AH316" s="451">
        <f t="shared" si="113"/>
        <v>780568</v>
      </c>
      <c r="AI316" s="451">
        <f t="shared" si="114"/>
        <v>867.29777777777781</v>
      </c>
      <c r="AJ316" s="456"/>
      <c r="AK316" s="493"/>
      <c r="AL316" s="449">
        <f t="shared" si="115"/>
        <v>0</v>
      </c>
      <c r="AM316" s="452">
        <f t="shared" si="116"/>
        <v>0</v>
      </c>
      <c r="AN316" s="456"/>
      <c r="AO316" s="493"/>
      <c r="AP316" s="456"/>
      <c r="AQ316" s="493"/>
      <c r="AR316" s="456"/>
      <c r="AS316" s="493"/>
      <c r="AT316" s="456"/>
      <c r="AU316" s="493"/>
      <c r="AV316" s="449">
        <f t="shared" si="117"/>
        <v>0</v>
      </c>
      <c r="AW316" s="453">
        <f t="shared" si="118"/>
        <v>0</v>
      </c>
      <c r="AX316" s="451">
        <f t="shared" si="119"/>
        <v>0</v>
      </c>
      <c r="AY316" s="454">
        <f t="shared" si="120"/>
        <v>0</v>
      </c>
      <c r="AZ316" s="455">
        <f t="shared" si="121"/>
        <v>2321.06</v>
      </c>
      <c r="BA316" s="451">
        <f t="shared" si="122"/>
        <v>2183.8311111111111</v>
      </c>
    </row>
    <row r="317" spans="1:53">
      <c r="A317" s="678" t="s">
        <v>229</v>
      </c>
      <c r="B317" s="679" t="s">
        <v>629</v>
      </c>
      <c r="C317" s="680"/>
      <c r="D317" s="681">
        <v>199634</v>
      </c>
      <c r="E317" s="558">
        <v>9</v>
      </c>
      <c r="F317" s="491" t="s">
        <v>41</v>
      </c>
      <c r="G317" s="492" t="s">
        <v>41</v>
      </c>
      <c r="H317" s="456"/>
      <c r="I317" s="493"/>
      <c r="J317" s="456">
        <v>34149</v>
      </c>
      <c r="K317" s="493">
        <v>32632</v>
      </c>
      <c r="L317" s="456">
        <v>9542</v>
      </c>
      <c r="M317" s="493">
        <v>9251</v>
      </c>
      <c r="N317" s="456">
        <v>37027</v>
      </c>
      <c r="O317" s="493">
        <v>34693</v>
      </c>
      <c r="P317" s="449">
        <f t="shared" si="105"/>
        <v>80718</v>
      </c>
      <c r="Q317" s="450">
        <f t="shared" si="106"/>
        <v>2690.6</v>
      </c>
      <c r="R317" s="451">
        <f t="shared" si="107"/>
        <v>76576</v>
      </c>
      <c r="S317" s="452">
        <f t="shared" si="108"/>
        <v>2552.5333333333333</v>
      </c>
      <c r="T317" s="456">
        <v>6753</v>
      </c>
      <c r="U317" s="493">
        <v>8130</v>
      </c>
      <c r="V317" s="449">
        <f t="shared" si="109"/>
        <v>80718</v>
      </c>
      <c r="W317" s="448">
        <f t="shared" si="110"/>
        <v>76576</v>
      </c>
      <c r="X317" s="456"/>
      <c r="Y317" s="493"/>
      <c r="Z317" s="456">
        <v>186643</v>
      </c>
      <c r="AA317" s="493">
        <v>156632</v>
      </c>
      <c r="AB317" s="456">
        <v>110955</v>
      </c>
      <c r="AC317" s="493">
        <v>104680</v>
      </c>
      <c r="AD317" s="456">
        <v>205482</v>
      </c>
      <c r="AE317" s="493">
        <v>184818</v>
      </c>
      <c r="AF317" s="449">
        <f t="shared" si="111"/>
        <v>503080</v>
      </c>
      <c r="AG317" s="450">
        <f t="shared" si="112"/>
        <v>558.97777777777776</v>
      </c>
      <c r="AH317" s="451">
        <f t="shared" si="113"/>
        <v>446130</v>
      </c>
      <c r="AI317" s="451">
        <f t="shared" si="114"/>
        <v>495.7</v>
      </c>
      <c r="AJ317" s="456"/>
      <c r="AK317" s="493"/>
      <c r="AL317" s="449">
        <f t="shared" si="115"/>
        <v>0</v>
      </c>
      <c r="AM317" s="452">
        <f t="shared" si="116"/>
        <v>0</v>
      </c>
      <c r="AN317" s="456"/>
      <c r="AO317" s="493"/>
      <c r="AP317" s="456"/>
      <c r="AQ317" s="493"/>
      <c r="AR317" s="456"/>
      <c r="AS317" s="493"/>
      <c r="AT317" s="456"/>
      <c r="AU317" s="493"/>
      <c r="AV317" s="449">
        <f t="shared" si="117"/>
        <v>0</v>
      </c>
      <c r="AW317" s="453">
        <f t="shared" si="118"/>
        <v>0</v>
      </c>
      <c r="AX317" s="451">
        <f t="shared" si="119"/>
        <v>0</v>
      </c>
      <c r="AY317" s="454">
        <f t="shared" si="120"/>
        <v>0</v>
      </c>
      <c r="AZ317" s="455">
        <f t="shared" si="121"/>
        <v>3249.5777777777776</v>
      </c>
      <c r="BA317" s="451">
        <f t="shared" si="122"/>
        <v>3048.2333333333331</v>
      </c>
    </row>
    <row r="318" spans="1:53">
      <c r="A318" s="678" t="s">
        <v>229</v>
      </c>
      <c r="B318" s="679" t="s">
        <v>630</v>
      </c>
      <c r="C318" s="680"/>
      <c r="D318" s="681">
        <v>199740</v>
      </c>
      <c r="E318" s="558">
        <v>9</v>
      </c>
      <c r="F318" s="491" t="s">
        <v>41</v>
      </c>
      <c r="G318" s="492" t="s">
        <v>41</v>
      </c>
      <c r="H318" s="456"/>
      <c r="I318" s="493"/>
      <c r="J318" s="456">
        <v>23274</v>
      </c>
      <c r="K318" s="493">
        <v>23185</v>
      </c>
      <c r="L318" s="456">
        <v>5702</v>
      </c>
      <c r="M318" s="493">
        <v>5257</v>
      </c>
      <c r="N318" s="456">
        <v>24867</v>
      </c>
      <c r="O318" s="493">
        <v>25313</v>
      </c>
      <c r="P318" s="449">
        <f t="shared" si="105"/>
        <v>53843</v>
      </c>
      <c r="Q318" s="450">
        <f t="shared" si="106"/>
        <v>1794.7666666666667</v>
      </c>
      <c r="R318" s="451">
        <f t="shared" si="107"/>
        <v>53755</v>
      </c>
      <c r="S318" s="452">
        <f t="shared" si="108"/>
        <v>1791.8333333333333</v>
      </c>
      <c r="T318" s="456">
        <v>4791</v>
      </c>
      <c r="U318" s="493">
        <v>2925</v>
      </c>
      <c r="V318" s="449">
        <f t="shared" si="109"/>
        <v>53843</v>
      </c>
      <c r="W318" s="448">
        <f t="shared" si="110"/>
        <v>53755</v>
      </c>
      <c r="X318" s="456"/>
      <c r="Y318" s="493"/>
      <c r="Z318" s="456">
        <v>136299</v>
      </c>
      <c r="AA318" s="493">
        <v>139033</v>
      </c>
      <c r="AB318" s="456">
        <v>102813</v>
      </c>
      <c r="AC318" s="493">
        <v>98465</v>
      </c>
      <c r="AD318" s="456">
        <v>151923</v>
      </c>
      <c r="AE318" s="493">
        <v>161073</v>
      </c>
      <c r="AF318" s="449">
        <f t="shared" si="111"/>
        <v>391035</v>
      </c>
      <c r="AG318" s="450">
        <f t="shared" si="112"/>
        <v>434.48333333333335</v>
      </c>
      <c r="AH318" s="451">
        <f t="shared" si="113"/>
        <v>398571</v>
      </c>
      <c r="AI318" s="451">
        <f t="shared" si="114"/>
        <v>442.85666666666668</v>
      </c>
      <c r="AJ318" s="456"/>
      <c r="AK318" s="493"/>
      <c r="AL318" s="449">
        <f t="shared" si="115"/>
        <v>0</v>
      </c>
      <c r="AM318" s="452">
        <f t="shared" si="116"/>
        <v>0</v>
      </c>
      <c r="AN318" s="456"/>
      <c r="AO318" s="493"/>
      <c r="AP318" s="456"/>
      <c r="AQ318" s="493"/>
      <c r="AR318" s="456"/>
      <c r="AS318" s="493"/>
      <c r="AT318" s="456"/>
      <c r="AU318" s="493"/>
      <c r="AV318" s="449">
        <f t="shared" si="117"/>
        <v>0</v>
      </c>
      <c r="AW318" s="453">
        <f t="shared" si="118"/>
        <v>0</v>
      </c>
      <c r="AX318" s="451">
        <f t="shared" si="119"/>
        <v>0</v>
      </c>
      <c r="AY318" s="454">
        <f t="shared" si="120"/>
        <v>0</v>
      </c>
      <c r="AZ318" s="455">
        <f t="shared" si="121"/>
        <v>2229.25</v>
      </c>
      <c r="BA318" s="451">
        <f t="shared" si="122"/>
        <v>2234.69</v>
      </c>
    </row>
    <row r="319" spans="1:53">
      <c r="A319" s="678" t="s">
        <v>229</v>
      </c>
      <c r="B319" s="679" t="s">
        <v>631</v>
      </c>
      <c r="C319" s="680"/>
      <c r="D319" s="681">
        <v>199768</v>
      </c>
      <c r="E319" s="558">
        <v>9</v>
      </c>
      <c r="F319" s="491" t="s">
        <v>41</v>
      </c>
      <c r="G319" s="492" t="s">
        <v>41</v>
      </c>
      <c r="H319" s="456"/>
      <c r="I319" s="493"/>
      <c r="J319" s="456">
        <v>26367</v>
      </c>
      <c r="K319" s="493">
        <v>24646</v>
      </c>
      <c r="L319" s="456">
        <v>4118</v>
      </c>
      <c r="M319" s="493">
        <v>3912</v>
      </c>
      <c r="N319" s="456">
        <v>29317</v>
      </c>
      <c r="O319" s="493">
        <v>26647</v>
      </c>
      <c r="P319" s="449">
        <f t="shared" si="105"/>
        <v>59802</v>
      </c>
      <c r="Q319" s="450">
        <f t="shared" si="106"/>
        <v>1993.4</v>
      </c>
      <c r="R319" s="451">
        <f t="shared" si="107"/>
        <v>55205</v>
      </c>
      <c r="S319" s="452">
        <f t="shared" si="108"/>
        <v>1840.1666666666667</v>
      </c>
      <c r="T319" s="456">
        <v>10390</v>
      </c>
      <c r="U319" s="493">
        <v>10146</v>
      </c>
      <c r="V319" s="449">
        <f t="shared" si="109"/>
        <v>59802</v>
      </c>
      <c r="W319" s="448">
        <f t="shared" si="110"/>
        <v>55205</v>
      </c>
      <c r="X319" s="456"/>
      <c r="Y319" s="493"/>
      <c r="Z319" s="456">
        <v>134349</v>
      </c>
      <c r="AA319" s="493">
        <v>138334</v>
      </c>
      <c r="AB319" s="456">
        <v>114957</v>
      </c>
      <c r="AC319" s="493">
        <v>110297</v>
      </c>
      <c r="AD319" s="456">
        <v>203617</v>
      </c>
      <c r="AE319" s="493">
        <v>179938</v>
      </c>
      <c r="AF319" s="449">
        <f t="shared" si="111"/>
        <v>452923</v>
      </c>
      <c r="AG319" s="450">
        <f t="shared" si="112"/>
        <v>503.2477777777778</v>
      </c>
      <c r="AH319" s="451">
        <f t="shared" si="113"/>
        <v>428569</v>
      </c>
      <c r="AI319" s="451">
        <f t="shared" si="114"/>
        <v>476.1877777777778</v>
      </c>
      <c r="AJ319" s="456"/>
      <c r="AK319" s="493"/>
      <c r="AL319" s="449">
        <f t="shared" si="115"/>
        <v>0</v>
      </c>
      <c r="AM319" s="452">
        <f t="shared" si="116"/>
        <v>0</v>
      </c>
      <c r="AN319" s="456"/>
      <c r="AO319" s="493"/>
      <c r="AP319" s="456"/>
      <c r="AQ319" s="493"/>
      <c r="AR319" s="456"/>
      <c r="AS319" s="493"/>
      <c r="AT319" s="456"/>
      <c r="AU319" s="493"/>
      <c r="AV319" s="449">
        <f t="shared" si="117"/>
        <v>0</v>
      </c>
      <c r="AW319" s="453">
        <f t="shared" si="118"/>
        <v>0</v>
      </c>
      <c r="AX319" s="451">
        <f t="shared" si="119"/>
        <v>0</v>
      </c>
      <c r="AY319" s="454">
        <f t="shared" si="120"/>
        <v>0</v>
      </c>
      <c r="AZ319" s="455">
        <f t="shared" si="121"/>
        <v>2496.6477777777777</v>
      </c>
      <c r="BA319" s="451">
        <f t="shared" si="122"/>
        <v>2316.3544444444447</v>
      </c>
    </row>
    <row r="320" spans="1:53">
      <c r="A320" s="678" t="s">
        <v>229</v>
      </c>
      <c r="B320" s="679" t="s">
        <v>632</v>
      </c>
      <c r="C320" s="680"/>
      <c r="D320" s="681">
        <v>199838</v>
      </c>
      <c r="E320" s="558">
        <v>9</v>
      </c>
      <c r="F320" s="491" t="s">
        <v>41</v>
      </c>
      <c r="G320" s="492" t="s">
        <v>41</v>
      </c>
      <c r="H320" s="456"/>
      <c r="I320" s="493"/>
      <c r="J320" s="456">
        <v>28610</v>
      </c>
      <c r="K320" s="493">
        <v>25600</v>
      </c>
      <c r="L320" s="456">
        <v>4023</v>
      </c>
      <c r="M320" s="493">
        <v>3675</v>
      </c>
      <c r="N320" s="456">
        <v>31080</v>
      </c>
      <c r="O320" s="493">
        <v>26575</v>
      </c>
      <c r="P320" s="449">
        <f t="shared" si="105"/>
        <v>63713</v>
      </c>
      <c r="Q320" s="450">
        <f t="shared" si="106"/>
        <v>2123.7666666666669</v>
      </c>
      <c r="R320" s="451">
        <f t="shared" si="107"/>
        <v>55850</v>
      </c>
      <c r="S320" s="452">
        <f t="shared" si="108"/>
        <v>1861.6666666666667</v>
      </c>
      <c r="T320" s="456">
        <v>10556</v>
      </c>
      <c r="U320" s="493">
        <v>9970</v>
      </c>
      <c r="V320" s="449">
        <f t="shared" si="109"/>
        <v>63713</v>
      </c>
      <c r="W320" s="448">
        <f t="shared" si="110"/>
        <v>55850</v>
      </c>
      <c r="X320" s="456"/>
      <c r="Y320" s="493"/>
      <c r="Z320" s="456">
        <v>189544</v>
      </c>
      <c r="AA320" s="493">
        <v>164131</v>
      </c>
      <c r="AB320" s="456">
        <v>143610</v>
      </c>
      <c r="AC320" s="493">
        <v>133045</v>
      </c>
      <c r="AD320" s="456">
        <v>231700</v>
      </c>
      <c r="AE320" s="493">
        <v>219290</v>
      </c>
      <c r="AF320" s="449">
        <f t="shared" si="111"/>
        <v>564854</v>
      </c>
      <c r="AG320" s="450">
        <f t="shared" si="112"/>
        <v>627.6155555555556</v>
      </c>
      <c r="AH320" s="451">
        <f t="shared" si="113"/>
        <v>516466</v>
      </c>
      <c r="AI320" s="451">
        <f t="shared" si="114"/>
        <v>573.85111111111109</v>
      </c>
      <c r="AJ320" s="456"/>
      <c r="AK320" s="493"/>
      <c r="AL320" s="449">
        <f t="shared" si="115"/>
        <v>0</v>
      </c>
      <c r="AM320" s="452">
        <f t="shared" si="116"/>
        <v>0</v>
      </c>
      <c r="AN320" s="456"/>
      <c r="AO320" s="493"/>
      <c r="AP320" s="456"/>
      <c r="AQ320" s="493"/>
      <c r="AR320" s="456"/>
      <c r="AS320" s="493"/>
      <c r="AT320" s="456"/>
      <c r="AU320" s="493"/>
      <c r="AV320" s="449">
        <f t="shared" si="117"/>
        <v>0</v>
      </c>
      <c r="AW320" s="453">
        <f t="shared" si="118"/>
        <v>0</v>
      </c>
      <c r="AX320" s="451">
        <f t="shared" si="119"/>
        <v>0</v>
      </c>
      <c r="AY320" s="454">
        <f t="shared" si="120"/>
        <v>0</v>
      </c>
      <c r="AZ320" s="455">
        <f t="shared" si="121"/>
        <v>2751.3822222222225</v>
      </c>
      <c r="BA320" s="451">
        <f t="shared" si="122"/>
        <v>2435.5177777777781</v>
      </c>
    </row>
    <row r="321" spans="1:53">
      <c r="A321" s="678" t="s">
        <v>229</v>
      </c>
      <c r="B321" s="679" t="s">
        <v>633</v>
      </c>
      <c r="C321" s="680"/>
      <c r="D321" s="681">
        <v>199892</v>
      </c>
      <c r="E321" s="558">
        <v>9</v>
      </c>
      <c r="F321" s="491" t="s">
        <v>41</v>
      </c>
      <c r="G321" s="492" t="s">
        <v>41</v>
      </c>
      <c r="H321" s="456"/>
      <c r="I321" s="493"/>
      <c r="J321" s="456">
        <v>34724</v>
      </c>
      <c r="K321" s="493">
        <v>30148</v>
      </c>
      <c r="L321" s="456">
        <v>7737</v>
      </c>
      <c r="M321" s="493">
        <v>6366</v>
      </c>
      <c r="N321" s="456">
        <v>37243</v>
      </c>
      <c r="O321" s="493">
        <v>32054</v>
      </c>
      <c r="P321" s="449">
        <f t="shared" si="105"/>
        <v>79704</v>
      </c>
      <c r="Q321" s="450">
        <f t="shared" si="106"/>
        <v>2656.8</v>
      </c>
      <c r="R321" s="451">
        <f t="shared" si="107"/>
        <v>68568</v>
      </c>
      <c r="S321" s="452">
        <f t="shared" si="108"/>
        <v>2285.6</v>
      </c>
      <c r="T321" s="456">
        <v>8253</v>
      </c>
      <c r="U321" s="493">
        <v>7880</v>
      </c>
      <c r="V321" s="449">
        <f t="shared" si="109"/>
        <v>79704</v>
      </c>
      <c r="W321" s="448">
        <f t="shared" si="110"/>
        <v>68568</v>
      </c>
      <c r="X321" s="456"/>
      <c r="Y321" s="493"/>
      <c r="Z321" s="456">
        <v>159864</v>
      </c>
      <c r="AA321" s="493">
        <v>145781</v>
      </c>
      <c r="AB321" s="456">
        <v>122006</v>
      </c>
      <c r="AC321" s="493">
        <v>101034</v>
      </c>
      <c r="AD321" s="456">
        <v>175857</v>
      </c>
      <c r="AE321" s="493">
        <v>184190</v>
      </c>
      <c r="AF321" s="449">
        <f t="shared" si="111"/>
        <v>457727</v>
      </c>
      <c r="AG321" s="450">
        <f t="shared" si="112"/>
        <v>508.58555555555557</v>
      </c>
      <c r="AH321" s="451">
        <f t="shared" si="113"/>
        <v>431005</v>
      </c>
      <c r="AI321" s="451">
        <f t="shared" si="114"/>
        <v>478.89444444444445</v>
      </c>
      <c r="AJ321" s="456"/>
      <c r="AK321" s="493"/>
      <c r="AL321" s="449">
        <f t="shared" si="115"/>
        <v>0</v>
      </c>
      <c r="AM321" s="452">
        <f t="shared" si="116"/>
        <v>0</v>
      </c>
      <c r="AN321" s="456"/>
      <c r="AO321" s="493"/>
      <c r="AP321" s="456"/>
      <c r="AQ321" s="493"/>
      <c r="AR321" s="456"/>
      <c r="AS321" s="493"/>
      <c r="AT321" s="456"/>
      <c r="AU321" s="493"/>
      <c r="AV321" s="449">
        <f t="shared" si="117"/>
        <v>0</v>
      </c>
      <c r="AW321" s="453">
        <f t="shared" si="118"/>
        <v>0</v>
      </c>
      <c r="AX321" s="451">
        <f t="shared" si="119"/>
        <v>0</v>
      </c>
      <c r="AY321" s="454">
        <f t="shared" si="120"/>
        <v>0</v>
      </c>
      <c r="AZ321" s="455">
        <f t="shared" si="121"/>
        <v>3165.3855555555556</v>
      </c>
      <c r="BA321" s="451">
        <f t="shared" si="122"/>
        <v>2764.4944444444445</v>
      </c>
    </row>
    <row r="322" spans="1:53">
      <c r="A322" s="678" t="s">
        <v>229</v>
      </c>
      <c r="B322" s="679" t="s">
        <v>634</v>
      </c>
      <c r="C322" s="680" t="s">
        <v>516</v>
      </c>
      <c r="D322" s="681">
        <v>199908</v>
      </c>
      <c r="E322" s="558">
        <v>9</v>
      </c>
      <c r="F322" s="491" t="s">
        <v>41</v>
      </c>
      <c r="G322" s="492" t="s">
        <v>41</v>
      </c>
      <c r="H322" s="456"/>
      <c r="I322" s="493"/>
      <c r="J322" s="456">
        <v>20371</v>
      </c>
      <c r="K322" s="493">
        <v>18321</v>
      </c>
      <c r="L322" s="456">
        <v>3658</v>
      </c>
      <c r="M322" s="493">
        <v>3233</v>
      </c>
      <c r="N322" s="456">
        <v>24372</v>
      </c>
      <c r="O322" s="493">
        <v>20239</v>
      </c>
      <c r="P322" s="449">
        <f t="shared" si="105"/>
        <v>48401</v>
      </c>
      <c r="Q322" s="450">
        <f t="shared" si="106"/>
        <v>1613.3666666666666</v>
      </c>
      <c r="R322" s="451">
        <f t="shared" si="107"/>
        <v>41793</v>
      </c>
      <c r="S322" s="452">
        <f t="shared" si="108"/>
        <v>1393.1</v>
      </c>
      <c r="T322" s="456">
        <v>3927</v>
      </c>
      <c r="U322" s="493">
        <v>4072</v>
      </c>
      <c r="V322" s="449">
        <f t="shared" si="109"/>
        <v>48401</v>
      </c>
      <c r="W322" s="448">
        <f t="shared" si="110"/>
        <v>41793</v>
      </c>
      <c r="X322" s="456"/>
      <c r="Y322" s="493"/>
      <c r="Z322" s="456">
        <v>168922</v>
      </c>
      <c r="AA322" s="493">
        <v>148644</v>
      </c>
      <c r="AB322" s="456">
        <v>108322</v>
      </c>
      <c r="AC322" s="493">
        <v>89798</v>
      </c>
      <c r="AD322" s="456">
        <v>180549</v>
      </c>
      <c r="AE322" s="493">
        <v>171297</v>
      </c>
      <c r="AF322" s="449">
        <f t="shared" si="111"/>
        <v>457793</v>
      </c>
      <c r="AG322" s="450">
        <f t="shared" si="112"/>
        <v>508.6588888888889</v>
      </c>
      <c r="AH322" s="451">
        <f t="shared" si="113"/>
        <v>409739</v>
      </c>
      <c r="AI322" s="451">
        <f t="shared" si="114"/>
        <v>455.26555555555558</v>
      </c>
      <c r="AJ322" s="456"/>
      <c r="AK322" s="493"/>
      <c r="AL322" s="449">
        <f t="shared" si="115"/>
        <v>0</v>
      </c>
      <c r="AM322" s="452">
        <f t="shared" si="116"/>
        <v>0</v>
      </c>
      <c r="AN322" s="456"/>
      <c r="AO322" s="493"/>
      <c r="AP322" s="456"/>
      <c r="AQ322" s="493"/>
      <c r="AR322" s="456"/>
      <c r="AS322" s="493"/>
      <c r="AT322" s="456"/>
      <c r="AU322" s="493"/>
      <c r="AV322" s="449">
        <f t="shared" si="117"/>
        <v>0</v>
      </c>
      <c r="AW322" s="453">
        <f t="shared" si="118"/>
        <v>0</v>
      </c>
      <c r="AX322" s="451">
        <f t="shared" si="119"/>
        <v>0</v>
      </c>
      <c r="AY322" s="454">
        <f t="shared" si="120"/>
        <v>0</v>
      </c>
      <c r="AZ322" s="455">
        <f t="shared" si="121"/>
        <v>2122.0255555555555</v>
      </c>
      <c r="BA322" s="451">
        <f t="shared" si="122"/>
        <v>1848.3655555555556</v>
      </c>
    </row>
    <row r="323" spans="1:53">
      <c r="A323" s="678" t="s">
        <v>229</v>
      </c>
      <c r="B323" s="679" t="s">
        <v>635</v>
      </c>
      <c r="C323" s="680"/>
      <c r="D323" s="681">
        <v>199926</v>
      </c>
      <c r="E323" s="558">
        <v>9</v>
      </c>
      <c r="F323" s="491" t="s">
        <v>41</v>
      </c>
      <c r="G323" s="492" t="s">
        <v>41</v>
      </c>
      <c r="H323" s="456"/>
      <c r="I323" s="493"/>
      <c r="J323" s="456">
        <v>26895</v>
      </c>
      <c r="K323" s="493">
        <v>23714</v>
      </c>
      <c r="L323" s="456">
        <v>4197</v>
      </c>
      <c r="M323" s="493">
        <v>3684</v>
      </c>
      <c r="N323" s="456">
        <v>26604</v>
      </c>
      <c r="O323" s="493">
        <v>25394</v>
      </c>
      <c r="P323" s="449">
        <f t="shared" si="105"/>
        <v>57696</v>
      </c>
      <c r="Q323" s="450">
        <f t="shared" si="106"/>
        <v>1923.2</v>
      </c>
      <c r="R323" s="451">
        <f t="shared" si="107"/>
        <v>52792</v>
      </c>
      <c r="S323" s="452">
        <f t="shared" si="108"/>
        <v>1759.7333333333333</v>
      </c>
      <c r="T323" s="456">
        <v>5793</v>
      </c>
      <c r="U323" s="493">
        <v>6971</v>
      </c>
      <c r="V323" s="449">
        <f t="shared" si="109"/>
        <v>57696</v>
      </c>
      <c r="W323" s="448">
        <f t="shared" si="110"/>
        <v>52792</v>
      </c>
      <c r="X323" s="456"/>
      <c r="Y323" s="493"/>
      <c r="Z323" s="456">
        <v>165838</v>
      </c>
      <c r="AA323" s="493">
        <v>164700</v>
      </c>
      <c r="AB323" s="456">
        <v>137763</v>
      </c>
      <c r="AC323" s="493">
        <v>123306</v>
      </c>
      <c r="AD323" s="456">
        <v>193033</v>
      </c>
      <c r="AE323" s="493">
        <v>178004</v>
      </c>
      <c r="AF323" s="449">
        <f t="shared" si="111"/>
        <v>496634</v>
      </c>
      <c r="AG323" s="450">
        <f t="shared" si="112"/>
        <v>551.81555555555553</v>
      </c>
      <c r="AH323" s="451">
        <f t="shared" si="113"/>
        <v>466010</v>
      </c>
      <c r="AI323" s="451">
        <f t="shared" si="114"/>
        <v>517.78888888888889</v>
      </c>
      <c r="AJ323" s="456"/>
      <c r="AK323" s="493"/>
      <c r="AL323" s="449">
        <f t="shared" si="115"/>
        <v>0</v>
      </c>
      <c r="AM323" s="452">
        <f t="shared" si="116"/>
        <v>0</v>
      </c>
      <c r="AN323" s="456"/>
      <c r="AO323" s="493"/>
      <c r="AP323" s="456"/>
      <c r="AQ323" s="493"/>
      <c r="AR323" s="456"/>
      <c r="AS323" s="493"/>
      <c r="AT323" s="456"/>
      <c r="AU323" s="493"/>
      <c r="AV323" s="449">
        <f t="shared" si="117"/>
        <v>0</v>
      </c>
      <c r="AW323" s="453">
        <f t="shared" si="118"/>
        <v>0</v>
      </c>
      <c r="AX323" s="451">
        <f t="shared" si="119"/>
        <v>0</v>
      </c>
      <c r="AY323" s="454">
        <f t="shared" si="120"/>
        <v>0</v>
      </c>
      <c r="AZ323" s="455">
        <f t="shared" si="121"/>
        <v>2475.0155555555557</v>
      </c>
      <c r="BA323" s="451">
        <f t="shared" si="122"/>
        <v>2277.5222222222224</v>
      </c>
    </row>
    <row r="324" spans="1:53">
      <c r="A324" s="560" t="s">
        <v>229</v>
      </c>
      <c r="B324" s="684" t="s">
        <v>636</v>
      </c>
      <c r="C324" s="685"/>
      <c r="D324" s="681">
        <v>197966</v>
      </c>
      <c r="E324" s="558">
        <v>10</v>
      </c>
      <c r="F324" s="491" t="s">
        <v>41</v>
      </c>
      <c r="G324" s="492" t="s">
        <v>41</v>
      </c>
      <c r="H324" s="456"/>
      <c r="I324" s="493"/>
      <c r="J324" s="456">
        <v>16853</v>
      </c>
      <c r="K324" s="493">
        <v>15133</v>
      </c>
      <c r="L324" s="456">
        <v>2902</v>
      </c>
      <c r="M324" s="493">
        <v>2255</v>
      </c>
      <c r="N324" s="456">
        <v>17077</v>
      </c>
      <c r="O324" s="493">
        <v>16020</v>
      </c>
      <c r="P324" s="449">
        <f t="shared" si="105"/>
        <v>36832</v>
      </c>
      <c r="Q324" s="450">
        <f t="shared" si="106"/>
        <v>1227.7333333333333</v>
      </c>
      <c r="R324" s="451">
        <f t="shared" si="107"/>
        <v>33408</v>
      </c>
      <c r="S324" s="452">
        <f t="shared" si="108"/>
        <v>1113.5999999999999</v>
      </c>
      <c r="T324" s="456">
        <v>4313</v>
      </c>
      <c r="U324" s="493">
        <v>7091</v>
      </c>
      <c r="V324" s="449">
        <f t="shared" si="109"/>
        <v>36832</v>
      </c>
      <c r="W324" s="448">
        <f t="shared" si="110"/>
        <v>33408</v>
      </c>
      <c r="X324" s="456"/>
      <c r="Y324" s="493"/>
      <c r="Z324" s="456">
        <v>46931</v>
      </c>
      <c r="AA324" s="493">
        <v>83582</v>
      </c>
      <c r="AB324" s="456">
        <v>61550</v>
      </c>
      <c r="AC324" s="493">
        <v>85432</v>
      </c>
      <c r="AD324" s="456">
        <v>82390</v>
      </c>
      <c r="AE324" s="493">
        <v>73520</v>
      </c>
      <c r="AF324" s="449">
        <f t="shared" si="111"/>
        <v>190871</v>
      </c>
      <c r="AG324" s="450">
        <f t="shared" si="112"/>
        <v>212.07888888888888</v>
      </c>
      <c r="AH324" s="451">
        <f t="shared" si="113"/>
        <v>242534</v>
      </c>
      <c r="AI324" s="451">
        <f t="shared" si="114"/>
        <v>269.48222222222222</v>
      </c>
      <c r="AJ324" s="456"/>
      <c r="AK324" s="493"/>
      <c r="AL324" s="449">
        <f t="shared" si="115"/>
        <v>0</v>
      </c>
      <c r="AM324" s="452">
        <f t="shared" si="116"/>
        <v>0</v>
      </c>
      <c r="AN324" s="456"/>
      <c r="AO324" s="493"/>
      <c r="AP324" s="456"/>
      <c r="AQ324" s="493"/>
      <c r="AR324" s="456"/>
      <c r="AS324" s="493"/>
      <c r="AT324" s="456"/>
      <c r="AU324" s="493"/>
      <c r="AV324" s="449">
        <f t="shared" si="117"/>
        <v>0</v>
      </c>
      <c r="AW324" s="453">
        <f t="shared" si="118"/>
        <v>0</v>
      </c>
      <c r="AX324" s="451">
        <f t="shared" si="119"/>
        <v>0</v>
      </c>
      <c r="AY324" s="454">
        <f t="shared" si="120"/>
        <v>0</v>
      </c>
      <c r="AZ324" s="455">
        <f t="shared" si="121"/>
        <v>1439.8122222222223</v>
      </c>
      <c r="BA324" s="451">
        <f t="shared" si="122"/>
        <v>1383.0822222222221</v>
      </c>
    </row>
    <row r="325" spans="1:53">
      <c r="A325" s="678" t="s">
        <v>229</v>
      </c>
      <c r="B325" s="684" t="s">
        <v>637</v>
      </c>
      <c r="C325" s="685"/>
      <c r="D325" s="681">
        <v>198011</v>
      </c>
      <c r="E325" s="558">
        <v>10</v>
      </c>
      <c r="F325" s="491" t="s">
        <v>41</v>
      </c>
      <c r="G325" s="492" t="s">
        <v>41</v>
      </c>
      <c r="H325" s="456"/>
      <c r="I325" s="493"/>
      <c r="J325" s="456">
        <v>12966</v>
      </c>
      <c r="K325" s="493">
        <v>11501</v>
      </c>
      <c r="L325" s="456">
        <v>2475</v>
      </c>
      <c r="M325" s="493">
        <v>2516</v>
      </c>
      <c r="N325" s="456">
        <v>13111</v>
      </c>
      <c r="O325" s="493">
        <v>13011</v>
      </c>
      <c r="P325" s="449">
        <f t="shared" si="105"/>
        <v>28552</v>
      </c>
      <c r="Q325" s="450">
        <f t="shared" si="106"/>
        <v>951.73333333333335</v>
      </c>
      <c r="R325" s="451">
        <f t="shared" si="107"/>
        <v>27028</v>
      </c>
      <c r="S325" s="452">
        <f t="shared" si="108"/>
        <v>900.93333333333328</v>
      </c>
      <c r="T325" s="456">
        <v>1508</v>
      </c>
      <c r="U325" s="493">
        <v>2181</v>
      </c>
      <c r="V325" s="449">
        <f t="shared" si="109"/>
        <v>28552</v>
      </c>
      <c r="W325" s="448">
        <f t="shared" si="110"/>
        <v>27028</v>
      </c>
      <c r="X325" s="456"/>
      <c r="Y325" s="493"/>
      <c r="Z325" s="456">
        <v>67444</v>
      </c>
      <c r="AA325" s="493">
        <v>77519</v>
      </c>
      <c r="AB325" s="456">
        <v>42971</v>
      </c>
      <c r="AC325" s="493">
        <v>48645</v>
      </c>
      <c r="AD325" s="456">
        <v>69866</v>
      </c>
      <c r="AE325" s="493">
        <v>64584</v>
      </c>
      <c r="AF325" s="449">
        <f t="shared" si="111"/>
        <v>180281</v>
      </c>
      <c r="AG325" s="450">
        <f t="shared" si="112"/>
        <v>200.31222222222223</v>
      </c>
      <c r="AH325" s="451">
        <f t="shared" si="113"/>
        <v>190748</v>
      </c>
      <c r="AI325" s="451">
        <f t="shared" si="114"/>
        <v>211.94222222222223</v>
      </c>
      <c r="AJ325" s="456"/>
      <c r="AK325" s="493"/>
      <c r="AL325" s="449">
        <f t="shared" si="115"/>
        <v>0</v>
      </c>
      <c r="AM325" s="452">
        <f t="shared" si="116"/>
        <v>0</v>
      </c>
      <c r="AN325" s="456"/>
      <c r="AO325" s="493"/>
      <c r="AP325" s="456"/>
      <c r="AQ325" s="493"/>
      <c r="AR325" s="456"/>
      <c r="AS325" s="493"/>
      <c r="AT325" s="456"/>
      <c r="AU325" s="493"/>
      <c r="AV325" s="449">
        <f t="shared" si="117"/>
        <v>0</v>
      </c>
      <c r="AW325" s="453">
        <f t="shared" si="118"/>
        <v>0</v>
      </c>
      <c r="AX325" s="451">
        <f t="shared" si="119"/>
        <v>0</v>
      </c>
      <c r="AY325" s="454">
        <f t="shared" si="120"/>
        <v>0</v>
      </c>
      <c r="AZ325" s="455">
        <f t="shared" si="121"/>
        <v>1152.0455555555557</v>
      </c>
      <c r="BA325" s="451">
        <f t="shared" si="122"/>
        <v>1112.8755555555556</v>
      </c>
    </row>
    <row r="326" spans="1:53">
      <c r="A326" s="678" t="s">
        <v>229</v>
      </c>
      <c r="B326" s="684" t="s">
        <v>638</v>
      </c>
      <c r="C326" s="685"/>
      <c r="D326" s="686">
        <v>198039</v>
      </c>
      <c r="E326" s="548">
        <v>10</v>
      </c>
      <c r="F326" s="491" t="s">
        <v>41</v>
      </c>
      <c r="G326" s="492" t="s">
        <v>41</v>
      </c>
      <c r="H326" s="456"/>
      <c r="I326" s="493"/>
      <c r="J326" s="456">
        <v>17761</v>
      </c>
      <c r="K326" s="493">
        <v>16998</v>
      </c>
      <c r="L326" s="456">
        <v>3764</v>
      </c>
      <c r="M326" s="493">
        <v>3823</v>
      </c>
      <c r="N326" s="456">
        <v>19498</v>
      </c>
      <c r="O326" s="493">
        <v>18422</v>
      </c>
      <c r="P326" s="449">
        <f t="shared" si="105"/>
        <v>41023</v>
      </c>
      <c r="Q326" s="450">
        <f t="shared" si="106"/>
        <v>1367.4333333333334</v>
      </c>
      <c r="R326" s="451">
        <f t="shared" si="107"/>
        <v>39243</v>
      </c>
      <c r="S326" s="452">
        <f t="shared" si="108"/>
        <v>1308.0999999999999</v>
      </c>
      <c r="T326" s="456">
        <v>4356</v>
      </c>
      <c r="U326" s="493">
        <v>4025</v>
      </c>
      <c r="V326" s="449">
        <f t="shared" si="109"/>
        <v>41023</v>
      </c>
      <c r="W326" s="448">
        <f t="shared" si="110"/>
        <v>39243</v>
      </c>
      <c r="X326" s="456"/>
      <c r="Y326" s="493"/>
      <c r="Z326" s="456">
        <v>125049</v>
      </c>
      <c r="AA326" s="493">
        <v>108895</v>
      </c>
      <c r="AB326" s="456">
        <v>72913</v>
      </c>
      <c r="AC326" s="493">
        <v>65876</v>
      </c>
      <c r="AD326" s="456">
        <v>163301</v>
      </c>
      <c r="AE326" s="493">
        <v>146260</v>
      </c>
      <c r="AF326" s="449">
        <f t="shared" si="111"/>
        <v>361263</v>
      </c>
      <c r="AG326" s="450">
        <f t="shared" si="112"/>
        <v>401.40333333333331</v>
      </c>
      <c r="AH326" s="451">
        <f t="shared" si="113"/>
        <v>321031</v>
      </c>
      <c r="AI326" s="451">
        <f t="shared" si="114"/>
        <v>356.70111111111112</v>
      </c>
      <c r="AJ326" s="456"/>
      <c r="AK326" s="493"/>
      <c r="AL326" s="449">
        <f t="shared" si="115"/>
        <v>0</v>
      </c>
      <c r="AM326" s="452">
        <f t="shared" si="116"/>
        <v>0</v>
      </c>
      <c r="AN326" s="456"/>
      <c r="AO326" s="493"/>
      <c r="AP326" s="456"/>
      <c r="AQ326" s="493"/>
      <c r="AR326" s="456"/>
      <c r="AS326" s="493"/>
      <c r="AT326" s="456"/>
      <c r="AU326" s="493"/>
      <c r="AV326" s="449">
        <f t="shared" si="117"/>
        <v>0</v>
      </c>
      <c r="AW326" s="453">
        <f t="shared" si="118"/>
        <v>0</v>
      </c>
      <c r="AX326" s="451">
        <f t="shared" si="119"/>
        <v>0</v>
      </c>
      <c r="AY326" s="454">
        <f t="shared" si="120"/>
        <v>0</v>
      </c>
      <c r="AZ326" s="455">
        <f t="shared" si="121"/>
        <v>1768.8366666666666</v>
      </c>
      <c r="BA326" s="451">
        <f t="shared" si="122"/>
        <v>1664.8011111111109</v>
      </c>
    </row>
    <row r="327" spans="1:53">
      <c r="A327" s="678" t="s">
        <v>229</v>
      </c>
      <c r="B327" s="684" t="s">
        <v>639</v>
      </c>
      <c r="C327" s="685"/>
      <c r="D327" s="681">
        <v>198084</v>
      </c>
      <c r="E327" s="558">
        <v>10</v>
      </c>
      <c r="F327" s="491" t="s">
        <v>41</v>
      </c>
      <c r="G327" s="492" t="s">
        <v>41</v>
      </c>
      <c r="H327" s="456"/>
      <c r="I327" s="493"/>
      <c r="J327" s="456">
        <v>12102</v>
      </c>
      <c r="K327" s="493">
        <v>12258</v>
      </c>
      <c r="L327" s="456">
        <v>2520</v>
      </c>
      <c r="M327" s="493">
        <v>2264</v>
      </c>
      <c r="N327" s="456">
        <v>14267</v>
      </c>
      <c r="O327" s="493">
        <v>14935</v>
      </c>
      <c r="P327" s="449">
        <f t="shared" si="105"/>
        <v>28889</v>
      </c>
      <c r="Q327" s="450">
        <f t="shared" si="106"/>
        <v>962.9666666666667</v>
      </c>
      <c r="R327" s="451">
        <f t="shared" si="107"/>
        <v>29457</v>
      </c>
      <c r="S327" s="452">
        <f t="shared" si="108"/>
        <v>981.9</v>
      </c>
      <c r="T327" s="456">
        <v>5922</v>
      </c>
      <c r="U327" s="493">
        <v>5414</v>
      </c>
      <c r="V327" s="449">
        <f t="shared" si="109"/>
        <v>28889</v>
      </c>
      <c r="W327" s="448">
        <f t="shared" si="110"/>
        <v>29457</v>
      </c>
      <c r="X327" s="456"/>
      <c r="Y327" s="493"/>
      <c r="Z327" s="456">
        <v>136672</v>
      </c>
      <c r="AA327" s="493">
        <v>137481</v>
      </c>
      <c r="AB327" s="456">
        <v>110086</v>
      </c>
      <c r="AC327" s="493">
        <v>100144</v>
      </c>
      <c r="AD327" s="456">
        <v>167255</v>
      </c>
      <c r="AE327" s="493">
        <v>153206</v>
      </c>
      <c r="AF327" s="449">
        <f t="shared" si="111"/>
        <v>414013</v>
      </c>
      <c r="AG327" s="450">
        <f t="shared" si="112"/>
        <v>460.01444444444445</v>
      </c>
      <c r="AH327" s="451">
        <f t="shared" si="113"/>
        <v>390831</v>
      </c>
      <c r="AI327" s="451">
        <f t="shared" si="114"/>
        <v>434.25666666666666</v>
      </c>
      <c r="AJ327" s="456"/>
      <c r="AK327" s="493"/>
      <c r="AL327" s="449">
        <f t="shared" si="115"/>
        <v>0</v>
      </c>
      <c r="AM327" s="452">
        <f t="shared" si="116"/>
        <v>0</v>
      </c>
      <c r="AN327" s="456"/>
      <c r="AO327" s="493"/>
      <c r="AP327" s="456"/>
      <c r="AQ327" s="493"/>
      <c r="AR327" s="456"/>
      <c r="AS327" s="493"/>
      <c r="AT327" s="456"/>
      <c r="AU327" s="493"/>
      <c r="AV327" s="449">
        <f t="shared" si="117"/>
        <v>0</v>
      </c>
      <c r="AW327" s="453">
        <f t="shared" si="118"/>
        <v>0</v>
      </c>
      <c r="AX327" s="451">
        <f t="shared" si="119"/>
        <v>0</v>
      </c>
      <c r="AY327" s="454">
        <f t="shared" si="120"/>
        <v>0</v>
      </c>
      <c r="AZ327" s="455">
        <f t="shared" si="121"/>
        <v>1422.9811111111112</v>
      </c>
      <c r="BA327" s="451">
        <f t="shared" si="122"/>
        <v>1416.1566666666668</v>
      </c>
    </row>
    <row r="328" spans="1:53">
      <c r="A328" s="678" t="s">
        <v>229</v>
      </c>
      <c r="B328" s="684" t="s">
        <v>640</v>
      </c>
      <c r="C328" s="685"/>
      <c r="D328" s="681">
        <v>198206</v>
      </c>
      <c r="E328" s="558">
        <v>10</v>
      </c>
      <c r="F328" s="491" t="s">
        <v>41</v>
      </c>
      <c r="G328" s="492" t="s">
        <v>41</v>
      </c>
      <c r="H328" s="456"/>
      <c r="I328" s="493"/>
      <c r="J328" s="456">
        <v>13845</v>
      </c>
      <c r="K328" s="493">
        <v>13549</v>
      </c>
      <c r="L328" s="456">
        <v>2669</v>
      </c>
      <c r="M328" s="493">
        <v>3049</v>
      </c>
      <c r="N328" s="456">
        <v>14848</v>
      </c>
      <c r="O328" s="493">
        <v>14174</v>
      </c>
      <c r="P328" s="449">
        <f t="shared" ref="P328:P391" si="123">SUM(H328,J328,L328,N328)</f>
        <v>31362</v>
      </c>
      <c r="Q328" s="450">
        <f t="shared" ref="Q328:Q391" si="124">+P328/30</f>
        <v>1045.4000000000001</v>
      </c>
      <c r="R328" s="451">
        <f t="shared" ref="R328:R391" si="125">SUM(I328,K328,M328,O328)</f>
        <v>30772</v>
      </c>
      <c r="S328" s="452">
        <f t="shared" ref="S328:S391" si="126">+R328/30</f>
        <v>1025.7333333333333</v>
      </c>
      <c r="T328" s="456">
        <v>504</v>
      </c>
      <c r="U328" s="493">
        <v>933</v>
      </c>
      <c r="V328" s="449">
        <f t="shared" ref="V328:V391" si="127">IF(ISBLANK(T328),0,P328)</f>
        <v>31362</v>
      </c>
      <c r="W328" s="448">
        <f t="shared" ref="W328:W391" si="128">IF(ISBLANK(U328),0,R328)</f>
        <v>30772</v>
      </c>
      <c r="X328" s="456"/>
      <c r="Y328" s="493"/>
      <c r="Z328" s="456">
        <v>125585</v>
      </c>
      <c r="AA328" s="493">
        <v>114481</v>
      </c>
      <c r="AB328" s="456">
        <v>67156</v>
      </c>
      <c r="AC328" s="493">
        <v>69975</v>
      </c>
      <c r="AD328" s="456">
        <v>131724</v>
      </c>
      <c r="AE328" s="493">
        <v>111231</v>
      </c>
      <c r="AF328" s="449">
        <f t="shared" ref="AF328:AF391" si="129">SUM(X328,Z328,AB328,AD328)</f>
        <v>324465</v>
      </c>
      <c r="AG328" s="450">
        <f t="shared" ref="AG328:AG391" si="130">+AF328/900</f>
        <v>360.51666666666665</v>
      </c>
      <c r="AH328" s="451">
        <f t="shared" ref="AH328:AH391" si="131">SUM(Y328,AA328,AC328,AE328)</f>
        <v>295687</v>
      </c>
      <c r="AI328" s="451">
        <f t="shared" ref="AI328:AI391" si="132">+AH328/900</f>
        <v>328.54111111111109</v>
      </c>
      <c r="AJ328" s="456"/>
      <c r="AK328" s="493"/>
      <c r="AL328" s="449">
        <f t="shared" ref="AL328:AL391" si="133">IF(ISBLANK(AJ328),0,AF328)</f>
        <v>0</v>
      </c>
      <c r="AM328" s="452">
        <f t="shared" ref="AM328:AM391" si="134">IF(ISBLANK(AK328),0,AH328)</f>
        <v>0</v>
      </c>
      <c r="AN328" s="456"/>
      <c r="AO328" s="493"/>
      <c r="AP328" s="456"/>
      <c r="AQ328" s="493"/>
      <c r="AR328" s="456"/>
      <c r="AS328" s="493"/>
      <c r="AT328" s="456"/>
      <c r="AU328" s="493"/>
      <c r="AV328" s="449">
        <f t="shared" ref="AV328:AV391" si="135">SUM(AN328,AP328,AR328,AT328)</f>
        <v>0</v>
      </c>
      <c r="AW328" s="453">
        <f t="shared" ref="AW328:AW391" si="136">+AV328/24</f>
        <v>0</v>
      </c>
      <c r="AX328" s="451">
        <f t="shared" ref="AX328:AX391" si="137">SUM(AO328,AQ328,AS328,AU328)</f>
        <v>0</v>
      </c>
      <c r="AY328" s="454">
        <f t="shared" ref="AY328:AY391" si="138">+AX328/24</f>
        <v>0</v>
      </c>
      <c r="AZ328" s="455">
        <f t="shared" ref="AZ328:AZ391" si="139">SUM(Q328,AG328,AW328)</f>
        <v>1405.9166666666667</v>
      </c>
      <c r="BA328" s="451">
        <f t="shared" ref="BA328:BA391" si="140">SUM(S328,AI328,AY328)</f>
        <v>1354.2744444444445</v>
      </c>
    </row>
    <row r="329" spans="1:53">
      <c r="A329" s="678" t="s">
        <v>229</v>
      </c>
      <c r="B329" s="684" t="s">
        <v>641</v>
      </c>
      <c r="C329" s="685"/>
      <c r="D329" s="686">
        <v>197814</v>
      </c>
      <c r="E329" s="548">
        <v>10</v>
      </c>
      <c r="F329" s="491" t="s">
        <v>41</v>
      </c>
      <c r="G329" s="492" t="s">
        <v>41</v>
      </c>
      <c r="H329" s="456"/>
      <c r="I329" s="493"/>
      <c r="J329" s="456">
        <v>21150</v>
      </c>
      <c r="K329" s="493">
        <v>19567</v>
      </c>
      <c r="L329" s="456">
        <v>3432</v>
      </c>
      <c r="M329" s="493">
        <v>3342</v>
      </c>
      <c r="N329" s="456">
        <v>22026</v>
      </c>
      <c r="O329" s="493">
        <v>20631</v>
      </c>
      <c r="P329" s="449">
        <f t="shared" si="123"/>
        <v>46608</v>
      </c>
      <c r="Q329" s="450">
        <f t="shared" si="124"/>
        <v>1553.6</v>
      </c>
      <c r="R329" s="451">
        <f t="shared" si="125"/>
        <v>43540</v>
      </c>
      <c r="S329" s="452">
        <f t="shared" si="126"/>
        <v>1451.3333333333333</v>
      </c>
      <c r="T329" s="456">
        <v>5029</v>
      </c>
      <c r="U329" s="493">
        <v>6093</v>
      </c>
      <c r="V329" s="449">
        <f t="shared" si="127"/>
        <v>46608</v>
      </c>
      <c r="W329" s="448">
        <f t="shared" si="128"/>
        <v>43540</v>
      </c>
      <c r="X329" s="456"/>
      <c r="Y329" s="493"/>
      <c r="Z329" s="456">
        <v>111392</v>
      </c>
      <c r="AA329" s="493">
        <v>106129</v>
      </c>
      <c r="AB329" s="456">
        <v>58854</v>
      </c>
      <c r="AC329" s="493">
        <v>43599</v>
      </c>
      <c r="AD329" s="456">
        <v>120772</v>
      </c>
      <c r="AE329" s="493">
        <v>123921</v>
      </c>
      <c r="AF329" s="449">
        <f t="shared" si="129"/>
        <v>291018</v>
      </c>
      <c r="AG329" s="450">
        <f t="shared" si="130"/>
        <v>323.35333333333335</v>
      </c>
      <c r="AH329" s="451">
        <f t="shared" si="131"/>
        <v>273649</v>
      </c>
      <c r="AI329" s="451">
        <f t="shared" si="132"/>
        <v>304.05444444444447</v>
      </c>
      <c r="AJ329" s="456"/>
      <c r="AK329" s="493"/>
      <c r="AL329" s="449">
        <f t="shared" si="133"/>
        <v>0</v>
      </c>
      <c r="AM329" s="452">
        <f t="shared" si="134"/>
        <v>0</v>
      </c>
      <c r="AN329" s="456"/>
      <c r="AO329" s="493"/>
      <c r="AP329" s="456"/>
      <c r="AQ329" s="493"/>
      <c r="AR329" s="456"/>
      <c r="AS329" s="493"/>
      <c r="AT329" s="456"/>
      <c r="AU329" s="493"/>
      <c r="AV329" s="449">
        <f t="shared" si="135"/>
        <v>0</v>
      </c>
      <c r="AW329" s="453">
        <f t="shared" si="136"/>
        <v>0</v>
      </c>
      <c r="AX329" s="451">
        <f t="shared" si="137"/>
        <v>0</v>
      </c>
      <c r="AY329" s="454">
        <f t="shared" si="138"/>
        <v>0</v>
      </c>
      <c r="AZ329" s="455">
        <f t="shared" si="139"/>
        <v>1876.9533333333334</v>
      </c>
      <c r="BA329" s="451">
        <f t="shared" si="140"/>
        <v>1755.3877777777777</v>
      </c>
    </row>
    <row r="330" spans="1:53">
      <c r="A330" s="678" t="s">
        <v>229</v>
      </c>
      <c r="B330" s="679" t="s">
        <v>642</v>
      </c>
      <c r="C330" s="680"/>
      <c r="D330" s="681">
        <v>198640</v>
      </c>
      <c r="E330" s="558">
        <v>10</v>
      </c>
      <c r="F330" s="491" t="s">
        <v>41</v>
      </c>
      <c r="G330" s="492" t="s">
        <v>41</v>
      </c>
      <c r="H330" s="456"/>
      <c r="I330" s="493"/>
      <c r="J330" s="456">
        <v>12768</v>
      </c>
      <c r="K330" s="493">
        <v>10451</v>
      </c>
      <c r="L330" s="456">
        <v>1823</v>
      </c>
      <c r="M330" s="493">
        <v>1845</v>
      </c>
      <c r="N330" s="456">
        <v>13326</v>
      </c>
      <c r="O330" s="493">
        <v>12051</v>
      </c>
      <c r="P330" s="449">
        <f t="shared" si="123"/>
        <v>27917</v>
      </c>
      <c r="Q330" s="450">
        <f t="shared" si="124"/>
        <v>930.56666666666672</v>
      </c>
      <c r="R330" s="451">
        <f t="shared" si="125"/>
        <v>24347</v>
      </c>
      <c r="S330" s="452">
        <f t="shared" si="126"/>
        <v>811.56666666666672</v>
      </c>
      <c r="T330" s="456">
        <v>2072</v>
      </c>
      <c r="U330" s="493">
        <v>2420</v>
      </c>
      <c r="V330" s="449">
        <f t="shared" si="127"/>
        <v>27917</v>
      </c>
      <c r="W330" s="448">
        <f t="shared" si="128"/>
        <v>24347</v>
      </c>
      <c r="X330" s="456"/>
      <c r="Y330" s="493"/>
      <c r="Z330" s="456">
        <v>96868</v>
      </c>
      <c r="AA330" s="493">
        <v>99092</v>
      </c>
      <c r="AB330" s="456">
        <v>44255</v>
      </c>
      <c r="AC330" s="493">
        <v>44094</v>
      </c>
      <c r="AD330" s="456">
        <v>99942</v>
      </c>
      <c r="AE330" s="493">
        <v>88704</v>
      </c>
      <c r="AF330" s="449">
        <f t="shared" si="129"/>
        <v>241065</v>
      </c>
      <c r="AG330" s="450">
        <f t="shared" si="130"/>
        <v>267.85000000000002</v>
      </c>
      <c r="AH330" s="451">
        <f t="shared" si="131"/>
        <v>231890</v>
      </c>
      <c r="AI330" s="451">
        <f t="shared" si="132"/>
        <v>257.65555555555557</v>
      </c>
      <c r="AJ330" s="456"/>
      <c r="AK330" s="493"/>
      <c r="AL330" s="449">
        <f t="shared" si="133"/>
        <v>0</v>
      </c>
      <c r="AM330" s="452">
        <f t="shared" si="134"/>
        <v>0</v>
      </c>
      <c r="AN330" s="456"/>
      <c r="AO330" s="493"/>
      <c r="AP330" s="456"/>
      <c r="AQ330" s="493"/>
      <c r="AR330" s="456"/>
      <c r="AS330" s="493"/>
      <c r="AT330" s="456"/>
      <c r="AU330" s="493"/>
      <c r="AV330" s="449">
        <f t="shared" si="135"/>
        <v>0</v>
      </c>
      <c r="AW330" s="453">
        <f t="shared" si="136"/>
        <v>0</v>
      </c>
      <c r="AX330" s="451">
        <f t="shared" si="137"/>
        <v>0</v>
      </c>
      <c r="AY330" s="454">
        <f t="shared" si="138"/>
        <v>0</v>
      </c>
      <c r="AZ330" s="455">
        <f t="shared" si="139"/>
        <v>1198.4166666666667</v>
      </c>
      <c r="BA330" s="451">
        <f t="shared" si="140"/>
        <v>1069.2222222222222</v>
      </c>
    </row>
    <row r="331" spans="1:53">
      <c r="A331" s="678" t="s">
        <v>229</v>
      </c>
      <c r="B331" s="679" t="s">
        <v>643</v>
      </c>
      <c r="C331" s="688"/>
      <c r="D331" s="681">
        <v>198668</v>
      </c>
      <c r="E331" s="558">
        <v>10</v>
      </c>
      <c r="F331" s="491" t="s">
        <v>41</v>
      </c>
      <c r="G331" s="492" t="s">
        <v>41</v>
      </c>
      <c r="H331" s="456"/>
      <c r="I331" s="493"/>
      <c r="J331" s="456">
        <v>17476</v>
      </c>
      <c r="K331" s="493">
        <v>14408</v>
      </c>
      <c r="L331" s="456">
        <v>3652</v>
      </c>
      <c r="M331" s="493">
        <v>3587</v>
      </c>
      <c r="N331" s="456">
        <v>18125</v>
      </c>
      <c r="O331" s="493">
        <v>16610</v>
      </c>
      <c r="P331" s="449">
        <f t="shared" si="123"/>
        <v>39253</v>
      </c>
      <c r="Q331" s="450">
        <f t="shared" si="124"/>
        <v>1308.4333333333334</v>
      </c>
      <c r="R331" s="451">
        <f t="shared" si="125"/>
        <v>34605</v>
      </c>
      <c r="S331" s="452">
        <f t="shared" si="126"/>
        <v>1153.5</v>
      </c>
      <c r="T331" s="456">
        <v>3247</v>
      </c>
      <c r="U331" s="493">
        <v>4156</v>
      </c>
      <c r="V331" s="449">
        <f t="shared" si="127"/>
        <v>39253</v>
      </c>
      <c r="W331" s="448">
        <f t="shared" si="128"/>
        <v>34605</v>
      </c>
      <c r="X331" s="456"/>
      <c r="Y331" s="493"/>
      <c r="Z331" s="456">
        <v>81067</v>
      </c>
      <c r="AA331" s="493">
        <v>67322</v>
      </c>
      <c r="AB331" s="456">
        <v>41088</v>
      </c>
      <c r="AC331" s="493">
        <v>41334</v>
      </c>
      <c r="AD331" s="456">
        <v>97485</v>
      </c>
      <c r="AE331" s="493">
        <v>81388</v>
      </c>
      <c r="AF331" s="449">
        <f t="shared" si="129"/>
        <v>219640</v>
      </c>
      <c r="AG331" s="450">
        <f t="shared" si="130"/>
        <v>244.04444444444445</v>
      </c>
      <c r="AH331" s="451">
        <f t="shared" si="131"/>
        <v>190044</v>
      </c>
      <c r="AI331" s="451">
        <f t="shared" si="132"/>
        <v>211.16</v>
      </c>
      <c r="AJ331" s="456"/>
      <c r="AK331" s="493"/>
      <c r="AL331" s="449">
        <f t="shared" si="133"/>
        <v>0</v>
      </c>
      <c r="AM331" s="452">
        <f t="shared" si="134"/>
        <v>0</v>
      </c>
      <c r="AN331" s="456"/>
      <c r="AO331" s="493"/>
      <c r="AP331" s="456"/>
      <c r="AQ331" s="493"/>
      <c r="AR331" s="456"/>
      <c r="AS331" s="493"/>
      <c r="AT331" s="456"/>
      <c r="AU331" s="493"/>
      <c r="AV331" s="449">
        <f t="shared" si="135"/>
        <v>0</v>
      </c>
      <c r="AW331" s="453">
        <f t="shared" si="136"/>
        <v>0</v>
      </c>
      <c r="AX331" s="451">
        <f t="shared" si="137"/>
        <v>0</v>
      </c>
      <c r="AY331" s="454">
        <f t="shared" si="138"/>
        <v>0</v>
      </c>
      <c r="AZ331" s="455">
        <f t="shared" si="139"/>
        <v>1552.4777777777779</v>
      </c>
      <c r="BA331" s="451">
        <f t="shared" si="140"/>
        <v>1364.66</v>
      </c>
    </row>
    <row r="332" spans="1:53">
      <c r="A332" s="678" t="s">
        <v>229</v>
      </c>
      <c r="B332" s="679" t="s">
        <v>644</v>
      </c>
      <c r="C332" s="689"/>
      <c r="D332" s="681">
        <v>198710</v>
      </c>
      <c r="E332" s="555">
        <v>10</v>
      </c>
      <c r="F332" s="491" t="s">
        <v>41</v>
      </c>
      <c r="G332" s="492" t="s">
        <v>41</v>
      </c>
      <c r="H332" s="456"/>
      <c r="I332" s="493"/>
      <c r="J332" s="456">
        <v>17569</v>
      </c>
      <c r="K332" s="493">
        <v>14696</v>
      </c>
      <c r="L332" s="456">
        <v>3846</v>
      </c>
      <c r="M332" s="493">
        <v>3240</v>
      </c>
      <c r="N332" s="456">
        <v>18349</v>
      </c>
      <c r="O332" s="493">
        <v>16220</v>
      </c>
      <c r="P332" s="449">
        <f t="shared" si="123"/>
        <v>39764</v>
      </c>
      <c r="Q332" s="450">
        <f t="shared" si="124"/>
        <v>1325.4666666666667</v>
      </c>
      <c r="R332" s="451">
        <f t="shared" si="125"/>
        <v>34156</v>
      </c>
      <c r="S332" s="452">
        <f t="shared" si="126"/>
        <v>1138.5333333333333</v>
      </c>
      <c r="T332" s="456">
        <v>8219</v>
      </c>
      <c r="U332" s="493">
        <v>9398</v>
      </c>
      <c r="V332" s="449">
        <f t="shared" si="127"/>
        <v>39764</v>
      </c>
      <c r="W332" s="448">
        <f t="shared" si="128"/>
        <v>34156</v>
      </c>
      <c r="X332" s="456"/>
      <c r="Y332" s="493"/>
      <c r="Z332" s="456">
        <v>108928</v>
      </c>
      <c r="AA332" s="493">
        <v>78217</v>
      </c>
      <c r="AB332" s="456">
        <v>56596</v>
      </c>
      <c r="AC332" s="493">
        <v>60040</v>
      </c>
      <c r="AD332" s="456">
        <v>120722</v>
      </c>
      <c r="AE332" s="493">
        <v>98179</v>
      </c>
      <c r="AF332" s="449">
        <f t="shared" si="129"/>
        <v>286246</v>
      </c>
      <c r="AG332" s="450">
        <f t="shared" si="130"/>
        <v>318.05111111111108</v>
      </c>
      <c r="AH332" s="451">
        <f t="shared" si="131"/>
        <v>236436</v>
      </c>
      <c r="AI332" s="451">
        <f t="shared" si="132"/>
        <v>262.70666666666665</v>
      </c>
      <c r="AJ332" s="456"/>
      <c r="AK332" s="493"/>
      <c r="AL332" s="449">
        <f t="shared" si="133"/>
        <v>0</v>
      </c>
      <c r="AM332" s="452">
        <f t="shared" si="134"/>
        <v>0</v>
      </c>
      <c r="AN332" s="456"/>
      <c r="AO332" s="493"/>
      <c r="AP332" s="456"/>
      <c r="AQ332" s="493"/>
      <c r="AR332" s="456"/>
      <c r="AS332" s="493"/>
      <c r="AT332" s="456"/>
      <c r="AU332" s="493"/>
      <c r="AV332" s="449">
        <f t="shared" si="135"/>
        <v>0</v>
      </c>
      <c r="AW332" s="453">
        <f t="shared" si="136"/>
        <v>0</v>
      </c>
      <c r="AX332" s="451">
        <f t="shared" si="137"/>
        <v>0</v>
      </c>
      <c r="AY332" s="454">
        <f t="shared" si="138"/>
        <v>0</v>
      </c>
      <c r="AZ332" s="455">
        <f t="shared" si="139"/>
        <v>1643.5177777777778</v>
      </c>
      <c r="BA332" s="451">
        <f t="shared" si="140"/>
        <v>1401.24</v>
      </c>
    </row>
    <row r="333" spans="1:53">
      <c r="A333" s="678" t="s">
        <v>229</v>
      </c>
      <c r="B333" s="679" t="s">
        <v>645</v>
      </c>
      <c r="C333" s="680"/>
      <c r="D333" s="681">
        <v>198729</v>
      </c>
      <c r="E333" s="558">
        <v>10</v>
      </c>
      <c r="F333" s="491" t="s">
        <v>41</v>
      </c>
      <c r="G333" s="492" t="s">
        <v>41</v>
      </c>
      <c r="H333" s="456"/>
      <c r="I333" s="493"/>
      <c r="J333" s="456">
        <v>11156</v>
      </c>
      <c r="K333" s="493">
        <v>9186</v>
      </c>
      <c r="L333" s="456">
        <v>956</v>
      </c>
      <c r="M333" s="493">
        <v>708</v>
      </c>
      <c r="N333" s="456">
        <v>12283</v>
      </c>
      <c r="O333" s="493">
        <v>10001</v>
      </c>
      <c r="P333" s="449">
        <f t="shared" si="123"/>
        <v>24395</v>
      </c>
      <c r="Q333" s="450">
        <f t="shared" si="124"/>
        <v>813.16666666666663</v>
      </c>
      <c r="R333" s="451">
        <f t="shared" si="125"/>
        <v>19895</v>
      </c>
      <c r="S333" s="452">
        <f t="shared" si="126"/>
        <v>663.16666666666663</v>
      </c>
      <c r="T333" s="456">
        <v>3483</v>
      </c>
      <c r="U333" s="493">
        <v>4164</v>
      </c>
      <c r="V333" s="449">
        <f t="shared" si="127"/>
        <v>24395</v>
      </c>
      <c r="W333" s="448">
        <f t="shared" si="128"/>
        <v>19895</v>
      </c>
      <c r="X333" s="456"/>
      <c r="Y333" s="493"/>
      <c r="Z333" s="456">
        <v>59460</v>
      </c>
      <c r="AA333" s="493">
        <v>69709</v>
      </c>
      <c r="AB333" s="456">
        <v>36247</v>
      </c>
      <c r="AC333" s="493">
        <v>37412</v>
      </c>
      <c r="AD333" s="456">
        <v>69443</v>
      </c>
      <c r="AE333" s="493">
        <v>48983</v>
      </c>
      <c r="AF333" s="449">
        <f t="shared" si="129"/>
        <v>165150</v>
      </c>
      <c r="AG333" s="450">
        <f t="shared" si="130"/>
        <v>183.5</v>
      </c>
      <c r="AH333" s="451">
        <f t="shared" si="131"/>
        <v>156104</v>
      </c>
      <c r="AI333" s="451">
        <f t="shared" si="132"/>
        <v>173.44888888888889</v>
      </c>
      <c r="AJ333" s="456"/>
      <c r="AK333" s="493"/>
      <c r="AL333" s="449">
        <f t="shared" si="133"/>
        <v>0</v>
      </c>
      <c r="AM333" s="452">
        <f t="shared" si="134"/>
        <v>0</v>
      </c>
      <c r="AN333" s="456"/>
      <c r="AO333" s="493"/>
      <c r="AP333" s="456"/>
      <c r="AQ333" s="493"/>
      <c r="AR333" s="456"/>
      <c r="AS333" s="493"/>
      <c r="AT333" s="456"/>
      <c r="AU333" s="493"/>
      <c r="AV333" s="449">
        <f t="shared" si="135"/>
        <v>0</v>
      </c>
      <c r="AW333" s="453">
        <f t="shared" si="136"/>
        <v>0</v>
      </c>
      <c r="AX333" s="451">
        <f t="shared" si="137"/>
        <v>0</v>
      </c>
      <c r="AY333" s="454">
        <f t="shared" si="138"/>
        <v>0</v>
      </c>
      <c r="AZ333" s="455">
        <f t="shared" si="139"/>
        <v>996.66666666666663</v>
      </c>
      <c r="BA333" s="451">
        <f t="shared" si="140"/>
        <v>836.61555555555549</v>
      </c>
    </row>
    <row r="334" spans="1:53">
      <c r="A334" s="678" t="s">
        <v>229</v>
      </c>
      <c r="B334" s="679" t="s">
        <v>646</v>
      </c>
      <c r="C334" s="680"/>
      <c r="D334" s="681">
        <v>198905</v>
      </c>
      <c r="E334" s="558">
        <v>10</v>
      </c>
      <c r="F334" s="491" t="s">
        <v>41</v>
      </c>
      <c r="G334" s="492" t="s">
        <v>41</v>
      </c>
      <c r="H334" s="456"/>
      <c r="I334" s="493"/>
      <c r="J334" s="456">
        <v>5821</v>
      </c>
      <c r="K334" s="493">
        <v>4569</v>
      </c>
      <c r="L334" s="456">
        <v>463</v>
      </c>
      <c r="M334" s="493">
        <v>512</v>
      </c>
      <c r="N334" s="456">
        <v>6878</v>
      </c>
      <c r="O334" s="493">
        <v>5225</v>
      </c>
      <c r="P334" s="449">
        <f t="shared" si="123"/>
        <v>13162</v>
      </c>
      <c r="Q334" s="450">
        <f t="shared" si="124"/>
        <v>438.73333333333335</v>
      </c>
      <c r="R334" s="451">
        <f t="shared" si="125"/>
        <v>10306</v>
      </c>
      <c r="S334" s="452">
        <f t="shared" si="126"/>
        <v>343.53333333333336</v>
      </c>
      <c r="T334" s="456">
        <v>2088</v>
      </c>
      <c r="U334" s="493">
        <v>2482</v>
      </c>
      <c r="V334" s="449">
        <f t="shared" si="127"/>
        <v>13162</v>
      </c>
      <c r="W334" s="448">
        <f t="shared" si="128"/>
        <v>10306</v>
      </c>
      <c r="X334" s="456"/>
      <c r="Y334" s="493"/>
      <c r="Z334" s="456">
        <v>56614</v>
      </c>
      <c r="AA334" s="493">
        <v>63569</v>
      </c>
      <c r="AB334" s="456">
        <v>63394</v>
      </c>
      <c r="AC334" s="493">
        <v>49378</v>
      </c>
      <c r="AD334" s="456">
        <v>94738</v>
      </c>
      <c r="AE334" s="493">
        <v>78078</v>
      </c>
      <c r="AF334" s="449">
        <f t="shared" si="129"/>
        <v>214746</v>
      </c>
      <c r="AG334" s="450">
        <f t="shared" si="130"/>
        <v>238.60666666666665</v>
      </c>
      <c r="AH334" s="451">
        <f t="shared" si="131"/>
        <v>191025</v>
      </c>
      <c r="AI334" s="451">
        <f t="shared" si="132"/>
        <v>212.25</v>
      </c>
      <c r="AJ334" s="456"/>
      <c r="AK334" s="493"/>
      <c r="AL334" s="449">
        <f t="shared" si="133"/>
        <v>0</v>
      </c>
      <c r="AM334" s="452">
        <f t="shared" si="134"/>
        <v>0</v>
      </c>
      <c r="AN334" s="456"/>
      <c r="AO334" s="493"/>
      <c r="AP334" s="456"/>
      <c r="AQ334" s="493"/>
      <c r="AR334" s="456"/>
      <c r="AS334" s="493"/>
      <c r="AT334" s="456"/>
      <c r="AU334" s="493"/>
      <c r="AV334" s="449">
        <f t="shared" si="135"/>
        <v>0</v>
      </c>
      <c r="AW334" s="453">
        <f t="shared" si="136"/>
        <v>0</v>
      </c>
      <c r="AX334" s="451">
        <f t="shared" si="137"/>
        <v>0</v>
      </c>
      <c r="AY334" s="454">
        <f t="shared" si="138"/>
        <v>0</v>
      </c>
      <c r="AZ334" s="455">
        <f t="shared" si="139"/>
        <v>677.34</v>
      </c>
      <c r="BA334" s="451">
        <f t="shared" si="140"/>
        <v>555.7833333333333</v>
      </c>
    </row>
    <row r="335" spans="1:53">
      <c r="A335" s="560" t="s">
        <v>229</v>
      </c>
      <c r="B335" s="684" t="s">
        <v>647</v>
      </c>
      <c r="C335" s="685"/>
      <c r="D335" s="686">
        <v>198914</v>
      </c>
      <c r="E335" s="548">
        <v>10</v>
      </c>
      <c r="F335" s="491" t="s">
        <v>41</v>
      </c>
      <c r="G335" s="492" t="s">
        <v>41</v>
      </c>
      <c r="H335" s="456"/>
      <c r="I335" s="493"/>
      <c r="J335" s="456">
        <v>7470</v>
      </c>
      <c r="K335" s="493">
        <v>6426</v>
      </c>
      <c r="L335" s="456">
        <v>502</v>
      </c>
      <c r="M335" s="493">
        <v>439</v>
      </c>
      <c r="N335" s="456">
        <v>8718</v>
      </c>
      <c r="O335" s="493">
        <v>7689</v>
      </c>
      <c r="P335" s="449">
        <f t="shared" si="123"/>
        <v>16690</v>
      </c>
      <c r="Q335" s="450">
        <f t="shared" si="124"/>
        <v>556.33333333333337</v>
      </c>
      <c r="R335" s="451">
        <f t="shared" si="125"/>
        <v>14554</v>
      </c>
      <c r="S335" s="452">
        <f t="shared" si="126"/>
        <v>485.13333333333333</v>
      </c>
      <c r="T335" s="456">
        <v>5700</v>
      </c>
      <c r="U335" s="493">
        <v>5649</v>
      </c>
      <c r="V335" s="449">
        <f t="shared" si="127"/>
        <v>16690</v>
      </c>
      <c r="W335" s="448">
        <f t="shared" si="128"/>
        <v>14554</v>
      </c>
      <c r="X335" s="456"/>
      <c r="Y335" s="493"/>
      <c r="Z335" s="456">
        <v>171918</v>
      </c>
      <c r="AA335" s="493">
        <v>182278</v>
      </c>
      <c r="AB335" s="456">
        <v>134038</v>
      </c>
      <c r="AC335" s="493">
        <v>146480</v>
      </c>
      <c r="AD335" s="456">
        <v>217673</v>
      </c>
      <c r="AE335" s="493">
        <v>186903</v>
      </c>
      <c r="AF335" s="449">
        <f t="shared" si="129"/>
        <v>523629</v>
      </c>
      <c r="AG335" s="450">
        <f t="shared" si="130"/>
        <v>581.80999999999995</v>
      </c>
      <c r="AH335" s="451">
        <f t="shared" si="131"/>
        <v>515661</v>
      </c>
      <c r="AI335" s="451">
        <f t="shared" si="132"/>
        <v>572.95666666666671</v>
      </c>
      <c r="AJ335" s="456"/>
      <c r="AK335" s="493"/>
      <c r="AL335" s="449">
        <f t="shared" si="133"/>
        <v>0</v>
      </c>
      <c r="AM335" s="452">
        <f t="shared" si="134"/>
        <v>0</v>
      </c>
      <c r="AN335" s="456"/>
      <c r="AO335" s="493"/>
      <c r="AP335" s="456"/>
      <c r="AQ335" s="493"/>
      <c r="AR335" s="456"/>
      <c r="AS335" s="493"/>
      <c r="AT335" s="456"/>
      <c r="AU335" s="493"/>
      <c r="AV335" s="449">
        <f t="shared" si="135"/>
        <v>0</v>
      </c>
      <c r="AW335" s="453">
        <f t="shared" si="136"/>
        <v>0</v>
      </c>
      <c r="AX335" s="451">
        <f t="shared" si="137"/>
        <v>0</v>
      </c>
      <c r="AY335" s="454">
        <f t="shared" si="138"/>
        <v>0</v>
      </c>
      <c r="AZ335" s="455">
        <f t="shared" si="139"/>
        <v>1138.1433333333334</v>
      </c>
      <c r="BA335" s="451">
        <f t="shared" si="140"/>
        <v>1058.0900000000001</v>
      </c>
    </row>
    <row r="336" spans="1:53">
      <c r="A336" s="678" t="s">
        <v>229</v>
      </c>
      <c r="B336" s="679" t="s">
        <v>648</v>
      </c>
      <c r="C336" s="680"/>
      <c r="D336" s="681">
        <v>198923</v>
      </c>
      <c r="E336" s="558">
        <v>10</v>
      </c>
      <c r="F336" s="491" t="s">
        <v>41</v>
      </c>
      <c r="G336" s="492" t="s">
        <v>41</v>
      </c>
      <c r="H336" s="456"/>
      <c r="I336" s="493"/>
      <c r="J336" s="456">
        <v>9083</v>
      </c>
      <c r="K336" s="493">
        <v>7193</v>
      </c>
      <c r="L336" s="456">
        <v>2888</v>
      </c>
      <c r="M336" s="493">
        <v>2090</v>
      </c>
      <c r="N336" s="456">
        <v>9037</v>
      </c>
      <c r="O336" s="493">
        <v>7704</v>
      </c>
      <c r="P336" s="449">
        <f t="shared" si="123"/>
        <v>21008</v>
      </c>
      <c r="Q336" s="450">
        <f t="shared" si="124"/>
        <v>700.26666666666665</v>
      </c>
      <c r="R336" s="451">
        <f t="shared" si="125"/>
        <v>16987</v>
      </c>
      <c r="S336" s="452">
        <f t="shared" si="126"/>
        <v>566.23333333333335</v>
      </c>
      <c r="T336" s="456">
        <v>4163</v>
      </c>
      <c r="U336" s="493">
        <v>5080</v>
      </c>
      <c r="V336" s="449">
        <f t="shared" si="127"/>
        <v>21008</v>
      </c>
      <c r="W336" s="448">
        <f t="shared" si="128"/>
        <v>16987</v>
      </c>
      <c r="X336" s="456"/>
      <c r="Y336" s="493"/>
      <c r="Z336" s="456">
        <v>140884</v>
      </c>
      <c r="AA336" s="493">
        <v>115721</v>
      </c>
      <c r="AB336" s="456">
        <v>54433</v>
      </c>
      <c r="AC336" s="493">
        <v>69267</v>
      </c>
      <c r="AD336" s="456">
        <v>86183</v>
      </c>
      <c r="AE336" s="493">
        <v>120324</v>
      </c>
      <c r="AF336" s="449">
        <f t="shared" si="129"/>
        <v>281500</v>
      </c>
      <c r="AG336" s="450">
        <f t="shared" si="130"/>
        <v>312.77777777777777</v>
      </c>
      <c r="AH336" s="451">
        <f t="shared" si="131"/>
        <v>305312</v>
      </c>
      <c r="AI336" s="451">
        <f t="shared" si="132"/>
        <v>339.23555555555555</v>
      </c>
      <c r="AJ336" s="456"/>
      <c r="AK336" s="493"/>
      <c r="AL336" s="449">
        <f t="shared" si="133"/>
        <v>0</v>
      </c>
      <c r="AM336" s="452">
        <f t="shared" si="134"/>
        <v>0</v>
      </c>
      <c r="AN336" s="456"/>
      <c r="AO336" s="493"/>
      <c r="AP336" s="456"/>
      <c r="AQ336" s="493"/>
      <c r="AR336" s="456"/>
      <c r="AS336" s="493"/>
      <c r="AT336" s="456"/>
      <c r="AU336" s="493"/>
      <c r="AV336" s="449">
        <f t="shared" si="135"/>
        <v>0</v>
      </c>
      <c r="AW336" s="453">
        <f t="shared" si="136"/>
        <v>0</v>
      </c>
      <c r="AX336" s="451">
        <f t="shared" si="137"/>
        <v>0</v>
      </c>
      <c r="AY336" s="454">
        <f t="shared" si="138"/>
        <v>0</v>
      </c>
      <c r="AZ336" s="455">
        <f t="shared" si="139"/>
        <v>1013.0444444444445</v>
      </c>
      <c r="BA336" s="451">
        <f t="shared" si="140"/>
        <v>905.46888888888884</v>
      </c>
    </row>
    <row r="337" spans="1:53">
      <c r="A337" s="678" t="s">
        <v>229</v>
      </c>
      <c r="B337" s="679" t="s">
        <v>649</v>
      </c>
      <c r="C337" s="680"/>
      <c r="D337" s="681">
        <v>199023</v>
      </c>
      <c r="E337" s="558">
        <v>10</v>
      </c>
      <c r="F337" s="491" t="s">
        <v>41</v>
      </c>
      <c r="G337" s="492" t="s">
        <v>41</v>
      </c>
      <c r="H337" s="456"/>
      <c r="I337" s="493"/>
      <c r="J337" s="456">
        <v>7566</v>
      </c>
      <c r="K337" s="493">
        <v>6921</v>
      </c>
      <c r="L337" s="456">
        <v>1394</v>
      </c>
      <c r="M337" s="493">
        <v>1222</v>
      </c>
      <c r="N337" s="456">
        <v>7177</v>
      </c>
      <c r="O337" s="493">
        <v>7217</v>
      </c>
      <c r="P337" s="449">
        <f t="shared" si="123"/>
        <v>16137</v>
      </c>
      <c r="Q337" s="450">
        <f t="shared" si="124"/>
        <v>537.9</v>
      </c>
      <c r="R337" s="451">
        <f t="shared" si="125"/>
        <v>15360</v>
      </c>
      <c r="S337" s="452">
        <f t="shared" si="126"/>
        <v>512</v>
      </c>
      <c r="T337" s="456">
        <v>1345</v>
      </c>
      <c r="U337" s="493">
        <v>1965</v>
      </c>
      <c r="V337" s="449">
        <f t="shared" si="127"/>
        <v>16137</v>
      </c>
      <c r="W337" s="448">
        <f t="shared" si="128"/>
        <v>15360</v>
      </c>
      <c r="X337" s="456"/>
      <c r="Y337" s="493"/>
      <c r="Z337" s="456">
        <v>81718</v>
      </c>
      <c r="AA337" s="493">
        <v>56138</v>
      </c>
      <c r="AB337" s="456">
        <v>59390</v>
      </c>
      <c r="AC337" s="493">
        <v>35045</v>
      </c>
      <c r="AD337" s="456">
        <v>77484</v>
      </c>
      <c r="AE337" s="493">
        <v>72626</v>
      </c>
      <c r="AF337" s="449">
        <f t="shared" si="129"/>
        <v>218592</v>
      </c>
      <c r="AG337" s="450">
        <f t="shared" si="130"/>
        <v>242.88</v>
      </c>
      <c r="AH337" s="451">
        <f t="shared" si="131"/>
        <v>163809</v>
      </c>
      <c r="AI337" s="451">
        <f t="shared" si="132"/>
        <v>182.01</v>
      </c>
      <c r="AJ337" s="456"/>
      <c r="AK337" s="493"/>
      <c r="AL337" s="449">
        <f t="shared" si="133"/>
        <v>0</v>
      </c>
      <c r="AM337" s="452">
        <f t="shared" si="134"/>
        <v>0</v>
      </c>
      <c r="AN337" s="456"/>
      <c r="AO337" s="493"/>
      <c r="AP337" s="456"/>
      <c r="AQ337" s="493"/>
      <c r="AR337" s="456"/>
      <c r="AS337" s="493"/>
      <c r="AT337" s="456"/>
      <c r="AU337" s="493"/>
      <c r="AV337" s="449">
        <f t="shared" si="135"/>
        <v>0</v>
      </c>
      <c r="AW337" s="453">
        <f t="shared" si="136"/>
        <v>0</v>
      </c>
      <c r="AX337" s="451">
        <f t="shared" si="137"/>
        <v>0</v>
      </c>
      <c r="AY337" s="454">
        <f t="shared" si="138"/>
        <v>0</v>
      </c>
      <c r="AZ337" s="455">
        <f t="shared" si="139"/>
        <v>780.78</v>
      </c>
      <c r="BA337" s="451">
        <f t="shared" si="140"/>
        <v>694.01</v>
      </c>
    </row>
    <row r="338" spans="1:53">
      <c r="A338" s="678" t="s">
        <v>229</v>
      </c>
      <c r="B338" s="679" t="s">
        <v>650</v>
      </c>
      <c r="C338" s="680"/>
      <c r="D338" s="681">
        <v>199263</v>
      </c>
      <c r="E338" s="558">
        <v>10</v>
      </c>
      <c r="F338" s="491" t="s">
        <v>41</v>
      </c>
      <c r="G338" s="492" t="s">
        <v>41</v>
      </c>
      <c r="H338" s="456"/>
      <c r="I338" s="493"/>
      <c r="J338" s="456">
        <v>4270</v>
      </c>
      <c r="K338" s="493">
        <v>4005</v>
      </c>
      <c r="L338" s="456">
        <v>376</v>
      </c>
      <c r="M338" s="493">
        <v>711</v>
      </c>
      <c r="N338" s="456">
        <v>4189</v>
      </c>
      <c r="O338" s="493">
        <v>4203</v>
      </c>
      <c r="P338" s="449">
        <f t="shared" si="123"/>
        <v>8835</v>
      </c>
      <c r="Q338" s="450">
        <f t="shared" si="124"/>
        <v>294.5</v>
      </c>
      <c r="R338" s="451">
        <f t="shared" si="125"/>
        <v>8919</v>
      </c>
      <c r="S338" s="452">
        <f t="shared" si="126"/>
        <v>297.3</v>
      </c>
      <c r="T338" s="456">
        <v>2842</v>
      </c>
      <c r="U338" s="493">
        <v>954</v>
      </c>
      <c r="V338" s="449">
        <f t="shared" si="127"/>
        <v>8835</v>
      </c>
      <c r="W338" s="448">
        <f t="shared" si="128"/>
        <v>8919</v>
      </c>
      <c r="X338" s="456"/>
      <c r="Y338" s="493"/>
      <c r="Z338" s="456">
        <v>50574</v>
      </c>
      <c r="AA338" s="493">
        <v>46676</v>
      </c>
      <c r="AB338" s="456">
        <v>54471</v>
      </c>
      <c r="AC338" s="493">
        <v>31923</v>
      </c>
      <c r="AD338" s="456">
        <v>50096</v>
      </c>
      <c r="AE338" s="493">
        <v>55543</v>
      </c>
      <c r="AF338" s="449">
        <f t="shared" si="129"/>
        <v>155141</v>
      </c>
      <c r="AG338" s="450">
        <f t="shared" si="130"/>
        <v>172.37888888888889</v>
      </c>
      <c r="AH338" s="451">
        <f t="shared" si="131"/>
        <v>134142</v>
      </c>
      <c r="AI338" s="451">
        <f t="shared" si="132"/>
        <v>149.04666666666665</v>
      </c>
      <c r="AJ338" s="456"/>
      <c r="AK338" s="493"/>
      <c r="AL338" s="449">
        <f t="shared" si="133"/>
        <v>0</v>
      </c>
      <c r="AM338" s="452">
        <f t="shared" si="134"/>
        <v>0</v>
      </c>
      <c r="AN338" s="456"/>
      <c r="AO338" s="493"/>
      <c r="AP338" s="456"/>
      <c r="AQ338" s="493"/>
      <c r="AR338" s="456"/>
      <c r="AS338" s="493"/>
      <c r="AT338" s="456"/>
      <c r="AU338" s="493"/>
      <c r="AV338" s="449">
        <f t="shared" si="135"/>
        <v>0</v>
      </c>
      <c r="AW338" s="453">
        <f t="shared" si="136"/>
        <v>0</v>
      </c>
      <c r="AX338" s="451">
        <f t="shared" si="137"/>
        <v>0</v>
      </c>
      <c r="AY338" s="454">
        <f t="shared" si="138"/>
        <v>0</v>
      </c>
      <c r="AZ338" s="455">
        <f t="shared" si="139"/>
        <v>466.87888888888892</v>
      </c>
      <c r="BA338" s="451">
        <f t="shared" si="140"/>
        <v>446.34666666666669</v>
      </c>
    </row>
    <row r="339" spans="1:53">
      <c r="A339" s="678" t="s">
        <v>229</v>
      </c>
      <c r="B339" s="684" t="s">
        <v>651</v>
      </c>
      <c r="C339" s="685"/>
      <c r="D339" s="686">
        <v>199324</v>
      </c>
      <c r="E339" s="548">
        <v>10</v>
      </c>
      <c r="F339" s="491" t="s">
        <v>41</v>
      </c>
      <c r="G339" s="492" t="s">
        <v>41</v>
      </c>
      <c r="H339" s="456"/>
      <c r="I339" s="493"/>
      <c r="J339" s="456">
        <v>12817</v>
      </c>
      <c r="K339" s="493">
        <v>11458</v>
      </c>
      <c r="L339" s="456">
        <v>1937</v>
      </c>
      <c r="M339" s="493">
        <v>1706</v>
      </c>
      <c r="N339" s="456">
        <v>14237</v>
      </c>
      <c r="O339" s="493">
        <v>12329</v>
      </c>
      <c r="P339" s="449">
        <f t="shared" si="123"/>
        <v>28991</v>
      </c>
      <c r="Q339" s="450">
        <f t="shared" si="124"/>
        <v>966.36666666666667</v>
      </c>
      <c r="R339" s="451">
        <f t="shared" si="125"/>
        <v>25493</v>
      </c>
      <c r="S339" s="452">
        <f t="shared" si="126"/>
        <v>849.76666666666665</v>
      </c>
      <c r="T339" s="456">
        <v>2179</v>
      </c>
      <c r="U339" s="493">
        <v>2596</v>
      </c>
      <c r="V339" s="449">
        <f t="shared" si="127"/>
        <v>28991</v>
      </c>
      <c r="W339" s="448">
        <f t="shared" si="128"/>
        <v>25493</v>
      </c>
      <c r="X339" s="456"/>
      <c r="Y339" s="493"/>
      <c r="Z339" s="456">
        <v>175740</v>
      </c>
      <c r="AA339" s="493">
        <v>154167</v>
      </c>
      <c r="AB339" s="456">
        <v>102610</v>
      </c>
      <c r="AC339" s="493">
        <v>92181</v>
      </c>
      <c r="AD339" s="456">
        <v>211653</v>
      </c>
      <c r="AE339" s="493">
        <v>164957</v>
      </c>
      <c r="AF339" s="449">
        <f t="shared" si="129"/>
        <v>490003</v>
      </c>
      <c r="AG339" s="450">
        <f t="shared" si="130"/>
        <v>544.44777777777779</v>
      </c>
      <c r="AH339" s="451">
        <f t="shared" si="131"/>
        <v>411305</v>
      </c>
      <c r="AI339" s="451">
        <f t="shared" si="132"/>
        <v>457.00555555555553</v>
      </c>
      <c r="AJ339" s="456"/>
      <c r="AK339" s="493"/>
      <c r="AL339" s="449">
        <f t="shared" si="133"/>
        <v>0</v>
      </c>
      <c r="AM339" s="452">
        <f t="shared" si="134"/>
        <v>0</v>
      </c>
      <c r="AN339" s="456"/>
      <c r="AO339" s="493"/>
      <c r="AP339" s="456"/>
      <c r="AQ339" s="493"/>
      <c r="AR339" s="456"/>
      <c r="AS339" s="493"/>
      <c r="AT339" s="456"/>
      <c r="AU339" s="493"/>
      <c r="AV339" s="449">
        <f t="shared" si="135"/>
        <v>0</v>
      </c>
      <c r="AW339" s="453">
        <f t="shared" si="136"/>
        <v>0</v>
      </c>
      <c r="AX339" s="451">
        <f t="shared" si="137"/>
        <v>0</v>
      </c>
      <c r="AY339" s="454">
        <f t="shared" si="138"/>
        <v>0</v>
      </c>
      <c r="AZ339" s="455">
        <f t="shared" si="139"/>
        <v>1510.8144444444445</v>
      </c>
      <c r="BA339" s="451">
        <f t="shared" si="140"/>
        <v>1306.7722222222221</v>
      </c>
    </row>
    <row r="340" spans="1:53">
      <c r="A340" s="678" t="s">
        <v>229</v>
      </c>
      <c r="B340" s="679" t="s">
        <v>652</v>
      </c>
      <c r="C340" s="680"/>
      <c r="D340" s="681">
        <v>199467</v>
      </c>
      <c r="E340" s="558">
        <v>10</v>
      </c>
      <c r="F340" s="491" t="s">
        <v>41</v>
      </c>
      <c r="G340" s="492" t="s">
        <v>41</v>
      </c>
      <c r="H340" s="456"/>
      <c r="I340" s="493"/>
      <c r="J340" s="456">
        <v>6371</v>
      </c>
      <c r="K340" s="493">
        <v>6201</v>
      </c>
      <c r="L340" s="456">
        <v>557</v>
      </c>
      <c r="M340" s="493">
        <v>574</v>
      </c>
      <c r="N340" s="456">
        <v>7629</v>
      </c>
      <c r="O340" s="493">
        <v>6991</v>
      </c>
      <c r="P340" s="449">
        <f t="shared" si="123"/>
        <v>14557</v>
      </c>
      <c r="Q340" s="450">
        <f t="shared" si="124"/>
        <v>485.23333333333335</v>
      </c>
      <c r="R340" s="451">
        <f t="shared" si="125"/>
        <v>13766</v>
      </c>
      <c r="S340" s="452">
        <f t="shared" si="126"/>
        <v>458.86666666666667</v>
      </c>
      <c r="T340" s="456">
        <v>2405</v>
      </c>
      <c r="U340" s="493">
        <v>2339</v>
      </c>
      <c r="V340" s="449">
        <f t="shared" si="127"/>
        <v>14557</v>
      </c>
      <c r="W340" s="448">
        <f t="shared" si="128"/>
        <v>13766</v>
      </c>
      <c r="X340" s="456"/>
      <c r="Y340" s="493"/>
      <c r="Z340" s="456">
        <v>67198</v>
      </c>
      <c r="AA340" s="493">
        <v>56321</v>
      </c>
      <c r="AB340" s="456">
        <v>56299</v>
      </c>
      <c r="AC340" s="493">
        <v>40676</v>
      </c>
      <c r="AD340" s="456">
        <v>51701</v>
      </c>
      <c r="AE340" s="493">
        <v>54837</v>
      </c>
      <c r="AF340" s="449">
        <f t="shared" si="129"/>
        <v>175198</v>
      </c>
      <c r="AG340" s="450">
        <f t="shared" si="130"/>
        <v>194.66444444444446</v>
      </c>
      <c r="AH340" s="451">
        <f t="shared" si="131"/>
        <v>151834</v>
      </c>
      <c r="AI340" s="451">
        <f t="shared" si="132"/>
        <v>168.70444444444445</v>
      </c>
      <c r="AJ340" s="456"/>
      <c r="AK340" s="493"/>
      <c r="AL340" s="449">
        <f t="shared" si="133"/>
        <v>0</v>
      </c>
      <c r="AM340" s="452">
        <f t="shared" si="134"/>
        <v>0</v>
      </c>
      <c r="AN340" s="456"/>
      <c r="AO340" s="493"/>
      <c r="AP340" s="456"/>
      <c r="AQ340" s="493"/>
      <c r="AR340" s="456"/>
      <c r="AS340" s="493"/>
      <c r="AT340" s="456"/>
      <c r="AU340" s="493"/>
      <c r="AV340" s="449">
        <f t="shared" si="135"/>
        <v>0</v>
      </c>
      <c r="AW340" s="453">
        <f t="shared" si="136"/>
        <v>0</v>
      </c>
      <c r="AX340" s="451">
        <f t="shared" si="137"/>
        <v>0</v>
      </c>
      <c r="AY340" s="454">
        <f t="shared" si="138"/>
        <v>0</v>
      </c>
      <c r="AZ340" s="455">
        <f t="shared" si="139"/>
        <v>679.89777777777783</v>
      </c>
      <c r="BA340" s="451">
        <f t="shared" si="140"/>
        <v>627.57111111111112</v>
      </c>
    </row>
    <row r="341" spans="1:53">
      <c r="A341" s="678" t="s">
        <v>229</v>
      </c>
      <c r="B341" s="684" t="s">
        <v>653</v>
      </c>
      <c r="C341" s="685"/>
      <c r="D341" s="686">
        <v>199485</v>
      </c>
      <c r="E341" s="548">
        <v>10</v>
      </c>
      <c r="F341" s="491" t="s">
        <v>41</v>
      </c>
      <c r="G341" s="492" t="s">
        <v>41</v>
      </c>
      <c r="H341" s="456"/>
      <c r="I341" s="493"/>
      <c r="J341" s="456">
        <v>15628</v>
      </c>
      <c r="K341" s="493">
        <v>14299</v>
      </c>
      <c r="L341" s="456">
        <v>2748</v>
      </c>
      <c r="M341" s="493">
        <v>3060</v>
      </c>
      <c r="N341" s="456">
        <v>17684</v>
      </c>
      <c r="O341" s="493">
        <v>15616</v>
      </c>
      <c r="P341" s="449">
        <f t="shared" si="123"/>
        <v>36060</v>
      </c>
      <c r="Q341" s="450">
        <f t="shared" si="124"/>
        <v>1202</v>
      </c>
      <c r="R341" s="451">
        <f t="shared" si="125"/>
        <v>32975</v>
      </c>
      <c r="S341" s="452">
        <f t="shared" si="126"/>
        <v>1099.1666666666667</v>
      </c>
      <c r="T341" s="456">
        <v>3413</v>
      </c>
      <c r="U341" s="493">
        <v>4015</v>
      </c>
      <c r="V341" s="449">
        <f t="shared" si="127"/>
        <v>36060</v>
      </c>
      <c r="W341" s="448">
        <f t="shared" si="128"/>
        <v>32975</v>
      </c>
      <c r="X341" s="456"/>
      <c r="Y341" s="493"/>
      <c r="Z341" s="456">
        <v>70173</v>
      </c>
      <c r="AA341" s="493">
        <v>61908</v>
      </c>
      <c r="AB341" s="456">
        <v>59393</v>
      </c>
      <c r="AC341" s="493">
        <v>45656</v>
      </c>
      <c r="AD341" s="456">
        <v>96863</v>
      </c>
      <c r="AE341" s="493">
        <v>82708</v>
      </c>
      <c r="AF341" s="449">
        <f t="shared" si="129"/>
        <v>226429</v>
      </c>
      <c r="AG341" s="450">
        <f t="shared" si="130"/>
        <v>251.58777777777777</v>
      </c>
      <c r="AH341" s="451">
        <f t="shared" si="131"/>
        <v>190272</v>
      </c>
      <c r="AI341" s="451">
        <f t="shared" si="132"/>
        <v>211.41333333333333</v>
      </c>
      <c r="AJ341" s="456"/>
      <c r="AK341" s="493"/>
      <c r="AL341" s="449">
        <f t="shared" si="133"/>
        <v>0</v>
      </c>
      <c r="AM341" s="452">
        <f t="shared" si="134"/>
        <v>0</v>
      </c>
      <c r="AN341" s="456"/>
      <c r="AO341" s="493"/>
      <c r="AP341" s="456"/>
      <c r="AQ341" s="493"/>
      <c r="AR341" s="456"/>
      <c r="AS341" s="493"/>
      <c r="AT341" s="456"/>
      <c r="AU341" s="493"/>
      <c r="AV341" s="449">
        <f t="shared" si="135"/>
        <v>0</v>
      </c>
      <c r="AW341" s="453">
        <f t="shared" si="136"/>
        <v>0</v>
      </c>
      <c r="AX341" s="451">
        <f t="shared" si="137"/>
        <v>0</v>
      </c>
      <c r="AY341" s="454">
        <f t="shared" si="138"/>
        <v>0</v>
      </c>
      <c r="AZ341" s="455">
        <f t="shared" si="139"/>
        <v>1453.5877777777778</v>
      </c>
      <c r="BA341" s="451">
        <f t="shared" si="140"/>
        <v>1310.5800000000002</v>
      </c>
    </row>
    <row r="342" spans="1:53">
      <c r="A342" s="678" t="s">
        <v>229</v>
      </c>
      <c r="B342" s="684" t="s">
        <v>654</v>
      </c>
      <c r="C342" s="685"/>
      <c r="D342" s="681">
        <v>199625</v>
      </c>
      <c r="E342" s="558">
        <v>10</v>
      </c>
      <c r="F342" s="491" t="s">
        <v>41</v>
      </c>
      <c r="G342" s="492" t="s">
        <v>41</v>
      </c>
      <c r="H342" s="456"/>
      <c r="I342" s="493"/>
      <c r="J342" s="456">
        <v>11035</v>
      </c>
      <c r="K342" s="493">
        <v>10712</v>
      </c>
      <c r="L342" s="456">
        <v>1318</v>
      </c>
      <c r="M342" s="493">
        <v>1353</v>
      </c>
      <c r="N342" s="456">
        <v>12463</v>
      </c>
      <c r="O342" s="493">
        <v>11796</v>
      </c>
      <c r="P342" s="449">
        <f t="shared" si="123"/>
        <v>24816</v>
      </c>
      <c r="Q342" s="450">
        <f t="shared" si="124"/>
        <v>827.2</v>
      </c>
      <c r="R342" s="451">
        <f t="shared" si="125"/>
        <v>23861</v>
      </c>
      <c r="S342" s="452">
        <f t="shared" si="126"/>
        <v>795.36666666666667</v>
      </c>
      <c r="T342" s="456">
        <v>5101</v>
      </c>
      <c r="U342" s="493">
        <v>4724</v>
      </c>
      <c r="V342" s="449">
        <f t="shared" si="127"/>
        <v>24816</v>
      </c>
      <c r="W342" s="448">
        <f t="shared" si="128"/>
        <v>23861</v>
      </c>
      <c r="X342" s="456"/>
      <c r="Y342" s="493"/>
      <c r="Z342" s="456">
        <v>141856</v>
      </c>
      <c r="AA342" s="493">
        <v>137899</v>
      </c>
      <c r="AB342" s="456">
        <v>134598</v>
      </c>
      <c r="AC342" s="493">
        <v>108715</v>
      </c>
      <c r="AD342" s="456">
        <v>203244</v>
      </c>
      <c r="AE342" s="493">
        <v>196333</v>
      </c>
      <c r="AF342" s="449">
        <f t="shared" si="129"/>
        <v>479698</v>
      </c>
      <c r="AG342" s="450">
        <f t="shared" si="130"/>
        <v>532.99777777777774</v>
      </c>
      <c r="AH342" s="451">
        <f t="shared" si="131"/>
        <v>442947</v>
      </c>
      <c r="AI342" s="451">
        <f t="shared" si="132"/>
        <v>492.16333333333336</v>
      </c>
      <c r="AJ342" s="456"/>
      <c r="AK342" s="493"/>
      <c r="AL342" s="449">
        <f t="shared" si="133"/>
        <v>0</v>
      </c>
      <c r="AM342" s="452">
        <f t="shared" si="134"/>
        <v>0</v>
      </c>
      <c r="AN342" s="456"/>
      <c r="AO342" s="493"/>
      <c r="AP342" s="456"/>
      <c r="AQ342" s="493"/>
      <c r="AR342" s="456"/>
      <c r="AS342" s="493"/>
      <c r="AT342" s="456"/>
      <c r="AU342" s="493"/>
      <c r="AV342" s="449">
        <f t="shared" si="135"/>
        <v>0</v>
      </c>
      <c r="AW342" s="453">
        <f t="shared" si="136"/>
        <v>0</v>
      </c>
      <c r="AX342" s="451">
        <f t="shared" si="137"/>
        <v>0</v>
      </c>
      <c r="AY342" s="454">
        <f t="shared" si="138"/>
        <v>0</v>
      </c>
      <c r="AZ342" s="455">
        <f t="shared" si="139"/>
        <v>1360.1977777777779</v>
      </c>
      <c r="BA342" s="451">
        <f t="shared" si="140"/>
        <v>1287.53</v>
      </c>
    </row>
    <row r="343" spans="1:53">
      <c r="A343" s="678" t="s">
        <v>229</v>
      </c>
      <c r="B343" s="684" t="s">
        <v>655</v>
      </c>
      <c r="C343" s="685"/>
      <c r="D343" s="686">
        <v>197850</v>
      </c>
      <c r="E343" s="548">
        <v>10</v>
      </c>
      <c r="F343" s="491" t="s">
        <v>41</v>
      </c>
      <c r="G343" s="492" t="s">
        <v>41</v>
      </c>
      <c r="H343" s="456"/>
      <c r="I343" s="493"/>
      <c r="J343" s="456">
        <v>16644</v>
      </c>
      <c r="K343" s="493">
        <v>15790</v>
      </c>
      <c r="L343" s="456">
        <v>3431</v>
      </c>
      <c r="M343" s="493">
        <v>3326</v>
      </c>
      <c r="N343" s="456">
        <v>18932</v>
      </c>
      <c r="O343" s="493">
        <v>17404</v>
      </c>
      <c r="P343" s="449">
        <f t="shared" si="123"/>
        <v>39007</v>
      </c>
      <c r="Q343" s="450">
        <f t="shared" si="124"/>
        <v>1300.2333333333333</v>
      </c>
      <c r="R343" s="451">
        <f t="shared" si="125"/>
        <v>36520</v>
      </c>
      <c r="S343" s="452">
        <f t="shared" si="126"/>
        <v>1217.3333333333333</v>
      </c>
      <c r="T343" s="456">
        <v>8530</v>
      </c>
      <c r="U343" s="493">
        <v>9745</v>
      </c>
      <c r="V343" s="449">
        <f t="shared" si="127"/>
        <v>39007</v>
      </c>
      <c r="W343" s="448">
        <f t="shared" si="128"/>
        <v>36520</v>
      </c>
      <c r="X343" s="456"/>
      <c r="Y343" s="493"/>
      <c r="Z343" s="456">
        <v>225177</v>
      </c>
      <c r="AA343" s="493">
        <v>189477</v>
      </c>
      <c r="AB343" s="456">
        <v>131897</v>
      </c>
      <c r="AC343" s="493">
        <v>127956</v>
      </c>
      <c r="AD343" s="456">
        <v>254542</v>
      </c>
      <c r="AE343" s="493">
        <v>232965</v>
      </c>
      <c r="AF343" s="449">
        <f t="shared" si="129"/>
        <v>611616</v>
      </c>
      <c r="AG343" s="450">
        <f t="shared" si="130"/>
        <v>679.57333333333338</v>
      </c>
      <c r="AH343" s="451">
        <f t="shared" si="131"/>
        <v>550398</v>
      </c>
      <c r="AI343" s="451">
        <f t="shared" si="132"/>
        <v>611.55333333333328</v>
      </c>
      <c r="AJ343" s="456"/>
      <c r="AK343" s="493"/>
      <c r="AL343" s="449">
        <f t="shared" si="133"/>
        <v>0</v>
      </c>
      <c r="AM343" s="452">
        <f t="shared" si="134"/>
        <v>0</v>
      </c>
      <c r="AN343" s="456"/>
      <c r="AO343" s="493"/>
      <c r="AP343" s="456"/>
      <c r="AQ343" s="493"/>
      <c r="AR343" s="456"/>
      <c r="AS343" s="493"/>
      <c r="AT343" s="456"/>
      <c r="AU343" s="493"/>
      <c r="AV343" s="449">
        <f t="shared" si="135"/>
        <v>0</v>
      </c>
      <c r="AW343" s="453">
        <f t="shared" si="136"/>
        <v>0</v>
      </c>
      <c r="AX343" s="451">
        <f t="shared" si="137"/>
        <v>0</v>
      </c>
      <c r="AY343" s="454">
        <f t="shared" si="138"/>
        <v>0</v>
      </c>
      <c r="AZ343" s="455">
        <f t="shared" si="139"/>
        <v>1979.8066666666668</v>
      </c>
      <c r="BA343" s="451">
        <f t="shared" si="140"/>
        <v>1828.8866666666665</v>
      </c>
    </row>
    <row r="344" spans="1:53">
      <c r="A344" s="678" t="s">
        <v>229</v>
      </c>
      <c r="B344" s="684" t="s">
        <v>656</v>
      </c>
      <c r="C344" s="685"/>
      <c r="D344" s="686">
        <v>199722</v>
      </c>
      <c r="E344" s="548">
        <v>10</v>
      </c>
      <c r="F344" s="491" t="s">
        <v>41</v>
      </c>
      <c r="G344" s="492" t="s">
        <v>41</v>
      </c>
      <c r="H344" s="456"/>
      <c r="I344" s="493"/>
      <c r="J344" s="456">
        <v>11278</v>
      </c>
      <c r="K344" s="493">
        <v>11149</v>
      </c>
      <c r="L344" s="456">
        <v>2836</v>
      </c>
      <c r="M344" s="493">
        <v>3284</v>
      </c>
      <c r="N344" s="456">
        <v>13128</v>
      </c>
      <c r="O344" s="493">
        <v>11615</v>
      </c>
      <c r="P344" s="449">
        <f t="shared" si="123"/>
        <v>27242</v>
      </c>
      <c r="Q344" s="450">
        <f t="shared" si="124"/>
        <v>908.06666666666672</v>
      </c>
      <c r="R344" s="451">
        <f t="shared" si="125"/>
        <v>26048</v>
      </c>
      <c r="S344" s="452">
        <f t="shared" si="126"/>
        <v>868.26666666666665</v>
      </c>
      <c r="T344" s="456">
        <v>2832</v>
      </c>
      <c r="U344" s="493">
        <v>4155</v>
      </c>
      <c r="V344" s="449">
        <f t="shared" si="127"/>
        <v>27242</v>
      </c>
      <c r="W344" s="448">
        <f t="shared" si="128"/>
        <v>26048</v>
      </c>
      <c r="X344" s="456"/>
      <c r="Y344" s="493"/>
      <c r="Z344" s="456">
        <v>229827</v>
      </c>
      <c r="AA344" s="493">
        <v>248065</v>
      </c>
      <c r="AB344" s="456">
        <v>167402</v>
      </c>
      <c r="AC344" s="493">
        <v>152863</v>
      </c>
      <c r="AD344" s="456">
        <v>245837</v>
      </c>
      <c r="AE344" s="493">
        <v>249370</v>
      </c>
      <c r="AF344" s="449">
        <f t="shared" si="129"/>
        <v>643066</v>
      </c>
      <c r="AG344" s="450">
        <f t="shared" si="130"/>
        <v>714.51777777777772</v>
      </c>
      <c r="AH344" s="451">
        <f t="shared" si="131"/>
        <v>650298</v>
      </c>
      <c r="AI344" s="451">
        <f t="shared" si="132"/>
        <v>722.55333333333328</v>
      </c>
      <c r="AJ344" s="456"/>
      <c r="AK344" s="493"/>
      <c r="AL344" s="449">
        <f t="shared" si="133"/>
        <v>0</v>
      </c>
      <c r="AM344" s="452">
        <f t="shared" si="134"/>
        <v>0</v>
      </c>
      <c r="AN344" s="456"/>
      <c r="AO344" s="493"/>
      <c r="AP344" s="456"/>
      <c r="AQ344" s="493"/>
      <c r="AR344" s="456"/>
      <c r="AS344" s="493"/>
      <c r="AT344" s="456"/>
      <c r="AU344" s="493"/>
      <c r="AV344" s="449">
        <f t="shared" si="135"/>
        <v>0</v>
      </c>
      <c r="AW344" s="453">
        <f t="shared" si="136"/>
        <v>0</v>
      </c>
      <c r="AX344" s="451">
        <f t="shared" si="137"/>
        <v>0</v>
      </c>
      <c r="AY344" s="454">
        <f t="shared" si="138"/>
        <v>0</v>
      </c>
      <c r="AZ344" s="455">
        <f t="shared" si="139"/>
        <v>1622.5844444444444</v>
      </c>
      <c r="BA344" s="451">
        <f t="shared" si="140"/>
        <v>1590.82</v>
      </c>
    </row>
    <row r="345" spans="1:53">
      <c r="A345" s="678" t="s">
        <v>229</v>
      </c>
      <c r="B345" s="684" t="s">
        <v>657</v>
      </c>
      <c r="C345" s="685"/>
      <c r="D345" s="686">
        <v>199731</v>
      </c>
      <c r="E345" s="548">
        <v>10</v>
      </c>
      <c r="F345" s="491" t="s">
        <v>41</v>
      </c>
      <c r="G345" s="492" t="s">
        <v>41</v>
      </c>
      <c r="H345" s="456"/>
      <c r="I345" s="493"/>
      <c r="J345" s="456">
        <v>19125</v>
      </c>
      <c r="K345" s="493">
        <v>19017</v>
      </c>
      <c r="L345" s="456">
        <v>4405</v>
      </c>
      <c r="M345" s="493">
        <v>4044</v>
      </c>
      <c r="N345" s="456">
        <v>21225</v>
      </c>
      <c r="O345" s="493">
        <v>21642</v>
      </c>
      <c r="P345" s="449">
        <f t="shared" si="123"/>
        <v>44755</v>
      </c>
      <c r="Q345" s="450">
        <f t="shared" si="124"/>
        <v>1491.8333333333333</v>
      </c>
      <c r="R345" s="451">
        <f t="shared" si="125"/>
        <v>44703</v>
      </c>
      <c r="S345" s="452">
        <f t="shared" si="126"/>
        <v>1490.1</v>
      </c>
      <c r="T345" s="456">
        <v>7518</v>
      </c>
      <c r="U345" s="493">
        <v>7838</v>
      </c>
      <c r="V345" s="449">
        <f t="shared" si="127"/>
        <v>44755</v>
      </c>
      <c r="W345" s="448">
        <f t="shared" si="128"/>
        <v>44703</v>
      </c>
      <c r="X345" s="456"/>
      <c r="Y345" s="493"/>
      <c r="Z345" s="456">
        <v>164990</v>
      </c>
      <c r="AA345" s="493">
        <v>142728</v>
      </c>
      <c r="AB345" s="456">
        <v>101355</v>
      </c>
      <c r="AC345" s="493">
        <v>85135</v>
      </c>
      <c r="AD345" s="456">
        <v>141363</v>
      </c>
      <c r="AE345" s="493">
        <v>172334</v>
      </c>
      <c r="AF345" s="449">
        <f t="shared" si="129"/>
        <v>407708</v>
      </c>
      <c r="AG345" s="450">
        <f t="shared" si="130"/>
        <v>453.00888888888886</v>
      </c>
      <c r="AH345" s="451">
        <f t="shared" si="131"/>
        <v>400197</v>
      </c>
      <c r="AI345" s="451">
        <f t="shared" si="132"/>
        <v>444.66333333333336</v>
      </c>
      <c r="AJ345" s="456"/>
      <c r="AK345" s="493"/>
      <c r="AL345" s="449">
        <f t="shared" si="133"/>
        <v>0</v>
      </c>
      <c r="AM345" s="452">
        <f t="shared" si="134"/>
        <v>0</v>
      </c>
      <c r="AN345" s="456"/>
      <c r="AO345" s="493"/>
      <c r="AP345" s="456"/>
      <c r="AQ345" s="493"/>
      <c r="AR345" s="456"/>
      <c r="AS345" s="493"/>
      <c r="AT345" s="456"/>
      <c r="AU345" s="493"/>
      <c r="AV345" s="449">
        <f t="shared" si="135"/>
        <v>0</v>
      </c>
      <c r="AW345" s="453">
        <f t="shared" si="136"/>
        <v>0</v>
      </c>
      <c r="AX345" s="451">
        <f t="shared" si="137"/>
        <v>0</v>
      </c>
      <c r="AY345" s="454">
        <f t="shared" si="138"/>
        <v>0</v>
      </c>
      <c r="AZ345" s="455">
        <f t="shared" si="139"/>
        <v>1944.8422222222221</v>
      </c>
      <c r="BA345" s="451">
        <f t="shared" si="140"/>
        <v>1934.7633333333333</v>
      </c>
    </row>
    <row r="346" spans="1:53">
      <c r="A346" s="678" t="s">
        <v>229</v>
      </c>
      <c r="B346" s="679" t="s">
        <v>658</v>
      </c>
      <c r="C346" s="680"/>
      <c r="D346" s="681">
        <v>199795</v>
      </c>
      <c r="E346" s="558">
        <v>10</v>
      </c>
      <c r="F346" s="491" t="s">
        <v>41</v>
      </c>
      <c r="G346" s="492" t="s">
        <v>41</v>
      </c>
      <c r="H346" s="456"/>
      <c r="I346" s="493"/>
      <c r="J346" s="456">
        <v>12513</v>
      </c>
      <c r="K346" s="493">
        <v>9995</v>
      </c>
      <c r="L346" s="456">
        <v>1678</v>
      </c>
      <c r="M346" s="493">
        <v>1807</v>
      </c>
      <c r="N346" s="456">
        <v>11444</v>
      </c>
      <c r="O346" s="493">
        <v>9515</v>
      </c>
      <c r="P346" s="449">
        <f t="shared" si="123"/>
        <v>25635</v>
      </c>
      <c r="Q346" s="450">
        <f t="shared" si="124"/>
        <v>854.5</v>
      </c>
      <c r="R346" s="451">
        <f t="shared" si="125"/>
        <v>21317</v>
      </c>
      <c r="S346" s="452">
        <f t="shared" si="126"/>
        <v>710.56666666666672</v>
      </c>
      <c r="T346" s="456">
        <v>4776</v>
      </c>
      <c r="U346" s="493">
        <v>5154</v>
      </c>
      <c r="V346" s="449">
        <f t="shared" si="127"/>
        <v>25635</v>
      </c>
      <c r="W346" s="448">
        <f t="shared" si="128"/>
        <v>21317</v>
      </c>
      <c r="X346" s="456"/>
      <c r="Y346" s="493"/>
      <c r="Z346" s="456">
        <v>40806</v>
      </c>
      <c r="AA346" s="493">
        <v>55031</v>
      </c>
      <c r="AB346" s="456">
        <v>30140</v>
      </c>
      <c r="AC346" s="493">
        <v>57865</v>
      </c>
      <c r="AD346" s="456">
        <v>59109</v>
      </c>
      <c r="AE346" s="493">
        <v>71584</v>
      </c>
      <c r="AF346" s="449">
        <f t="shared" si="129"/>
        <v>130055</v>
      </c>
      <c r="AG346" s="450">
        <f t="shared" si="130"/>
        <v>144.50555555555556</v>
      </c>
      <c r="AH346" s="451">
        <f t="shared" si="131"/>
        <v>184480</v>
      </c>
      <c r="AI346" s="451">
        <f t="shared" si="132"/>
        <v>204.97777777777779</v>
      </c>
      <c r="AJ346" s="456"/>
      <c r="AK346" s="493"/>
      <c r="AL346" s="449">
        <f t="shared" si="133"/>
        <v>0</v>
      </c>
      <c r="AM346" s="452">
        <f t="shared" si="134"/>
        <v>0</v>
      </c>
      <c r="AN346" s="456"/>
      <c r="AO346" s="493"/>
      <c r="AP346" s="456"/>
      <c r="AQ346" s="493"/>
      <c r="AR346" s="456"/>
      <c r="AS346" s="493"/>
      <c r="AT346" s="456"/>
      <c r="AU346" s="493"/>
      <c r="AV346" s="449">
        <f t="shared" si="135"/>
        <v>0</v>
      </c>
      <c r="AW346" s="453">
        <f t="shared" si="136"/>
        <v>0</v>
      </c>
      <c r="AX346" s="451">
        <f t="shared" si="137"/>
        <v>0</v>
      </c>
      <c r="AY346" s="454">
        <f t="shared" si="138"/>
        <v>0</v>
      </c>
      <c r="AZ346" s="455">
        <f t="shared" si="139"/>
        <v>999.00555555555559</v>
      </c>
      <c r="BA346" s="451">
        <f t="shared" si="140"/>
        <v>915.54444444444448</v>
      </c>
    </row>
    <row r="347" spans="1:53">
      <c r="A347" s="678" t="s">
        <v>229</v>
      </c>
      <c r="B347" s="684" t="s">
        <v>659</v>
      </c>
      <c r="C347" s="685"/>
      <c r="D347" s="686">
        <v>199953</v>
      </c>
      <c r="E347" s="548">
        <v>10</v>
      </c>
      <c r="F347" s="491" t="s">
        <v>41</v>
      </c>
      <c r="G347" s="492" t="s">
        <v>41</v>
      </c>
      <c r="H347" s="456"/>
      <c r="I347" s="493"/>
      <c r="J347" s="456">
        <v>16448</v>
      </c>
      <c r="K347" s="493">
        <v>14126</v>
      </c>
      <c r="L347" s="456">
        <v>5864</v>
      </c>
      <c r="M347" s="493">
        <v>5393</v>
      </c>
      <c r="N347" s="456">
        <v>16761</v>
      </c>
      <c r="O347" s="493">
        <v>15196</v>
      </c>
      <c r="P347" s="449">
        <f t="shared" si="123"/>
        <v>39073</v>
      </c>
      <c r="Q347" s="450">
        <f t="shared" si="124"/>
        <v>1302.4333333333334</v>
      </c>
      <c r="R347" s="451">
        <f t="shared" si="125"/>
        <v>34715</v>
      </c>
      <c r="S347" s="452">
        <f t="shared" si="126"/>
        <v>1157.1666666666667</v>
      </c>
      <c r="T347" s="456">
        <v>4157</v>
      </c>
      <c r="U347" s="493">
        <v>4480</v>
      </c>
      <c r="V347" s="449">
        <f t="shared" si="127"/>
        <v>39073</v>
      </c>
      <c r="W347" s="448">
        <f t="shared" si="128"/>
        <v>34715</v>
      </c>
      <c r="X347" s="456"/>
      <c r="Y347" s="493"/>
      <c r="Z347" s="456">
        <v>113968</v>
      </c>
      <c r="AA347" s="493">
        <v>107967</v>
      </c>
      <c r="AB347" s="456">
        <v>67068</v>
      </c>
      <c r="AC347" s="493">
        <v>67928</v>
      </c>
      <c r="AD347" s="456">
        <v>132840</v>
      </c>
      <c r="AE347" s="493">
        <v>116265</v>
      </c>
      <c r="AF347" s="449">
        <f t="shared" si="129"/>
        <v>313876</v>
      </c>
      <c r="AG347" s="450">
        <f t="shared" si="130"/>
        <v>348.75111111111113</v>
      </c>
      <c r="AH347" s="451">
        <f t="shared" si="131"/>
        <v>292160</v>
      </c>
      <c r="AI347" s="451">
        <f t="shared" si="132"/>
        <v>324.62222222222221</v>
      </c>
      <c r="AJ347" s="456"/>
      <c r="AK347" s="493"/>
      <c r="AL347" s="449">
        <f t="shared" si="133"/>
        <v>0</v>
      </c>
      <c r="AM347" s="452">
        <f t="shared" si="134"/>
        <v>0</v>
      </c>
      <c r="AN347" s="456"/>
      <c r="AO347" s="493"/>
      <c r="AP347" s="456"/>
      <c r="AQ347" s="493"/>
      <c r="AR347" s="456"/>
      <c r="AS347" s="493"/>
      <c r="AT347" s="456"/>
      <c r="AU347" s="493"/>
      <c r="AV347" s="449">
        <f t="shared" si="135"/>
        <v>0</v>
      </c>
      <c r="AW347" s="453">
        <f t="shared" si="136"/>
        <v>0</v>
      </c>
      <c r="AX347" s="451">
        <f t="shared" si="137"/>
        <v>0</v>
      </c>
      <c r="AY347" s="454">
        <f t="shared" si="138"/>
        <v>0</v>
      </c>
      <c r="AZ347" s="455">
        <f t="shared" si="139"/>
        <v>1651.1844444444446</v>
      </c>
      <c r="BA347" s="451">
        <f t="shared" si="140"/>
        <v>1481.788888888889</v>
      </c>
    </row>
    <row r="348" spans="1:53">
      <c r="A348" s="721" t="s">
        <v>233</v>
      </c>
      <c r="B348" s="534" t="s">
        <v>711</v>
      </c>
      <c r="C348" s="722"/>
      <c r="D348" s="531">
        <v>207388</v>
      </c>
      <c r="E348" s="532">
        <v>1</v>
      </c>
      <c r="F348" s="491" t="s">
        <v>41</v>
      </c>
      <c r="G348" s="492" t="s">
        <v>41</v>
      </c>
      <c r="H348" s="456"/>
      <c r="I348" s="493"/>
      <c r="J348" s="624">
        <v>270811</v>
      </c>
      <c r="K348" s="493">
        <v>274208</v>
      </c>
      <c r="L348" s="624">
        <v>31296</v>
      </c>
      <c r="M348" s="493">
        <v>32539</v>
      </c>
      <c r="N348" s="624">
        <v>298924</v>
      </c>
      <c r="O348" s="493">
        <v>304054</v>
      </c>
      <c r="P348" s="449">
        <f t="shared" si="123"/>
        <v>601031</v>
      </c>
      <c r="Q348" s="450">
        <f t="shared" si="124"/>
        <v>20034.366666666665</v>
      </c>
      <c r="R348" s="451">
        <f t="shared" si="125"/>
        <v>610801</v>
      </c>
      <c r="S348" s="452">
        <f t="shared" si="126"/>
        <v>20360.033333333333</v>
      </c>
      <c r="T348" s="456"/>
      <c r="U348" s="493"/>
      <c r="V348" s="449">
        <f t="shared" si="127"/>
        <v>0</v>
      </c>
      <c r="W348" s="448">
        <f t="shared" si="128"/>
        <v>0</v>
      </c>
      <c r="X348" s="456"/>
      <c r="Y348" s="493"/>
      <c r="Z348" s="456"/>
      <c r="AA348" s="493"/>
      <c r="AB348" s="456"/>
      <c r="AC348" s="493"/>
      <c r="AD348" s="456"/>
      <c r="AE348" s="493"/>
      <c r="AF348" s="449">
        <f t="shared" si="129"/>
        <v>0</v>
      </c>
      <c r="AG348" s="450">
        <f t="shared" si="130"/>
        <v>0</v>
      </c>
      <c r="AH348" s="451">
        <f t="shared" si="131"/>
        <v>0</v>
      </c>
      <c r="AI348" s="451">
        <f t="shared" si="132"/>
        <v>0</v>
      </c>
      <c r="AJ348" s="456"/>
      <c r="AK348" s="493"/>
      <c r="AL348" s="449">
        <f t="shared" si="133"/>
        <v>0</v>
      </c>
      <c r="AM348" s="452">
        <f t="shared" si="134"/>
        <v>0</v>
      </c>
      <c r="AN348" s="456"/>
      <c r="AO348" s="493"/>
      <c r="AP348" s="456"/>
      <c r="AQ348" s="493"/>
      <c r="AR348" s="456"/>
      <c r="AS348" s="493"/>
      <c r="AT348" s="456"/>
      <c r="AU348" s="493"/>
      <c r="AV348" s="449">
        <f t="shared" si="135"/>
        <v>0</v>
      </c>
      <c r="AW348" s="453">
        <f t="shared" si="136"/>
        <v>0</v>
      </c>
      <c r="AX348" s="451">
        <f t="shared" si="137"/>
        <v>0</v>
      </c>
      <c r="AY348" s="454">
        <f t="shared" si="138"/>
        <v>0</v>
      </c>
      <c r="AZ348" s="455">
        <f t="shared" si="139"/>
        <v>20034.366666666665</v>
      </c>
      <c r="BA348" s="451">
        <f t="shared" si="140"/>
        <v>20360.033333333333</v>
      </c>
    </row>
    <row r="349" spans="1:53">
      <c r="A349" s="721" t="s">
        <v>233</v>
      </c>
      <c r="B349" s="534" t="s">
        <v>712</v>
      </c>
      <c r="C349" s="722"/>
      <c r="D349" s="531">
        <v>207500</v>
      </c>
      <c r="E349" s="532">
        <v>1</v>
      </c>
      <c r="F349" s="491" t="s">
        <v>41</v>
      </c>
      <c r="G349" s="492" t="s">
        <v>41</v>
      </c>
      <c r="H349" s="456"/>
      <c r="I349" s="493"/>
      <c r="J349" s="624">
        <v>252553</v>
      </c>
      <c r="K349" s="493">
        <v>256575</v>
      </c>
      <c r="L349" s="624">
        <v>43602</v>
      </c>
      <c r="M349" s="493">
        <v>46493</v>
      </c>
      <c r="N349" s="624">
        <v>284124</v>
      </c>
      <c r="O349" s="493">
        <v>286914</v>
      </c>
      <c r="P349" s="449">
        <f t="shared" si="123"/>
        <v>580279</v>
      </c>
      <c r="Q349" s="450">
        <f t="shared" si="124"/>
        <v>19342.633333333335</v>
      </c>
      <c r="R349" s="451">
        <f t="shared" si="125"/>
        <v>589982</v>
      </c>
      <c r="S349" s="452">
        <f t="shared" si="126"/>
        <v>19666.066666666666</v>
      </c>
      <c r="T349" s="456"/>
      <c r="U349" s="493"/>
      <c r="V349" s="449">
        <f t="shared" si="127"/>
        <v>0</v>
      </c>
      <c r="W349" s="448">
        <f t="shared" si="128"/>
        <v>0</v>
      </c>
      <c r="X349" s="456"/>
      <c r="Y349" s="493"/>
      <c r="Z349" s="456"/>
      <c r="AA349" s="493"/>
      <c r="AB349" s="456"/>
      <c r="AC349" s="493"/>
      <c r="AD349" s="456"/>
      <c r="AE349" s="493"/>
      <c r="AF349" s="449">
        <f t="shared" si="129"/>
        <v>0</v>
      </c>
      <c r="AG349" s="450">
        <f t="shared" si="130"/>
        <v>0</v>
      </c>
      <c r="AH349" s="451">
        <f t="shared" si="131"/>
        <v>0</v>
      </c>
      <c r="AI349" s="451">
        <f t="shared" si="132"/>
        <v>0</v>
      </c>
      <c r="AJ349" s="456"/>
      <c r="AK349" s="493"/>
      <c r="AL349" s="449">
        <f t="shared" si="133"/>
        <v>0</v>
      </c>
      <c r="AM349" s="452">
        <f t="shared" si="134"/>
        <v>0</v>
      </c>
      <c r="AN349" s="456"/>
      <c r="AO349" s="493"/>
      <c r="AP349" s="456"/>
      <c r="AQ349" s="493"/>
      <c r="AR349" s="456"/>
      <c r="AS349" s="493"/>
      <c r="AT349" s="456"/>
      <c r="AU349" s="493"/>
      <c r="AV349" s="449">
        <f t="shared" si="135"/>
        <v>0</v>
      </c>
      <c r="AW349" s="453">
        <f t="shared" si="136"/>
        <v>0</v>
      </c>
      <c r="AX349" s="451">
        <f t="shared" si="137"/>
        <v>0</v>
      </c>
      <c r="AY349" s="454">
        <f t="shared" si="138"/>
        <v>0</v>
      </c>
      <c r="AZ349" s="455">
        <f t="shared" si="139"/>
        <v>19342.633333333335</v>
      </c>
      <c r="BA349" s="451">
        <f t="shared" si="140"/>
        <v>19666.066666666666</v>
      </c>
    </row>
    <row r="350" spans="1:53">
      <c r="A350" s="721" t="s">
        <v>233</v>
      </c>
      <c r="B350" s="534" t="s">
        <v>713</v>
      </c>
      <c r="C350" s="722"/>
      <c r="D350" s="531">
        <v>207263</v>
      </c>
      <c r="E350" s="532">
        <v>3</v>
      </c>
      <c r="F350" s="491" t="s">
        <v>41</v>
      </c>
      <c r="G350" s="492" t="s">
        <v>41</v>
      </c>
      <c r="H350" s="456"/>
      <c r="I350" s="493"/>
      <c r="J350" s="624">
        <v>78117</v>
      </c>
      <c r="K350" s="493">
        <v>76132</v>
      </c>
      <c r="L350" s="624">
        <v>13090</v>
      </c>
      <c r="M350" s="493">
        <v>12459</v>
      </c>
      <c r="N350" s="624">
        <v>82292</v>
      </c>
      <c r="O350" s="493">
        <v>82479</v>
      </c>
      <c r="P350" s="449">
        <f t="shared" si="123"/>
        <v>173499</v>
      </c>
      <c r="Q350" s="450">
        <f t="shared" si="124"/>
        <v>5783.3</v>
      </c>
      <c r="R350" s="451">
        <f t="shared" si="125"/>
        <v>171070</v>
      </c>
      <c r="S350" s="452">
        <f t="shared" si="126"/>
        <v>5702.333333333333</v>
      </c>
      <c r="T350" s="456"/>
      <c r="U350" s="493"/>
      <c r="V350" s="449">
        <f t="shared" si="127"/>
        <v>0</v>
      </c>
      <c r="W350" s="448">
        <f t="shared" si="128"/>
        <v>0</v>
      </c>
      <c r="X350" s="456"/>
      <c r="Y350" s="493"/>
      <c r="Z350" s="456"/>
      <c r="AA350" s="493"/>
      <c r="AB350" s="456"/>
      <c r="AC350" s="493"/>
      <c r="AD350" s="456"/>
      <c r="AE350" s="493"/>
      <c r="AF350" s="449">
        <f t="shared" si="129"/>
        <v>0</v>
      </c>
      <c r="AG350" s="450">
        <f t="shared" si="130"/>
        <v>0</v>
      </c>
      <c r="AH350" s="451">
        <f t="shared" si="131"/>
        <v>0</v>
      </c>
      <c r="AI350" s="451">
        <f t="shared" si="132"/>
        <v>0</v>
      </c>
      <c r="AJ350" s="456"/>
      <c r="AK350" s="493"/>
      <c r="AL350" s="449">
        <f t="shared" si="133"/>
        <v>0</v>
      </c>
      <c r="AM350" s="452">
        <f t="shared" si="134"/>
        <v>0</v>
      </c>
      <c r="AN350" s="456"/>
      <c r="AO350" s="493"/>
      <c r="AP350" s="624">
        <v>8181</v>
      </c>
      <c r="AQ350" s="493">
        <v>8732</v>
      </c>
      <c r="AR350" s="624">
        <v>3526</v>
      </c>
      <c r="AS350" s="493">
        <v>3876</v>
      </c>
      <c r="AT350" s="624">
        <v>9001</v>
      </c>
      <c r="AU350" s="493">
        <v>9190</v>
      </c>
      <c r="AV350" s="449">
        <f t="shared" si="135"/>
        <v>20708</v>
      </c>
      <c r="AW350" s="453">
        <f t="shared" si="136"/>
        <v>862.83333333333337</v>
      </c>
      <c r="AX350" s="451">
        <f t="shared" si="137"/>
        <v>21798</v>
      </c>
      <c r="AY350" s="454">
        <f t="shared" si="138"/>
        <v>908.25</v>
      </c>
      <c r="AZ350" s="455">
        <f t="shared" si="139"/>
        <v>6646.1333333333332</v>
      </c>
      <c r="BA350" s="451">
        <f t="shared" si="140"/>
        <v>6610.583333333333</v>
      </c>
    </row>
    <row r="351" spans="1:53">
      <c r="A351" s="721" t="s">
        <v>233</v>
      </c>
      <c r="B351" s="534" t="s">
        <v>714</v>
      </c>
      <c r="C351" s="722"/>
      <c r="D351" s="531">
        <v>206941</v>
      </c>
      <c r="E351" s="532">
        <v>3</v>
      </c>
      <c r="F351" s="491" t="s">
        <v>41</v>
      </c>
      <c r="G351" s="492" t="s">
        <v>41</v>
      </c>
      <c r="H351" s="456"/>
      <c r="I351" s="493"/>
      <c r="J351" s="624">
        <v>164252</v>
      </c>
      <c r="K351" s="493">
        <v>161996</v>
      </c>
      <c r="L351" s="624">
        <v>27735</v>
      </c>
      <c r="M351" s="493">
        <v>27169</v>
      </c>
      <c r="N351" s="624">
        <v>177266</v>
      </c>
      <c r="O351" s="493">
        <v>177623</v>
      </c>
      <c r="P351" s="449">
        <f t="shared" si="123"/>
        <v>369253</v>
      </c>
      <c r="Q351" s="450">
        <f t="shared" si="124"/>
        <v>12308.433333333332</v>
      </c>
      <c r="R351" s="451">
        <f t="shared" si="125"/>
        <v>366788</v>
      </c>
      <c r="S351" s="452">
        <f t="shared" si="126"/>
        <v>12226.266666666666</v>
      </c>
      <c r="T351" s="456"/>
      <c r="U351" s="493"/>
      <c r="V351" s="449">
        <f t="shared" si="127"/>
        <v>0</v>
      </c>
      <c r="W351" s="448">
        <f t="shared" si="128"/>
        <v>0</v>
      </c>
      <c r="X351" s="456"/>
      <c r="Y351" s="493"/>
      <c r="Z351" s="456"/>
      <c r="AA351" s="493"/>
      <c r="AB351" s="456"/>
      <c r="AC351" s="493"/>
      <c r="AD351" s="456"/>
      <c r="AE351" s="493"/>
      <c r="AF351" s="449">
        <f t="shared" si="129"/>
        <v>0</v>
      </c>
      <c r="AG351" s="450">
        <f t="shared" si="130"/>
        <v>0</v>
      </c>
      <c r="AH351" s="451">
        <f t="shared" si="131"/>
        <v>0</v>
      </c>
      <c r="AI351" s="451">
        <f t="shared" si="132"/>
        <v>0</v>
      </c>
      <c r="AJ351" s="456"/>
      <c r="AK351" s="493"/>
      <c r="AL351" s="449">
        <f t="shared" si="133"/>
        <v>0</v>
      </c>
      <c r="AM351" s="452">
        <f t="shared" si="134"/>
        <v>0</v>
      </c>
      <c r="AN351" s="456"/>
      <c r="AO351" s="493"/>
      <c r="AP351" s="456">
        <v>11327</v>
      </c>
      <c r="AQ351" s="493">
        <v>11593</v>
      </c>
      <c r="AR351" s="456">
        <v>3979</v>
      </c>
      <c r="AS351" s="493">
        <v>3878</v>
      </c>
      <c r="AT351" s="624">
        <v>11666</v>
      </c>
      <c r="AU351" s="493">
        <v>11908</v>
      </c>
      <c r="AV351" s="449">
        <f t="shared" si="135"/>
        <v>26972</v>
      </c>
      <c r="AW351" s="453">
        <f t="shared" si="136"/>
        <v>1123.8333333333333</v>
      </c>
      <c r="AX351" s="451">
        <f t="shared" si="137"/>
        <v>27379</v>
      </c>
      <c r="AY351" s="454">
        <f t="shared" si="138"/>
        <v>1140.7916666666667</v>
      </c>
      <c r="AZ351" s="455">
        <f t="shared" si="139"/>
        <v>13432.266666666666</v>
      </c>
      <c r="BA351" s="451">
        <f t="shared" si="140"/>
        <v>13367.058333333332</v>
      </c>
    </row>
    <row r="352" spans="1:53">
      <c r="A352" s="721" t="s">
        <v>233</v>
      </c>
      <c r="B352" s="534" t="s">
        <v>715</v>
      </c>
      <c r="C352" s="723"/>
      <c r="D352" s="531">
        <v>207847</v>
      </c>
      <c r="E352" s="532">
        <v>4</v>
      </c>
      <c r="F352" s="491" t="s">
        <v>41</v>
      </c>
      <c r="G352" s="492" t="s">
        <v>41</v>
      </c>
      <c r="H352" s="456"/>
      <c r="I352" s="493"/>
      <c r="J352" s="624">
        <v>39072</v>
      </c>
      <c r="K352" s="493">
        <v>37732</v>
      </c>
      <c r="L352" s="624">
        <v>6902</v>
      </c>
      <c r="M352" s="493">
        <v>6455</v>
      </c>
      <c r="N352" s="624">
        <v>43681</v>
      </c>
      <c r="O352" s="493">
        <v>40150</v>
      </c>
      <c r="P352" s="449">
        <f t="shared" si="123"/>
        <v>89655</v>
      </c>
      <c r="Q352" s="450">
        <f t="shared" si="124"/>
        <v>2988.5</v>
      </c>
      <c r="R352" s="451">
        <f t="shared" si="125"/>
        <v>84337</v>
      </c>
      <c r="S352" s="452">
        <f t="shared" si="126"/>
        <v>2811.2333333333331</v>
      </c>
      <c r="T352" s="456"/>
      <c r="U352" s="493"/>
      <c r="V352" s="449">
        <f t="shared" si="127"/>
        <v>0</v>
      </c>
      <c r="W352" s="448">
        <f t="shared" si="128"/>
        <v>0</v>
      </c>
      <c r="X352" s="456"/>
      <c r="Y352" s="493"/>
      <c r="Z352" s="456"/>
      <c r="AA352" s="493"/>
      <c r="AB352" s="456"/>
      <c r="AC352" s="493"/>
      <c r="AD352" s="456"/>
      <c r="AE352" s="493"/>
      <c r="AF352" s="449">
        <f t="shared" si="129"/>
        <v>0</v>
      </c>
      <c r="AG352" s="450">
        <f t="shared" si="130"/>
        <v>0</v>
      </c>
      <c r="AH352" s="451">
        <f t="shared" si="131"/>
        <v>0</v>
      </c>
      <c r="AI352" s="451">
        <f t="shared" si="132"/>
        <v>0</v>
      </c>
      <c r="AJ352" s="456"/>
      <c r="AK352" s="493"/>
      <c r="AL352" s="449">
        <f t="shared" si="133"/>
        <v>0</v>
      </c>
      <c r="AM352" s="452">
        <f t="shared" si="134"/>
        <v>0</v>
      </c>
      <c r="AN352" s="456"/>
      <c r="AO352" s="493"/>
      <c r="AP352" s="456">
        <v>2378</v>
      </c>
      <c r="AQ352" s="493">
        <v>2906</v>
      </c>
      <c r="AR352" s="456">
        <v>948</v>
      </c>
      <c r="AS352" s="493">
        <v>1395</v>
      </c>
      <c r="AT352" s="624">
        <v>2497</v>
      </c>
      <c r="AU352" s="493">
        <v>3557</v>
      </c>
      <c r="AV352" s="449">
        <f t="shared" si="135"/>
        <v>5823</v>
      </c>
      <c r="AW352" s="453">
        <f t="shared" si="136"/>
        <v>242.625</v>
      </c>
      <c r="AX352" s="451">
        <f t="shared" si="137"/>
        <v>7858</v>
      </c>
      <c r="AY352" s="454">
        <f t="shared" si="138"/>
        <v>327.41666666666669</v>
      </c>
      <c r="AZ352" s="455">
        <f t="shared" si="139"/>
        <v>3231.125</v>
      </c>
      <c r="BA352" s="451">
        <f t="shared" si="140"/>
        <v>3138.6499999999996</v>
      </c>
    </row>
    <row r="353" spans="1:53">
      <c r="A353" s="721" t="s">
        <v>233</v>
      </c>
      <c r="B353" s="534" t="s">
        <v>716</v>
      </c>
      <c r="C353" s="722"/>
      <c r="D353" s="531">
        <v>206914</v>
      </c>
      <c r="E353" s="532">
        <v>5</v>
      </c>
      <c r="F353" s="491" t="s">
        <v>41</v>
      </c>
      <c r="G353" s="492" t="s">
        <v>41</v>
      </c>
      <c r="H353" s="456"/>
      <c r="I353" s="493"/>
      <c r="J353" s="456">
        <v>54809</v>
      </c>
      <c r="K353" s="493">
        <v>50766</v>
      </c>
      <c r="L353" s="456">
        <v>9751</v>
      </c>
      <c r="M353" s="493">
        <v>8739</v>
      </c>
      <c r="N353" s="456">
        <v>56036</v>
      </c>
      <c r="O353" s="493">
        <v>54264</v>
      </c>
      <c r="P353" s="449">
        <f t="shared" si="123"/>
        <v>120596</v>
      </c>
      <c r="Q353" s="450">
        <f t="shared" si="124"/>
        <v>4019.8666666666668</v>
      </c>
      <c r="R353" s="451">
        <f t="shared" si="125"/>
        <v>113769</v>
      </c>
      <c r="S353" s="452">
        <f t="shared" si="126"/>
        <v>3792.3</v>
      </c>
      <c r="T353" s="456"/>
      <c r="U353" s="493"/>
      <c r="V353" s="449">
        <f t="shared" si="127"/>
        <v>0</v>
      </c>
      <c r="W353" s="448">
        <f t="shared" si="128"/>
        <v>0</v>
      </c>
      <c r="X353" s="456"/>
      <c r="Y353" s="493"/>
      <c r="Z353" s="456"/>
      <c r="AA353" s="493"/>
      <c r="AB353" s="456"/>
      <c r="AC353" s="493"/>
      <c r="AD353" s="456"/>
      <c r="AE353" s="493"/>
      <c r="AF353" s="449">
        <f t="shared" si="129"/>
        <v>0</v>
      </c>
      <c r="AG353" s="450">
        <f t="shared" si="130"/>
        <v>0</v>
      </c>
      <c r="AH353" s="451">
        <f t="shared" si="131"/>
        <v>0</v>
      </c>
      <c r="AI353" s="451">
        <f t="shared" si="132"/>
        <v>0</v>
      </c>
      <c r="AJ353" s="456"/>
      <c r="AK353" s="493"/>
      <c r="AL353" s="449">
        <f t="shared" si="133"/>
        <v>0</v>
      </c>
      <c r="AM353" s="452">
        <f t="shared" si="134"/>
        <v>0</v>
      </c>
      <c r="AN353" s="456"/>
      <c r="AO353" s="493"/>
      <c r="AP353" s="456">
        <v>3001</v>
      </c>
      <c r="AQ353" s="493">
        <v>2833</v>
      </c>
      <c r="AR353" s="456">
        <v>976</v>
      </c>
      <c r="AS353" s="493">
        <v>1046</v>
      </c>
      <c r="AT353" s="456">
        <v>3052</v>
      </c>
      <c r="AU353" s="493">
        <v>2786</v>
      </c>
      <c r="AV353" s="449">
        <f t="shared" si="135"/>
        <v>7029</v>
      </c>
      <c r="AW353" s="453">
        <f t="shared" si="136"/>
        <v>292.875</v>
      </c>
      <c r="AX353" s="451">
        <f t="shared" si="137"/>
        <v>6665</v>
      </c>
      <c r="AY353" s="454">
        <f t="shared" si="138"/>
        <v>277.70833333333331</v>
      </c>
      <c r="AZ353" s="455">
        <f t="shared" si="139"/>
        <v>4312.7416666666668</v>
      </c>
      <c r="BA353" s="451">
        <f t="shared" si="140"/>
        <v>4070.0083333333337</v>
      </c>
    </row>
    <row r="354" spans="1:53">
      <c r="A354" s="721" t="s">
        <v>233</v>
      </c>
      <c r="B354" s="534" t="s">
        <v>717</v>
      </c>
      <c r="C354" s="722"/>
      <c r="D354" s="531">
        <v>207041</v>
      </c>
      <c r="E354" s="532">
        <v>5</v>
      </c>
      <c r="F354" s="491" t="s">
        <v>41</v>
      </c>
      <c r="G354" s="492" t="s">
        <v>41</v>
      </c>
      <c r="H354" s="456"/>
      <c r="I354" s="493"/>
      <c r="J354" s="624">
        <v>45299</v>
      </c>
      <c r="K354" s="493">
        <v>44217</v>
      </c>
      <c r="L354" s="456">
        <v>7194</v>
      </c>
      <c r="M354" s="493">
        <v>6519</v>
      </c>
      <c r="N354" s="624">
        <v>46882</v>
      </c>
      <c r="O354" s="493">
        <v>48395</v>
      </c>
      <c r="P354" s="449">
        <f t="shared" si="123"/>
        <v>99375</v>
      </c>
      <c r="Q354" s="450">
        <f t="shared" si="124"/>
        <v>3312.5</v>
      </c>
      <c r="R354" s="451">
        <f t="shared" si="125"/>
        <v>99131</v>
      </c>
      <c r="S354" s="452">
        <f t="shared" si="126"/>
        <v>3304.3666666666668</v>
      </c>
      <c r="T354" s="456"/>
      <c r="U354" s="493"/>
      <c r="V354" s="449">
        <f t="shared" si="127"/>
        <v>0</v>
      </c>
      <c r="W354" s="448">
        <f t="shared" si="128"/>
        <v>0</v>
      </c>
      <c r="X354" s="456"/>
      <c r="Y354" s="493"/>
      <c r="Z354" s="456"/>
      <c r="AA354" s="493"/>
      <c r="AB354" s="456"/>
      <c r="AC354" s="493"/>
      <c r="AD354" s="456"/>
      <c r="AE354" s="493"/>
      <c r="AF354" s="449">
        <f t="shared" si="129"/>
        <v>0</v>
      </c>
      <c r="AG354" s="450">
        <f t="shared" si="130"/>
        <v>0</v>
      </c>
      <c r="AH354" s="451">
        <f t="shared" si="131"/>
        <v>0</v>
      </c>
      <c r="AI354" s="451">
        <f t="shared" si="132"/>
        <v>0</v>
      </c>
      <c r="AJ354" s="456"/>
      <c r="AK354" s="493"/>
      <c r="AL354" s="449">
        <f t="shared" si="133"/>
        <v>0</v>
      </c>
      <c r="AM354" s="452">
        <f t="shared" si="134"/>
        <v>0</v>
      </c>
      <c r="AN354" s="456"/>
      <c r="AO354" s="493"/>
      <c r="AP354" s="456">
        <v>5301</v>
      </c>
      <c r="AQ354" s="493">
        <v>4764</v>
      </c>
      <c r="AR354" s="456">
        <v>3439</v>
      </c>
      <c r="AS354" s="493">
        <v>2752</v>
      </c>
      <c r="AT354" s="456">
        <v>4910</v>
      </c>
      <c r="AU354" s="493">
        <v>4765</v>
      </c>
      <c r="AV354" s="449">
        <f t="shared" si="135"/>
        <v>13650</v>
      </c>
      <c r="AW354" s="453">
        <f t="shared" si="136"/>
        <v>568.75</v>
      </c>
      <c r="AX354" s="451">
        <f t="shared" si="137"/>
        <v>12281</v>
      </c>
      <c r="AY354" s="454">
        <f t="shared" si="138"/>
        <v>511.70833333333331</v>
      </c>
      <c r="AZ354" s="455">
        <f t="shared" si="139"/>
        <v>3881.25</v>
      </c>
      <c r="BA354" s="451">
        <f t="shared" si="140"/>
        <v>3816.0750000000003</v>
      </c>
    </row>
    <row r="355" spans="1:53">
      <c r="A355" s="721" t="s">
        <v>233</v>
      </c>
      <c r="B355" s="534" t="s">
        <v>718</v>
      </c>
      <c r="C355" s="722"/>
      <c r="D355" s="531">
        <v>207209</v>
      </c>
      <c r="E355" s="532">
        <v>5</v>
      </c>
      <c r="F355" s="491" t="s">
        <v>41</v>
      </c>
      <c r="G355" s="492" t="s">
        <v>41</v>
      </c>
      <c r="H355" s="456"/>
      <c r="I355" s="493"/>
      <c r="J355" s="624">
        <v>23800</v>
      </c>
      <c r="K355" s="493">
        <v>24409</v>
      </c>
      <c r="L355" s="624">
        <v>2102</v>
      </c>
      <c r="M355" s="493">
        <v>2351</v>
      </c>
      <c r="N355" s="624">
        <v>28337</v>
      </c>
      <c r="O355" s="493">
        <v>30045</v>
      </c>
      <c r="P355" s="449">
        <f t="shared" si="123"/>
        <v>54239</v>
      </c>
      <c r="Q355" s="450">
        <f t="shared" si="124"/>
        <v>1807.9666666666667</v>
      </c>
      <c r="R355" s="451">
        <f t="shared" si="125"/>
        <v>56805</v>
      </c>
      <c r="S355" s="452">
        <f t="shared" si="126"/>
        <v>1893.5</v>
      </c>
      <c r="T355" s="456"/>
      <c r="U355" s="493"/>
      <c r="V355" s="449">
        <f t="shared" si="127"/>
        <v>0</v>
      </c>
      <c r="W355" s="448">
        <f t="shared" si="128"/>
        <v>0</v>
      </c>
      <c r="X355" s="456"/>
      <c r="Y355" s="493"/>
      <c r="Z355" s="456"/>
      <c r="AA355" s="493"/>
      <c r="AB355" s="456"/>
      <c r="AC355" s="493"/>
      <c r="AD355" s="456"/>
      <c r="AE355" s="493"/>
      <c r="AF355" s="449">
        <f t="shared" si="129"/>
        <v>0</v>
      </c>
      <c r="AG355" s="450">
        <f t="shared" si="130"/>
        <v>0</v>
      </c>
      <c r="AH355" s="451">
        <f t="shared" si="131"/>
        <v>0</v>
      </c>
      <c r="AI355" s="451">
        <f t="shared" si="132"/>
        <v>0</v>
      </c>
      <c r="AJ355" s="456"/>
      <c r="AK355" s="493"/>
      <c r="AL355" s="449">
        <f t="shared" si="133"/>
        <v>0</v>
      </c>
      <c r="AM355" s="452">
        <f t="shared" si="134"/>
        <v>0</v>
      </c>
      <c r="AN355" s="456"/>
      <c r="AO355" s="493"/>
      <c r="AP355" s="624">
        <v>2859</v>
      </c>
      <c r="AQ355" s="493">
        <v>3082</v>
      </c>
      <c r="AR355" s="624">
        <v>1268</v>
      </c>
      <c r="AS355" s="493">
        <v>1183</v>
      </c>
      <c r="AT355" s="624">
        <v>2857</v>
      </c>
      <c r="AU355" s="493">
        <v>2868</v>
      </c>
      <c r="AV355" s="449">
        <f t="shared" si="135"/>
        <v>6984</v>
      </c>
      <c r="AW355" s="453">
        <f t="shared" si="136"/>
        <v>291</v>
      </c>
      <c r="AX355" s="451">
        <f t="shared" si="137"/>
        <v>7133</v>
      </c>
      <c r="AY355" s="454">
        <f t="shared" si="138"/>
        <v>297.20833333333331</v>
      </c>
      <c r="AZ355" s="455">
        <f t="shared" si="139"/>
        <v>2098.9666666666667</v>
      </c>
      <c r="BA355" s="451">
        <f t="shared" si="140"/>
        <v>2190.7083333333335</v>
      </c>
    </row>
    <row r="356" spans="1:53">
      <c r="A356" s="721" t="s">
        <v>233</v>
      </c>
      <c r="B356" s="534" t="s">
        <v>719</v>
      </c>
      <c r="C356" s="722"/>
      <c r="D356" s="531">
        <v>207306</v>
      </c>
      <c r="E356" s="532">
        <v>5</v>
      </c>
      <c r="F356" s="491" t="s">
        <v>41</v>
      </c>
      <c r="G356" s="492" t="s">
        <v>41</v>
      </c>
      <c r="H356" s="456"/>
      <c r="I356" s="493"/>
      <c r="J356" s="624">
        <v>23455</v>
      </c>
      <c r="K356" s="493">
        <v>23062</v>
      </c>
      <c r="L356" s="624">
        <v>3222</v>
      </c>
      <c r="M356" s="493">
        <v>3313</v>
      </c>
      <c r="N356" s="624">
        <v>25578</v>
      </c>
      <c r="O356" s="493">
        <v>24792</v>
      </c>
      <c r="P356" s="449">
        <f t="shared" si="123"/>
        <v>52255</v>
      </c>
      <c r="Q356" s="450">
        <f t="shared" si="124"/>
        <v>1741.8333333333333</v>
      </c>
      <c r="R356" s="451">
        <f t="shared" si="125"/>
        <v>51167</v>
      </c>
      <c r="S356" s="452">
        <f t="shared" si="126"/>
        <v>1705.5666666666666</v>
      </c>
      <c r="T356" s="456"/>
      <c r="U356" s="493"/>
      <c r="V356" s="449">
        <f t="shared" si="127"/>
        <v>0</v>
      </c>
      <c r="W356" s="448">
        <f t="shared" si="128"/>
        <v>0</v>
      </c>
      <c r="X356" s="456"/>
      <c r="Y356" s="493"/>
      <c r="Z356" s="456"/>
      <c r="AA356" s="493"/>
      <c r="AB356" s="456"/>
      <c r="AC356" s="493"/>
      <c r="AD356" s="456"/>
      <c r="AE356" s="493"/>
      <c r="AF356" s="449">
        <f t="shared" si="129"/>
        <v>0</v>
      </c>
      <c r="AG356" s="450">
        <f t="shared" si="130"/>
        <v>0</v>
      </c>
      <c r="AH356" s="451">
        <f t="shared" si="131"/>
        <v>0</v>
      </c>
      <c r="AI356" s="451">
        <f t="shared" si="132"/>
        <v>0</v>
      </c>
      <c r="AJ356" s="456"/>
      <c r="AK356" s="493"/>
      <c r="AL356" s="449">
        <f t="shared" si="133"/>
        <v>0</v>
      </c>
      <c r="AM356" s="452">
        <f t="shared" si="134"/>
        <v>0</v>
      </c>
      <c r="AN356" s="456"/>
      <c r="AO356" s="493"/>
      <c r="AP356" s="624">
        <v>955</v>
      </c>
      <c r="AQ356" s="493">
        <v>932</v>
      </c>
      <c r="AR356" s="456">
        <v>595</v>
      </c>
      <c r="AS356" s="493">
        <v>662</v>
      </c>
      <c r="AT356" s="624">
        <v>936</v>
      </c>
      <c r="AU356" s="493">
        <v>1002</v>
      </c>
      <c r="AV356" s="449">
        <f t="shared" si="135"/>
        <v>2486</v>
      </c>
      <c r="AW356" s="453">
        <f t="shared" si="136"/>
        <v>103.58333333333333</v>
      </c>
      <c r="AX356" s="451">
        <f t="shared" si="137"/>
        <v>2596</v>
      </c>
      <c r="AY356" s="454">
        <f t="shared" si="138"/>
        <v>108.16666666666667</v>
      </c>
      <c r="AZ356" s="455">
        <f t="shared" si="139"/>
        <v>1845.4166666666665</v>
      </c>
      <c r="BA356" s="451">
        <f t="shared" si="140"/>
        <v>1813.7333333333333</v>
      </c>
    </row>
    <row r="357" spans="1:53">
      <c r="A357" s="721" t="s">
        <v>233</v>
      </c>
      <c r="B357" s="534" t="s">
        <v>720</v>
      </c>
      <c r="C357" s="722" t="s">
        <v>312</v>
      </c>
      <c r="D357" s="531">
        <v>207865</v>
      </c>
      <c r="E357" s="532">
        <v>5</v>
      </c>
      <c r="F357" s="491" t="s">
        <v>41</v>
      </c>
      <c r="G357" s="492" t="s">
        <v>41</v>
      </c>
      <c r="H357" s="456"/>
      <c r="I357" s="493"/>
      <c r="J357" s="456">
        <v>51263</v>
      </c>
      <c r="K357" s="493">
        <v>51752</v>
      </c>
      <c r="L357" s="456">
        <v>8254</v>
      </c>
      <c r="M357" s="493">
        <v>7880</v>
      </c>
      <c r="N357" s="456">
        <v>57552</v>
      </c>
      <c r="O357" s="493">
        <v>58726</v>
      </c>
      <c r="P357" s="449">
        <f t="shared" si="123"/>
        <v>117069</v>
      </c>
      <c r="Q357" s="450">
        <f t="shared" si="124"/>
        <v>3902.3</v>
      </c>
      <c r="R357" s="451">
        <f t="shared" si="125"/>
        <v>118358</v>
      </c>
      <c r="S357" s="452">
        <f t="shared" si="126"/>
        <v>3945.2666666666669</v>
      </c>
      <c r="T357" s="456"/>
      <c r="U357" s="493"/>
      <c r="V357" s="449">
        <f t="shared" si="127"/>
        <v>0</v>
      </c>
      <c r="W357" s="448">
        <f t="shared" si="128"/>
        <v>0</v>
      </c>
      <c r="X357" s="456"/>
      <c r="Y357" s="493"/>
      <c r="Z357" s="456"/>
      <c r="AA357" s="493"/>
      <c r="AB357" s="456"/>
      <c r="AC357" s="493"/>
      <c r="AD357" s="456"/>
      <c r="AE357" s="493"/>
      <c r="AF357" s="449">
        <f t="shared" si="129"/>
        <v>0</v>
      </c>
      <c r="AG357" s="450">
        <f t="shared" si="130"/>
        <v>0</v>
      </c>
      <c r="AH357" s="451">
        <f t="shared" si="131"/>
        <v>0</v>
      </c>
      <c r="AI357" s="451">
        <f t="shared" si="132"/>
        <v>0</v>
      </c>
      <c r="AJ357" s="456"/>
      <c r="AK357" s="493"/>
      <c r="AL357" s="449">
        <f t="shared" si="133"/>
        <v>0</v>
      </c>
      <c r="AM357" s="452">
        <f t="shared" si="134"/>
        <v>0</v>
      </c>
      <c r="AN357" s="456"/>
      <c r="AO357" s="493"/>
      <c r="AP357" s="456">
        <v>5007</v>
      </c>
      <c r="AQ357" s="493">
        <v>5456</v>
      </c>
      <c r="AR357" s="456">
        <v>1819</v>
      </c>
      <c r="AS357" s="493">
        <v>2039</v>
      </c>
      <c r="AT357" s="456">
        <v>5224</v>
      </c>
      <c r="AU357" s="493">
        <v>5206</v>
      </c>
      <c r="AV357" s="449">
        <f t="shared" si="135"/>
        <v>12050</v>
      </c>
      <c r="AW357" s="453">
        <f t="shared" si="136"/>
        <v>502.08333333333331</v>
      </c>
      <c r="AX357" s="451">
        <f t="shared" si="137"/>
        <v>12701</v>
      </c>
      <c r="AY357" s="454">
        <f t="shared" si="138"/>
        <v>529.20833333333337</v>
      </c>
      <c r="AZ357" s="455">
        <f t="shared" si="139"/>
        <v>4404.3833333333332</v>
      </c>
      <c r="BA357" s="451">
        <f t="shared" si="140"/>
        <v>4474.4750000000004</v>
      </c>
    </row>
    <row r="358" spans="1:53">
      <c r="A358" s="721" t="s">
        <v>233</v>
      </c>
      <c r="B358" s="534" t="s">
        <v>721</v>
      </c>
      <c r="C358" s="722"/>
      <c r="D358" s="531">
        <v>207351</v>
      </c>
      <c r="E358" s="532">
        <v>6</v>
      </c>
      <c r="F358" s="491" t="s">
        <v>41</v>
      </c>
      <c r="G358" s="492" t="s">
        <v>41</v>
      </c>
      <c r="H358" s="456"/>
      <c r="I358" s="493"/>
      <c r="J358" s="624">
        <v>14077</v>
      </c>
      <c r="K358" s="493">
        <v>14454</v>
      </c>
      <c r="L358" s="624">
        <v>1625</v>
      </c>
      <c r="M358" s="493">
        <v>1498</v>
      </c>
      <c r="N358" s="624">
        <v>15644</v>
      </c>
      <c r="O358" s="493">
        <v>15779</v>
      </c>
      <c r="P358" s="449">
        <f t="shared" si="123"/>
        <v>31346</v>
      </c>
      <c r="Q358" s="450">
        <f t="shared" si="124"/>
        <v>1044.8666666666666</v>
      </c>
      <c r="R358" s="451">
        <f t="shared" si="125"/>
        <v>31731</v>
      </c>
      <c r="S358" s="452">
        <f t="shared" si="126"/>
        <v>1057.7</v>
      </c>
      <c r="T358" s="456"/>
      <c r="U358" s="493"/>
      <c r="V358" s="449">
        <f t="shared" si="127"/>
        <v>0</v>
      </c>
      <c r="W358" s="448">
        <f t="shared" si="128"/>
        <v>0</v>
      </c>
      <c r="X358" s="456"/>
      <c r="Y358" s="493"/>
      <c r="Z358" s="456"/>
      <c r="AA358" s="493"/>
      <c r="AB358" s="456"/>
      <c r="AC358" s="493"/>
      <c r="AD358" s="456"/>
      <c r="AE358" s="493"/>
      <c r="AF358" s="449">
        <f t="shared" si="129"/>
        <v>0</v>
      </c>
      <c r="AG358" s="450">
        <f t="shared" si="130"/>
        <v>0</v>
      </c>
      <c r="AH358" s="451">
        <f t="shared" si="131"/>
        <v>0</v>
      </c>
      <c r="AI358" s="451">
        <f t="shared" si="132"/>
        <v>0</v>
      </c>
      <c r="AJ358" s="456"/>
      <c r="AK358" s="493"/>
      <c r="AL358" s="449">
        <f t="shared" si="133"/>
        <v>0</v>
      </c>
      <c r="AM358" s="452">
        <f t="shared" si="134"/>
        <v>0</v>
      </c>
      <c r="AN358" s="456"/>
      <c r="AO358" s="493"/>
      <c r="AP358" s="456"/>
      <c r="AQ358" s="493"/>
      <c r="AR358" s="456"/>
      <c r="AS358" s="493"/>
      <c r="AT358" s="456"/>
      <c r="AU358" s="493"/>
      <c r="AV358" s="449">
        <f t="shared" si="135"/>
        <v>0</v>
      </c>
      <c r="AW358" s="453">
        <f t="shared" si="136"/>
        <v>0</v>
      </c>
      <c r="AX358" s="451">
        <f t="shared" si="137"/>
        <v>0</v>
      </c>
      <c r="AY358" s="454">
        <f t="shared" si="138"/>
        <v>0</v>
      </c>
      <c r="AZ358" s="455">
        <f t="shared" si="139"/>
        <v>1044.8666666666666</v>
      </c>
      <c r="BA358" s="451">
        <f t="shared" si="140"/>
        <v>1057.7</v>
      </c>
    </row>
    <row r="359" spans="1:53">
      <c r="A359" s="539" t="s">
        <v>233</v>
      </c>
      <c r="B359" s="724" t="s">
        <v>722</v>
      </c>
      <c r="C359" s="725"/>
      <c r="D359" s="726">
        <v>207661</v>
      </c>
      <c r="E359" s="727">
        <v>6</v>
      </c>
      <c r="F359" s="491" t="s">
        <v>41</v>
      </c>
      <c r="G359" s="492" t="s">
        <v>41</v>
      </c>
      <c r="H359" s="456"/>
      <c r="I359" s="493"/>
      <c r="J359" s="456">
        <v>41331</v>
      </c>
      <c r="K359" s="493">
        <v>38946</v>
      </c>
      <c r="L359" s="456">
        <v>5534</v>
      </c>
      <c r="M359" s="493">
        <v>5428</v>
      </c>
      <c r="N359" s="456">
        <v>43046</v>
      </c>
      <c r="O359" s="493">
        <v>43945</v>
      </c>
      <c r="P359" s="449">
        <f t="shared" si="123"/>
        <v>89911</v>
      </c>
      <c r="Q359" s="450">
        <f t="shared" si="124"/>
        <v>2997.0333333333333</v>
      </c>
      <c r="R359" s="451">
        <f t="shared" si="125"/>
        <v>88319</v>
      </c>
      <c r="S359" s="452">
        <f t="shared" si="126"/>
        <v>2943.9666666666667</v>
      </c>
      <c r="T359" s="456"/>
      <c r="U359" s="493"/>
      <c r="V359" s="449">
        <f t="shared" si="127"/>
        <v>0</v>
      </c>
      <c r="W359" s="448">
        <f t="shared" si="128"/>
        <v>0</v>
      </c>
      <c r="X359" s="456"/>
      <c r="Y359" s="493"/>
      <c r="Z359" s="456"/>
      <c r="AA359" s="493"/>
      <c r="AB359" s="456"/>
      <c r="AC359" s="493"/>
      <c r="AD359" s="456"/>
      <c r="AE359" s="493"/>
      <c r="AF359" s="449">
        <f t="shared" si="129"/>
        <v>0</v>
      </c>
      <c r="AG359" s="450">
        <f t="shared" si="130"/>
        <v>0</v>
      </c>
      <c r="AH359" s="451">
        <f t="shared" si="131"/>
        <v>0</v>
      </c>
      <c r="AI359" s="451">
        <f t="shared" si="132"/>
        <v>0</v>
      </c>
      <c r="AJ359" s="456"/>
      <c r="AK359" s="493"/>
      <c r="AL359" s="449">
        <f t="shared" si="133"/>
        <v>0</v>
      </c>
      <c r="AM359" s="452">
        <f t="shared" si="134"/>
        <v>0</v>
      </c>
      <c r="AN359" s="456"/>
      <c r="AO359" s="493"/>
      <c r="AP359" s="456"/>
      <c r="AQ359" s="493">
        <v>90</v>
      </c>
      <c r="AR359" s="456"/>
      <c r="AS359" s="493">
        <v>24</v>
      </c>
      <c r="AT359" s="456">
        <v>75</v>
      </c>
      <c r="AU359" s="493">
        <v>147</v>
      </c>
      <c r="AV359" s="449">
        <f t="shared" si="135"/>
        <v>75</v>
      </c>
      <c r="AW359" s="453">
        <f t="shared" si="136"/>
        <v>3.125</v>
      </c>
      <c r="AX359" s="451">
        <f t="shared" si="137"/>
        <v>261</v>
      </c>
      <c r="AY359" s="454">
        <f t="shared" si="138"/>
        <v>10.875</v>
      </c>
      <c r="AZ359" s="455">
        <f t="shared" si="139"/>
        <v>3000.1583333333333</v>
      </c>
      <c r="BA359" s="451">
        <f t="shared" si="140"/>
        <v>2954.8416666666667</v>
      </c>
    </row>
    <row r="360" spans="1:53">
      <c r="A360" s="721" t="s">
        <v>233</v>
      </c>
      <c r="B360" s="534" t="s">
        <v>723</v>
      </c>
      <c r="C360" s="722"/>
      <c r="D360" s="531">
        <v>207722</v>
      </c>
      <c r="E360" s="532">
        <v>6</v>
      </c>
      <c r="F360" s="491" t="s">
        <v>41</v>
      </c>
      <c r="G360" s="492" t="s">
        <v>41</v>
      </c>
      <c r="H360" s="456"/>
      <c r="I360" s="493"/>
      <c r="J360" s="456">
        <v>11160</v>
      </c>
      <c r="K360" s="493">
        <v>10419</v>
      </c>
      <c r="L360" s="456">
        <v>3746</v>
      </c>
      <c r="M360" s="493">
        <v>3426</v>
      </c>
      <c r="N360" s="456">
        <v>12121</v>
      </c>
      <c r="O360" s="493">
        <v>12134</v>
      </c>
      <c r="P360" s="449">
        <f t="shared" si="123"/>
        <v>27027</v>
      </c>
      <c r="Q360" s="450">
        <f t="shared" si="124"/>
        <v>900.9</v>
      </c>
      <c r="R360" s="451">
        <f t="shared" si="125"/>
        <v>25979</v>
      </c>
      <c r="S360" s="452">
        <f t="shared" si="126"/>
        <v>865.9666666666667</v>
      </c>
      <c r="T360" s="456"/>
      <c r="U360" s="493"/>
      <c r="V360" s="449">
        <f t="shared" si="127"/>
        <v>0</v>
      </c>
      <c r="W360" s="448">
        <f t="shared" si="128"/>
        <v>0</v>
      </c>
      <c r="X360" s="456"/>
      <c r="Y360" s="493"/>
      <c r="Z360" s="456"/>
      <c r="AA360" s="493"/>
      <c r="AB360" s="456"/>
      <c r="AC360" s="493"/>
      <c r="AD360" s="456"/>
      <c r="AE360" s="493"/>
      <c r="AF360" s="449">
        <f t="shared" si="129"/>
        <v>0</v>
      </c>
      <c r="AG360" s="450">
        <f t="shared" si="130"/>
        <v>0</v>
      </c>
      <c r="AH360" s="451">
        <f t="shared" si="131"/>
        <v>0</v>
      </c>
      <c r="AI360" s="451">
        <f t="shared" si="132"/>
        <v>0</v>
      </c>
      <c r="AJ360" s="456"/>
      <c r="AK360" s="493"/>
      <c r="AL360" s="449">
        <f t="shared" si="133"/>
        <v>0</v>
      </c>
      <c r="AM360" s="452">
        <f t="shared" si="134"/>
        <v>0</v>
      </c>
      <c r="AN360" s="456"/>
      <c r="AO360" s="493"/>
      <c r="AP360" s="456"/>
      <c r="AQ360" s="493"/>
      <c r="AR360" s="456"/>
      <c r="AS360" s="493"/>
      <c r="AT360" s="456"/>
      <c r="AU360" s="493"/>
      <c r="AV360" s="449">
        <f t="shared" si="135"/>
        <v>0</v>
      </c>
      <c r="AW360" s="453">
        <f t="shared" si="136"/>
        <v>0</v>
      </c>
      <c r="AX360" s="451">
        <f t="shared" si="137"/>
        <v>0</v>
      </c>
      <c r="AY360" s="454">
        <f t="shared" si="138"/>
        <v>0</v>
      </c>
      <c r="AZ360" s="455">
        <f t="shared" si="139"/>
        <v>900.9</v>
      </c>
      <c r="BA360" s="451">
        <f t="shared" si="140"/>
        <v>865.9666666666667</v>
      </c>
    </row>
    <row r="361" spans="1:53">
      <c r="A361" s="539" t="s">
        <v>233</v>
      </c>
      <c r="B361" s="529" t="s">
        <v>724</v>
      </c>
      <c r="C361" s="722"/>
      <c r="D361" s="531">
        <v>207564</v>
      </c>
      <c r="E361" s="532">
        <v>7</v>
      </c>
      <c r="F361" s="491" t="s">
        <v>41</v>
      </c>
      <c r="G361" s="492" t="s">
        <v>41</v>
      </c>
      <c r="H361" s="456"/>
      <c r="I361" s="493"/>
      <c r="J361" s="456">
        <v>34146</v>
      </c>
      <c r="K361" s="493">
        <v>31082</v>
      </c>
      <c r="L361" s="456">
        <v>22966</v>
      </c>
      <c r="M361" s="493">
        <v>21058</v>
      </c>
      <c r="N361" s="624">
        <v>37481</v>
      </c>
      <c r="O361" s="493">
        <v>30300</v>
      </c>
      <c r="P361" s="449">
        <f t="shared" si="123"/>
        <v>94593</v>
      </c>
      <c r="Q361" s="450">
        <f t="shared" si="124"/>
        <v>3153.1</v>
      </c>
      <c r="R361" s="451">
        <f t="shared" si="125"/>
        <v>82440</v>
      </c>
      <c r="S361" s="452">
        <f t="shared" si="126"/>
        <v>2748</v>
      </c>
      <c r="T361" s="456"/>
      <c r="U361" s="493"/>
      <c r="V361" s="449">
        <f t="shared" si="127"/>
        <v>0</v>
      </c>
      <c r="W361" s="448">
        <f t="shared" si="128"/>
        <v>0</v>
      </c>
      <c r="X361" s="456"/>
      <c r="Y361" s="493"/>
      <c r="Z361" s="456"/>
      <c r="AA361" s="493"/>
      <c r="AB361" s="456"/>
      <c r="AC361" s="493"/>
      <c r="AD361" s="456"/>
      <c r="AE361" s="493"/>
      <c r="AF361" s="449">
        <f t="shared" si="129"/>
        <v>0</v>
      </c>
      <c r="AG361" s="450">
        <f t="shared" si="130"/>
        <v>0</v>
      </c>
      <c r="AH361" s="451">
        <f t="shared" si="131"/>
        <v>0</v>
      </c>
      <c r="AI361" s="451">
        <f t="shared" si="132"/>
        <v>0</v>
      </c>
      <c r="AJ361" s="456"/>
      <c r="AK361" s="493"/>
      <c r="AL361" s="449">
        <f t="shared" si="133"/>
        <v>0</v>
      </c>
      <c r="AM361" s="452">
        <f t="shared" si="134"/>
        <v>0</v>
      </c>
      <c r="AN361" s="456"/>
      <c r="AO361" s="493"/>
      <c r="AP361" s="456"/>
      <c r="AQ361" s="493"/>
      <c r="AR361" s="456"/>
      <c r="AS361" s="493"/>
      <c r="AT361" s="456"/>
      <c r="AU361" s="493"/>
      <c r="AV361" s="449">
        <f t="shared" si="135"/>
        <v>0</v>
      </c>
      <c r="AW361" s="453">
        <f t="shared" si="136"/>
        <v>0</v>
      </c>
      <c r="AX361" s="451">
        <f t="shared" si="137"/>
        <v>0</v>
      </c>
      <c r="AY361" s="454">
        <f t="shared" si="138"/>
        <v>0</v>
      </c>
      <c r="AZ361" s="455">
        <f t="shared" si="139"/>
        <v>3153.1</v>
      </c>
      <c r="BA361" s="451">
        <f t="shared" si="140"/>
        <v>2748</v>
      </c>
    </row>
    <row r="362" spans="1:53">
      <c r="A362" s="528" t="s">
        <v>233</v>
      </c>
      <c r="B362" s="534" t="s">
        <v>725</v>
      </c>
      <c r="C362" s="722"/>
      <c r="D362" s="531">
        <v>207397</v>
      </c>
      <c r="E362" s="532">
        <v>7</v>
      </c>
      <c r="F362" s="491" t="s">
        <v>41</v>
      </c>
      <c r="G362" s="492" t="s">
        <v>41</v>
      </c>
      <c r="H362" s="456"/>
      <c r="I362" s="493"/>
      <c r="J362" s="456">
        <v>57101</v>
      </c>
      <c r="K362" s="493">
        <v>51692</v>
      </c>
      <c r="L362" s="624">
        <v>14474</v>
      </c>
      <c r="M362" s="493">
        <v>13199</v>
      </c>
      <c r="N362" s="456">
        <v>59222</v>
      </c>
      <c r="O362" s="493">
        <v>52100</v>
      </c>
      <c r="P362" s="449">
        <f t="shared" si="123"/>
        <v>130797</v>
      </c>
      <c r="Q362" s="450">
        <f t="shared" si="124"/>
        <v>4359.8999999999996</v>
      </c>
      <c r="R362" s="451">
        <f t="shared" si="125"/>
        <v>116991</v>
      </c>
      <c r="S362" s="452">
        <f t="shared" si="126"/>
        <v>3899.7</v>
      </c>
      <c r="T362" s="456"/>
      <c r="U362" s="493"/>
      <c r="V362" s="449">
        <f t="shared" si="127"/>
        <v>0</v>
      </c>
      <c r="W362" s="448">
        <f t="shared" si="128"/>
        <v>0</v>
      </c>
      <c r="X362" s="456"/>
      <c r="Y362" s="493"/>
      <c r="Z362" s="456"/>
      <c r="AA362" s="493"/>
      <c r="AB362" s="456"/>
      <c r="AC362" s="493"/>
      <c r="AD362" s="456"/>
      <c r="AE362" s="493"/>
      <c r="AF362" s="449">
        <f t="shared" si="129"/>
        <v>0</v>
      </c>
      <c r="AG362" s="450">
        <f t="shared" si="130"/>
        <v>0</v>
      </c>
      <c r="AH362" s="451">
        <f t="shared" si="131"/>
        <v>0</v>
      </c>
      <c r="AI362" s="451">
        <f t="shared" si="132"/>
        <v>0</v>
      </c>
      <c r="AJ362" s="456"/>
      <c r="AK362" s="493"/>
      <c r="AL362" s="449">
        <f t="shared" si="133"/>
        <v>0</v>
      </c>
      <c r="AM362" s="452">
        <f t="shared" si="134"/>
        <v>0</v>
      </c>
      <c r="AN362" s="456"/>
      <c r="AO362" s="493"/>
      <c r="AP362" s="456"/>
      <c r="AQ362" s="493"/>
      <c r="AR362" s="456"/>
      <c r="AS362" s="493"/>
      <c r="AT362" s="456"/>
      <c r="AU362" s="493"/>
      <c r="AV362" s="449">
        <f t="shared" si="135"/>
        <v>0</v>
      </c>
      <c r="AW362" s="453">
        <f t="shared" si="136"/>
        <v>0</v>
      </c>
      <c r="AX362" s="451">
        <f t="shared" si="137"/>
        <v>0</v>
      </c>
      <c r="AY362" s="454">
        <f t="shared" si="138"/>
        <v>0</v>
      </c>
      <c r="AZ362" s="455">
        <f t="shared" si="139"/>
        <v>4359.8999999999996</v>
      </c>
      <c r="BA362" s="451">
        <f t="shared" si="140"/>
        <v>3899.7</v>
      </c>
    </row>
    <row r="363" spans="1:53">
      <c r="A363" s="528" t="s">
        <v>233</v>
      </c>
      <c r="B363" s="630" t="s">
        <v>726</v>
      </c>
      <c r="C363" s="722"/>
      <c r="D363" s="531">
        <v>207449</v>
      </c>
      <c r="E363" s="532">
        <v>8</v>
      </c>
      <c r="F363" s="491" t="s">
        <v>41</v>
      </c>
      <c r="G363" s="492" t="s">
        <v>41</v>
      </c>
      <c r="H363" s="456"/>
      <c r="I363" s="493"/>
      <c r="J363" s="456">
        <v>108444</v>
      </c>
      <c r="K363" s="493">
        <v>109037</v>
      </c>
      <c r="L363" s="456">
        <v>29437</v>
      </c>
      <c r="M363" s="493">
        <v>29565</v>
      </c>
      <c r="N363" s="456">
        <v>117007</v>
      </c>
      <c r="O363" s="493">
        <v>117407</v>
      </c>
      <c r="P363" s="449">
        <f t="shared" si="123"/>
        <v>254888</v>
      </c>
      <c r="Q363" s="450">
        <f t="shared" si="124"/>
        <v>8496.2666666666664</v>
      </c>
      <c r="R363" s="451">
        <f t="shared" si="125"/>
        <v>256009</v>
      </c>
      <c r="S363" s="452">
        <f t="shared" si="126"/>
        <v>8533.6333333333332</v>
      </c>
      <c r="T363" s="456"/>
      <c r="U363" s="493"/>
      <c r="V363" s="449">
        <f t="shared" si="127"/>
        <v>0</v>
      </c>
      <c r="W363" s="448">
        <f t="shared" si="128"/>
        <v>0</v>
      </c>
      <c r="X363" s="456"/>
      <c r="Y363" s="493"/>
      <c r="Z363" s="456"/>
      <c r="AA363" s="493"/>
      <c r="AB363" s="456"/>
      <c r="AC363" s="493"/>
      <c r="AD363" s="456"/>
      <c r="AE363" s="493"/>
      <c r="AF363" s="449">
        <f t="shared" si="129"/>
        <v>0</v>
      </c>
      <c r="AG363" s="450">
        <f t="shared" si="130"/>
        <v>0</v>
      </c>
      <c r="AH363" s="451">
        <f t="shared" si="131"/>
        <v>0</v>
      </c>
      <c r="AI363" s="451">
        <f t="shared" si="132"/>
        <v>0</v>
      </c>
      <c r="AJ363" s="456"/>
      <c r="AK363" s="493"/>
      <c r="AL363" s="449">
        <f t="shared" si="133"/>
        <v>0</v>
      </c>
      <c r="AM363" s="452">
        <f t="shared" si="134"/>
        <v>0</v>
      </c>
      <c r="AN363" s="456"/>
      <c r="AO363" s="493"/>
      <c r="AP363" s="456"/>
      <c r="AQ363" s="493"/>
      <c r="AR363" s="456"/>
      <c r="AS363" s="493"/>
      <c r="AT363" s="456"/>
      <c r="AU363" s="493"/>
      <c r="AV363" s="449">
        <f t="shared" si="135"/>
        <v>0</v>
      </c>
      <c r="AW363" s="453">
        <f t="shared" si="136"/>
        <v>0</v>
      </c>
      <c r="AX363" s="451">
        <f t="shared" si="137"/>
        <v>0</v>
      </c>
      <c r="AY363" s="454">
        <f t="shared" si="138"/>
        <v>0</v>
      </c>
      <c r="AZ363" s="455">
        <f t="shared" si="139"/>
        <v>8496.2666666666664</v>
      </c>
      <c r="BA363" s="451">
        <f t="shared" si="140"/>
        <v>8533.6333333333332</v>
      </c>
    </row>
    <row r="364" spans="1:53">
      <c r="A364" s="528" t="s">
        <v>233</v>
      </c>
      <c r="B364" s="534" t="s">
        <v>727</v>
      </c>
      <c r="C364" s="723" t="s">
        <v>738</v>
      </c>
      <c r="D364" s="531">
        <v>207670</v>
      </c>
      <c r="E364" s="728">
        <v>9</v>
      </c>
      <c r="F364" s="491" t="s">
        <v>41</v>
      </c>
      <c r="G364" s="492" t="s">
        <v>41</v>
      </c>
      <c r="H364" s="456"/>
      <c r="I364" s="493"/>
      <c r="J364" s="456">
        <v>55931</v>
      </c>
      <c r="K364" s="493">
        <v>54325</v>
      </c>
      <c r="L364" s="624">
        <v>13164</v>
      </c>
      <c r="M364" s="493">
        <v>12374</v>
      </c>
      <c r="N364" s="624">
        <v>61619</v>
      </c>
      <c r="O364" s="493">
        <v>60460</v>
      </c>
      <c r="P364" s="449">
        <f t="shared" si="123"/>
        <v>130714</v>
      </c>
      <c r="Q364" s="450">
        <f t="shared" si="124"/>
        <v>4357.1333333333332</v>
      </c>
      <c r="R364" s="451">
        <f t="shared" si="125"/>
        <v>127159</v>
      </c>
      <c r="S364" s="452">
        <f t="shared" si="126"/>
        <v>4238.6333333333332</v>
      </c>
      <c r="T364" s="456"/>
      <c r="U364" s="493"/>
      <c r="V364" s="449">
        <f t="shared" si="127"/>
        <v>0</v>
      </c>
      <c r="W364" s="448">
        <f t="shared" si="128"/>
        <v>0</v>
      </c>
      <c r="X364" s="456"/>
      <c r="Y364" s="493"/>
      <c r="Z364" s="456"/>
      <c r="AA364" s="493"/>
      <c r="AB364" s="456"/>
      <c r="AC364" s="493"/>
      <c r="AD364" s="456"/>
      <c r="AE364" s="493"/>
      <c r="AF364" s="449">
        <f t="shared" si="129"/>
        <v>0</v>
      </c>
      <c r="AG364" s="450">
        <f t="shared" si="130"/>
        <v>0</v>
      </c>
      <c r="AH364" s="451">
        <f t="shared" si="131"/>
        <v>0</v>
      </c>
      <c r="AI364" s="451">
        <f t="shared" si="132"/>
        <v>0</v>
      </c>
      <c r="AJ364" s="456"/>
      <c r="AK364" s="493"/>
      <c r="AL364" s="449">
        <f t="shared" si="133"/>
        <v>0</v>
      </c>
      <c r="AM364" s="452">
        <f t="shared" si="134"/>
        <v>0</v>
      </c>
      <c r="AN364" s="456"/>
      <c r="AO364" s="493"/>
      <c r="AP364" s="456"/>
      <c r="AQ364" s="493"/>
      <c r="AR364" s="456"/>
      <c r="AS364" s="493"/>
      <c r="AT364" s="456"/>
      <c r="AU364" s="493"/>
      <c r="AV364" s="449">
        <f t="shared" si="135"/>
        <v>0</v>
      </c>
      <c r="AW364" s="453">
        <f t="shared" si="136"/>
        <v>0</v>
      </c>
      <c r="AX364" s="451">
        <f t="shared" si="137"/>
        <v>0</v>
      </c>
      <c r="AY364" s="454">
        <f t="shared" si="138"/>
        <v>0</v>
      </c>
      <c r="AZ364" s="455">
        <f t="shared" si="139"/>
        <v>4357.1333333333332</v>
      </c>
      <c r="BA364" s="451">
        <f t="shared" si="140"/>
        <v>4238.6333333333332</v>
      </c>
    </row>
    <row r="365" spans="1:53">
      <c r="A365" s="528" t="s">
        <v>233</v>
      </c>
      <c r="B365" s="529" t="s">
        <v>728</v>
      </c>
      <c r="C365" s="722"/>
      <c r="D365" s="531">
        <v>207935</v>
      </c>
      <c r="E365" s="532">
        <v>8</v>
      </c>
      <c r="F365" s="491" t="s">
        <v>41</v>
      </c>
      <c r="G365" s="492" t="s">
        <v>41</v>
      </c>
      <c r="H365" s="456"/>
      <c r="I365" s="493"/>
      <c r="J365" s="456">
        <v>146613</v>
      </c>
      <c r="K365" s="493">
        <v>141385</v>
      </c>
      <c r="L365" s="456">
        <v>38601</v>
      </c>
      <c r="M365" s="493">
        <v>36977</v>
      </c>
      <c r="N365" s="456">
        <v>151596</v>
      </c>
      <c r="O365" s="493">
        <v>145935</v>
      </c>
      <c r="P365" s="449">
        <f t="shared" si="123"/>
        <v>336810</v>
      </c>
      <c r="Q365" s="450">
        <f t="shared" si="124"/>
        <v>11227</v>
      </c>
      <c r="R365" s="451">
        <f t="shared" si="125"/>
        <v>324297</v>
      </c>
      <c r="S365" s="452">
        <f t="shared" si="126"/>
        <v>10809.9</v>
      </c>
      <c r="T365" s="456"/>
      <c r="U365" s="493"/>
      <c r="V365" s="449">
        <f t="shared" si="127"/>
        <v>0</v>
      </c>
      <c r="W365" s="448">
        <f t="shared" si="128"/>
        <v>0</v>
      </c>
      <c r="X365" s="456"/>
      <c r="Y365" s="493"/>
      <c r="Z365" s="456"/>
      <c r="AA365" s="493"/>
      <c r="AB365" s="456"/>
      <c r="AC365" s="493"/>
      <c r="AD365" s="456"/>
      <c r="AE365" s="493"/>
      <c r="AF365" s="449">
        <f t="shared" si="129"/>
        <v>0</v>
      </c>
      <c r="AG365" s="450">
        <f t="shared" si="130"/>
        <v>0</v>
      </c>
      <c r="AH365" s="451">
        <f t="shared" si="131"/>
        <v>0</v>
      </c>
      <c r="AI365" s="451">
        <f t="shared" si="132"/>
        <v>0</v>
      </c>
      <c r="AJ365" s="456"/>
      <c r="AK365" s="493"/>
      <c r="AL365" s="449">
        <f t="shared" si="133"/>
        <v>0</v>
      </c>
      <c r="AM365" s="452">
        <f t="shared" si="134"/>
        <v>0</v>
      </c>
      <c r="AN365" s="456"/>
      <c r="AO365" s="493"/>
      <c r="AP365" s="456"/>
      <c r="AQ365" s="493"/>
      <c r="AR365" s="456"/>
      <c r="AS365" s="493"/>
      <c r="AT365" s="456"/>
      <c r="AU365" s="493"/>
      <c r="AV365" s="449">
        <f t="shared" si="135"/>
        <v>0</v>
      </c>
      <c r="AW365" s="453">
        <f t="shared" si="136"/>
        <v>0</v>
      </c>
      <c r="AX365" s="451">
        <f t="shared" si="137"/>
        <v>0</v>
      </c>
      <c r="AY365" s="454">
        <f t="shared" si="138"/>
        <v>0</v>
      </c>
      <c r="AZ365" s="455">
        <f t="shared" si="139"/>
        <v>11227</v>
      </c>
      <c r="BA365" s="451">
        <f t="shared" si="140"/>
        <v>10809.9</v>
      </c>
    </row>
    <row r="366" spans="1:53">
      <c r="A366" s="528" t="s">
        <v>233</v>
      </c>
      <c r="B366" s="534" t="s">
        <v>729</v>
      </c>
      <c r="C366" s="723" t="s">
        <v>739</v>
      </c>
      <c r="D366" s="531">
        <v>206923</v>
      </c>
      <c r="E366" s="728">
        <v>10</v>
      </c>
      <c r="F366" s="491" t="s">
        <v>41</v>
      </c>
      <c r="G366" s="492" t="s">
        <v>41</v>
      </c>
      <c r="H366" s="456"/>
      <c r="I366" s="493"/>
      <c r="J366" s="456">
        <v>25251</v>
      </c>
      <c r="K366" s="493">
        <v>22334</v>
      </c>
      <c r="L366" s="456">
        <v>3594</v>
      </c>
      <c r="M366" s="493">
        <v>3711</v>
      </c>
      <c r="N366" s="456">
        <v>25176</v>
      </c>
      <c r="O366" s="493">
        <v>25461</v>
      </c>
      <c r="P366" s="449">
        <f t="shared" si="123"/>
        <v>54021</v>
      </c>
      <c r="Q366" s="450">
        <f t="shared" si="124"/>
        <v>1800.7</v>
      </c>
      <c r="R366" s="451">
        <f t="shared" si="125"/>
        <v>51506</v>
      </c>
      <c r="S366" s="452">
        <f t="shared" si="126"/>
        <v>1716.8666666666666</v>
      </c>
      <c r="T366" s="456"/>
      <c r="U366" s="493"/>
      <c r="V366" s="449">
        <f t="shared" si="127"/>
        <v>0</v>
      </c>
      <c r="W366" s="448">
        <f t="shared" si="128"/>
        <v>0</v>
      </c>
      <c r="X366" s="456"/>
      <c r="Y366" s="493"/>
      <c r="Z366" s="456"/>
      <c r="AA366" s="493"/>
      <c r="AB366" s="456"/>
      <c r="AC366" s="493"/>
      <c r="AD366" s="456"/>
      <c r="AE366" s="493"/>
      <c r="AF366" s="449">
        <f t="shared" si="129"/>
        <v>0</v>
      </c>
      <c r="AG366" s="450">
        <f t="shared" si="130"/>
        <v>0</v>
      </c>
      <c r="AH366" s="451">
        <f t="shared" si="131"/>
        <v>0</v>
      </c>
      <c r="AI366" s="451">
        <f t="shared" si="132"/>
        <v>0</v>
      </c>
      <c r="AJ366" s="456"/>
      <c r="AK366" s="493"/>
      <c r="AL366" s="449">
        <f t="shared" si="133"/>
        <v>0</v>
      </c>
      <c r="AM366" s="452">
        <f t="shared" si="134"/>
        <v>0</v>
      </c>
      <c r="AN366" s="456"/>
      <c r="AO366" s="493"/>
      <c r="AP366" s="456"/>
      <c r="AQ366" s="493"/>
      <c r="AR366" s="456"/>
      <c r="AS366" s="493"/>
      <c r="AT366" s="456"/>
      <c r="AU366" s="493"/>
      <c r="AV366" s="449">
        <f t="shared" si="135"/>
        <v>0</v>
      </c>
      <c r="AW366" s="453">
        <f t="shared" si="136"/>
        <v>0</v>
      </c>
      <c r="AX366" s="451">
        <f t="shared" si="137"/>
        <v>0</v>
      </c>
      <c r="AY366" s="454">
        <f t="shared" si="138"/>
        <v>0</v>
      </c>
      <c r="AZ366" s="455">
        <f t="shared" si="139"/>
        <v>1800.7</v>
      </c>
      <c r="BA366" s="451">
        <f t="shared" si="140"/>
        <v>1716.8666666666666</v>
      </c>
    </row>
    <row r="367" spans="1:53">
      <c r="A367" s="528" t="s">
        <v>233</v>
      </c>
      <c r="B367" s="630" t="s">
        <v>730</v>
      </c>
      <c r="C367" s="722"/>
      <c r="D367" s="531">
        <v>207281</v>
      </c>
      <c r="E367" s="532">
        <v>9</v>
      </c>
      <c r="F367" s="491" t="s">
        <v>41</v>
      </c>
      <c r="G367" s="492" t="s">
        <v>41</v>
      </c>
      <c r="H367" s="456"/>
      <c r="I367" s="493"/>
      <c r="J367" s="456">
        <v>42385</v>
      </c>
      <c r="K367" s="493">
        <v>41313</v>
      </c>
      <c r="L367" s="456">
        <v>6597</v>
      </c>
      <c r="M367" s="493">
        <v>6873</v>
      </c>
      <c r="N367" s="456">
        <v>44449</v>
      </c>
      <c r="O367" s="493">
        <v>43735</v>
      </c>
      <c r="P367" s="449">
        <f t="shared" si="123"/>
        <v>93431</v>
      </c>
      <c r="Q367" s="450">
        <f t="shared" si="124"/>
        <v>3114.3666666666668</v>
      </c>
      <c r="R367" s="451">
        <f t="shared" si="125"/>
        <v>91921</v>
      </c>
      <c r="S367" s="452">
        <f t="shared" si="126"/>
        <v>3064.0333333333333</v>
      </c>
      <c r="T367" s="456"/>
      <c r="U367" s="493"/>
      <c r="V367" s="449">
        <f t="shared" si="127"/>
        <v>0</v>
      </c>
      <c r="W367" s="448">
        <f t="shared" si="128"/>
        <v>0</v>
      </c>
      <c r="X367" s="456"/>
      <c r="Y367" s="493"/>
      <c r="Z367" s="456"/>
      <c r="AA367" s="493"/>
      <c r="AB367" s="456"/>
      <c r="AC367" s="493"/>
      <c r="AD367" s="456"/>
      <c r="AE367" s="493"/>
      <c r="AF367" s="449">
        <f t="shared" si="129"/>
        <v>0</v>
      </c>
      <c r="AG367" s="450">
        <f t="shared" si="130"/>
        <v>0</v>
      </c>
      <c r="AH367" s="451">
        <f t="shared" si="131"/>
        <v>0</v>
      </c>
      <c r="AI367" s="451">
        <f t="shared" si="132"/>
        <v>0</v>
      </c>
      <c r="AJ367" s="456"/>
      <c r="AK367" s="493"/>
      <c r="AL367" s="449">
        <f t="shared" si="133"/>
        <v>0</v>
      </c>
      <c r="AM367" s="452">
        <f t="shared" si="134"/>
        <v>0</v>
      </c>
      <c r="AN367" s="456"/>
      <c r="AO367" s="493"/>
      <c r="AP367" s="456"/>
      <c r="AQ367" s="493"/>
      <c r="AR367" s="456"/>
      <c r="AS367" s="493"/>
      <c r="AT367" s="456"/>
      <c r="AU367" s="493"/>
      <c r="AV367" s="449">
        <f t="shared" si="135"/>
        <v>0</v>
      </c>
      <c r="AW367" s="453">
        <f t="shared" si="136"/>
        <v>0</v>
      </c>
      <c r="AX367" s="451">
        <f t="shared" si="137"/>
        <v>0</v>
      </c>
      <c r="AY367" s="454">
        <f t="shared" si="138"/>
        <v>0</v>
      </c>
      <c r="AZ367" s="455">
        <f t="shared" si="139"/>
        <v>3114.3666666666668</v>
      </c>
      <c r="BA367" s="451">
        <f t="shared" si="140"/>
        <v>3064.0333333333333</v>
      </c>
    </row>
    <row r="368" spans="1:53">
      <c r="A368" s="528" t="s">
        <v>233</v>
      </c>
      <c r="B368" s="529" t="s">
        <v>731</v>
      </c>
      <c r="C368" s="722"/>
      <c r="D368" s="531">
        <v>206996</v>
      </c>
      <c r="E368" s="532">
        <v>10</v>
      </c>
      <c r="F368" s="491" t="s">
        <v>41</v>
      </c>
      <c r="G368" s="492" t="s">
        <v>41</v>
      </c>
      <c r="H368" s="456"/>
      <c r="I368" s="493"/>
      <c r="J368" s="456">
        <v>22697</v>
      </c>
      <c r="K368" s="493">
        <v>22353</v>
      </c>
      <c r="L368" s="456">
        <v>3871</v>
      </c>
      <c r="M368" s="493">
        <v>3663</v>
      </c>
      <c r="N368" s="456">
        <v>25437</v>
      </c>
      <c r="O368" s="493">
        <v>25050</v>
      </c>
      <c r="P368" s="449">
        <f t="shared" si="123"/>
        <v>52005</v>
      </c>
      <c r="Q368" s="450">
        <f t="shared" si="124"/>
        <v>1733.5</v>
      </c>
      <c r="R368" s="451">
        <f t="shared" si="125"/>
        <v>51066</v>
      </c>
      <c r="S368" s="452">
        <f t="shared" si="126"/>
        <v>1702.2</v>
      </c>
      <c r="T368" s="456"/>
      <c r="U368" s="493"/>
      <c r="V368" s="449">
        <f t="shared" si="127"/>
        <v>0</v>
      </c>
      <c r="W368" s="448">
        <f t="shared" si="128"/>
        <v>0</v>
      </c>
      <c r="X368" s="456"/>
      <c r="Y368" s="493"/>
      <c r="Z368" s="456"/>
      <c r="AA368" s="493"/>
      <c r="AB368" s="456"/>
      <c r="AC368" s="493"/>
      <c r="AD368" s="456"/>
      <c r="AE368" s="493"/>
      <c r="AF368" s="449">
        <f t="shared" si="129"/>
        <v>0</v>
      </c>
      <c r="AG368" s="450">
        <f t="shared" si="130"/>
        <v>0</v>
      </c>
      <c r="AH368" s="451">
        <f t="shared" si="131"/>
        <v>0</v>
      </c>
      <c r="AI368" s="451">
        <f t="shared" si="132"/>
        <v>0</v>
      </c>
      <c r="AJ368" s="456"/>
      <c r="AK368" s="493"/>
      <c r="AL368" s="449">
        <f t="shared" si="133"/>
        <v>0</v>
      </c>
      <c r="AM368" s="452">
        <f t="shared" si="134"/>
        <v>0</v>
      </c>
      <c r="AN368" s="456"/>
      <c r="AO368" s="493"/>
      <c r="AP368" s="456"/>
      <c r="AQ368" s="493"/>
      <c r="AR368" s="456"/>
      <c r="AS368" s="493"/>
      <c r="AT368" s="456"/>
      <c r="AU368" s="493"/>
      <c r="AV368" s="449">
        <f t="shared" si="135"/>
        <v>0</v>
      </c>
      <c r="AW368" s="453">
        <f t="shared" si="136"/>
        <v>0</v>
      </c>
      <c r="AX368" s="451">
        <f t="shared" si="137"/>
        <v>0</v>
      </c>
      <c r="AY368" s="454">
        <f t="shared" si="138"/>
        <v>0</v>
      </c>
      <c r="AZ368" s="455">
        <f t="shared" si="139"/>
        <v>1733.5</v>
      </c>
      <c r="BA368" s="451">
        <f t="shared" si="140"/>
        <v>1702.2</v>
      </c>
    </row>
    <row r="369" spans="1:53">
      <c r="A369" s="528" t="s">
        <v>233</v>
      </c>
      <c r="B369" s="529" t="s">
        <v>732</v>
      </c>
      <c r="C369" s="722"/>
      <c r="D369" s="531">
        <v>207050</v>
      </c>
      <c r="E369" s="532">
        <v>10</v>
      </c>
      <c r="F369" s="491" t="s">
        <v>41</v>
      </c>
      <c r="G369" s="492" t="s">
        <v>41</v>
      </c>
      <c r="H369" s="456"/>
      <c r="I369" s="493"/>
      <c r="J369" s="456">
        <v>16632</v>
      </c>
      <c r="K369" s="493">
        <v>15420</v>
      </c>
      <c r="L369" s="456">
        <v>2516</v>
      </c>
      <c r="M369" s="493">
        <v>2479</v>
      </c>
      <c r="N369" s="456">
        <v>17056</v>
      </c>
      <c r="O369" s="493">
        <v>16667</v>
      </c>
      <c r="P369" s="449">
        <f t="shared" si="123"/>
        <v>36204</v>
      </c>
      <c r="Q369" s="450">
        <f t="shared" si="124"/>
        <v>1206.8</v>
      </c>
      <c r="R369" s="451">
        <f t="shared" si="125"/>
        <v>34566</v>
      </c>
      <c r="S369" s="452">
        <f t="shared" si="126"/>
        <v>1152.2</v>
      </c>
      <c r="T369" s="456"/>
      <c r="U369" s="493"/>
      <c r="V369" s="449">
        <f t="shared" si="127"/>
        <v>0</v>
      </c>
      <c r="W369" s="448">
        <f t="shared" si="128"/>
        <v>0</v>
      </c>
      <c r="X369" s="456"/>
      <c r="Y369" s="493"/>
      <c r="Z369" s="456"/>
      <c r="AA369" s="493"/>
      <c r="AB369" s="456"/>
      <c r="AC369" s="493"/>
      <c r="AD369" s="456"/>
      <c r="AE369" s="493"/>
      <c r="AF369" s="449">
        <f t="shared" si="129"/>
        <v>0</v>
      </c>
      <c r="AG369" s="450">
        <f t="shared" si="130"/>
        <v>0</v>
      </c>
      <c r="AH369" s="451">
        <f t="shared" si="131"/>
        <v>0</v>
      </c>
      <c r="AI369" s="451">
        <f t="shared" si="132"/>
        <v>0</v>
      </c>
      <c r="AJ369" s="456"/>
      <c r="AK369" s="493"/>
      <c r="AL369" s="449">
        <f t="shared" si="133"/>
        <v>0</v>
      </c>
      <c r="AM369" s="452">
        <f t="shared" si="134"/>
        <v>0</v>
      </c>
      <c r="AN369" s="456"/>
      <c r="AO369" s="493"/>
      <c r="AP369" s="456"/>
      <c r="AQ369" s="493"/>
      <c r="AR369" s="456"/>
      <c r="AS369" s="493"/>
      <c r="AT369" s="456"/>
      <c r="AU369" s="493"/>
      <c r="AV369" s="449">
        <f t="shared" si="135"/>
        <v>0</v>
      </c>
      <c r="AW369" s="453">
        <f t="shared" si="136"/>
        <v>0</v>
      </c>
      <c r="AX369" s="451">
        <f t="shared" si="137"/>
        <v>0</v>
      </c>
      <c r="AY369" s="454">
        <f t="shared" si="138"/>
        <v>0</v>
      </c>
      <c r="AZ369" s="455">
        <f t="shared" si="139"/>
        <v>1206.8</v>
      </c>
      <c r="BA369" s="451">
        <f t="shared" si="140"/>
        <v>1152.2</v>
      </c>
    </row>
    <row r="370" spans="1:53">
      <c r="A370" s="528" t="s">
        <v>233</v>
      </c>
      <c r="B370" s="534" t="s">
        <v>733</v>
      </c>
      <c r="C370" s="722"/>
      <c r="D370" s="531">
        <v>207236</v>
      </c>
      <c r="E370" s="532">
        <v>10</v>
      </c>
      <c r="F370" s="491" t="s">
        <v>41</v>
      </c>
      <c r="G370" s="492" t="s">
        <v>41</v>
      </c>
      <c r="H370" s="456"/>
      <c r="I370" s="493"/>
      <c r="J370" s="456">
        <v>21035</v>
      </c>
      <c r="K370" s="493">
        <v>20969</v>
      </c>
      <c r="L370" s="456">
        <v>3549</v>
      </c>
      <c r="M370" s="493">
        <v>3362</v>
      </c>
      <c r="N370" s="624">
        <v>24452</v>
      </c>
      <c r="O370" s="493">
        <v>23249</v>
      </c>
      <c r="P370" s="449">
        <f t="shared" si="123"/>
        <v>49036</v>
      </c>
      <c r="Q370" s="450">
        <f t="shared" si="124"/>
        <v>1634.5333333333333</v>
      </c>
      <c r="R370" s="451">
        <f t="shared" si="125"/>
        <v>47580</v>
      </c>
      <c r="S370" s="452">
        <f t="shared" si="126"/>
        <v>1586</v>
      </c>
      <c r="T370" s="456"/>
      <c r="U370" s="493"/>
      <c r="V370" s="449">
        <f t="shared" si="127"/>
        <v>0</v>
      </c>
      <c r="W370" s="448">
        <f t="shared" si="128"/>
        <v>0</v>
      </c>
      <c r="X370" s="456"/>
      <c r="Y370" s="493"/>
      <c r="Z370" s="456"/>
      <c r="AA370" s="493"/>
      <c r="AB370" s="456"/>
      <c r="AC370" s="493"/>
      <c r="AD370" s="456"/>
      <c r="AE370" s="493"/>
      <c r="AF370" s="449">
        <f t="shared" si="129"/>
        <v>0</v>
      </c>
      <c r="AG370" s="450">
        <f t="shared" si="130"/>
        <v>0</v>
      </c>
      <c r="AH370" s="451">
        <f t="shared" si="131"/>
        <v>0</v>
      </c>
      <c r="AI370" s="451">
        <f t="shared" si="132"/>
        <v>0</v>
      </c>
      <c r="AJ370" s="456"/>
      <c r="AK370" s="493"/>
      <c r="AL370" s="449">
        <f t="shared" si="133"/>
        <v>0</v>
      </c>
      <c r="AM370" s="452">
        <f t="shared" si="134"/>
        <v>0</v>
      </c>
      <c r="AN370" s="456"/>
      <c r="AO370" s="493"/>
      <c r="AP370" s="456"/>
      <c r="AQ370" s="493"/>
      <c r="AR370" s="456"/>
      <c r="AS370" s="493"/>
      <c r="AT370" s="456"/>
      <c r="AU370" s="493"/>
      <c r="AV370" s="449">
        <f t="shared" si="135"/>
        <v>0</v>
      </c>
      <c r="AW370" s="453">
        <f t="shared" si="136"/>
        <v>0</v>
      </c>
      <c r="AX370" s="451">
        <f t="shared" si="137"/>
        <v>0</v>
      </c>
      <c r="AY370" s="454">
        <f t="shared" si="138"/>
        <v>0</v>
      </c>
      <c r="AZ370" s="455">
        <f t="shared" si="139"/>
        <v>1634.5333333333333</v>
      </c>
      <c r="BA370" s="451">
        <f t="shared" si="140"/>
        <v>1586</v>
      </c>
    </row>
    <row r="371" spans="1:53">
      <c r="A371" s="528" t="s">
        <v>233</v>
      </c>
      <c r="B371" s="529" t="s">
        <v>734</v>
      </c>
      <c r="C371" s="722"/>
      <c r="D371" s="531">
        <v>207290</v>
      </c>
      <c r="E371" s="532">
        <v>10</v>
      </c>
      <c r="F371" s="491" t="s">
        <v>41</v>
      </c>
      <c r="G371" s="492" t="s">
        <v>41</v>
      </c>
      <c r="H371" s="456"/>
      <c r="I371" s="493"/>
      <c r="J371" s="456">
        <v>26358</v>
      </c>
      <c r="K371" s="493">
        <v>23924</v>
      </c>
      <c r="L371" s="456">
        <v>3383</v>
      </c>
      <c r="M371" s="493">
        <v>3378</v>
      </c>
      <c r="N371" s="456">
        <v>28072</v>
      </c>
      <c r="O371" s="493">
        <v>26505</v>
      </c>
      <c r="P371" s="449">
        <f t="shared" si="123"/>
        <v>57813</v>
      </c>
      <c r="Q371" s="450">
        <f t="shared" si="124"/>
        <v>1927.1</v>
      </c>
      <c r="R371" s="451">
        <f t="shared" si="125"/>
        <v>53807</v>
      </c>
      <c r="S371" s="452">
        <f t="shared" si="126"/>
        <v>1793.5666666666666</v>
      </c>
      <c r="T371" s="456"/>
      <c r="U371" s="493"/>
      <c r="V371" s="449">
        <f t="shared" si="127"/>
        <v>0</v>
      </c>
      <c r="W371" s="448">
        <f t="shared" si="128"/>
        <v>0</v>
      </c>
      <c r="X371" s="456"/>
      <c r="Y371" s="493"/>
      <c r="Z371" s="456"/>
      <c r="AA371" s="493"/>
      <c r="AB371" s="456"/>
      <c r="AC371" s="493"/>
      <c r="AD371" s="456"/>
      <c r="AE371" s="493"/>
      <c r="AF371" s="449">
        <f t="shared" si="129"/>
        <v>0</v>
      </c>
      <c r="AG371" s="450">
        <f t="shared" si="130"/>
        <v>0</v>
      </c>
      <c r="AH371" s="451">
        <f t="shared" si="131"/>
        <v>0</v>
      </c>
      <c r="AI371" s="451">
        <f t="shared" si="132"/>
        <v>0</v>
      </c>
      <c r="AJ371" s="456"/>
      <c r="AK371" s="493"/>
      <c r="AL371" s="449">
        <f t="shared" si="133"/>
        <v>0</v>
      </c>
      <c r="AM371" s="452">
        <f t="shared" si="134"/>
        <v>0</v>
      </c>
      <c r="AN371" s="456"/>
      <c r="AO371" s="493"/>
      <c r="AP371" s="456"/>
      <c r="AQ371" s="493"/>
      <c r="AR371" s="456"/>
      <c r="AS371" s="493"/>
      <c r="AT371" s="456"/>
      <c r="AU371" s="493"/>
      <c r="AV371" s="449">
        <f t="shared" si="135"/>
        <v>0</v>
      </c>
      <c r="AW371" s="453">
        <f t="shared" si="136"/>
        <v>0</v>
      </c>
      <c r="AX371" s="451">
        <f t="shared" si="137"/>
        <v>0</v>
      </c>
      <c r="AY371" s="454">
        <f t="shared" si="138"/>
        <v>0</v>
      </c>
      <c r="AZ371" s="455">
        <f t="shared" si="139"/>
        <v>1927.1</v>
      </c>
      <c r="BA371" s="451">
        <f t="shared" si="140"/>
        <v>1793.5666666666666</v>
      </c>
    </row>
    <row r="372" spans="1:53">
      <c r="A372" s="528" t="s">
        <v>233</v>
      </c>
      <c r="B372" s="529" t="s">
        <v>735</v>
      </c>
      <c r="C372" s="722"/>
      <c r="D372" s="531">
        <v>207069</v>
      </c>
      <c r="E372" s="532">
        <v>10</v>
      </c>
      <c r="F372" s="491" t="s">
        <v>41</v>
      </c>
      <c r="G372" s="492" t="s">
        <v>41</v>
      </c>
      <c r="H372" s="456"/>
      <c r="I372" s="493"/>
      <c r="J372" s="456">
        <v>18087</v>
      </c>
      <c r="K372" s="493">
        <v>17561</v>
      </c>
      <c r="L372" s="456">
        <v>3338</v>
      </c>
      <c r="M372" s="493">
        <v>3449</v>
      </c>
      <c r="N372" s="456">
        <v>19077</v>
      </c>
      <c r="O372" s="493">
        <v>18503</v>
      </c>
      <c r="P372" s="449">
        <f t="shared" si="123"/>
        <v>40502</v>
      </c>
      <c r="Q372" s="450">
        <f t="shared" si="124"/>
        <v>1350.0666666666666</v>
      </c>
      <c r="R372" s="451">
        <f t="shared" si="125"/>
        <v>39513</v>
      </c>
      <c r="S372" s="452">
        <f t="shared" si="126"/>
        <v>1317.1</v>
      </c>
      <c r="T372" s="456"/>
      <c r="U372" s="493"/>
      <c r="V372" s="449">
        <f t="shared" si="127"/>
        <v>0</v>
      </c>
      <c r="W372" s="448">
        <f t="shared" si="128"/>
        <v>0</v>
      </c>
      <c r="X372" s="456"/>
      <c r="Y372" s="493"/>
      <c r="Z372" s="456"/>
      <c r="AA372" s="493"/>
      <c r="AB372" s="456"/>
      <c r="AC372" s="493"/>
      <c r="AD372" s="456"/>
      <c r="AE372" s="493"/>
      <c r="AF372" s="449">
        <f t="shared" si="129"/>
        <v>0</v>
      </c>
      <c r="AG372" s="450">
        <f t="shared" si="130"/>
        <v>0</v>
      </c>
      <c r="AH372" s="451">
        <f t="shared" si="131"/>
        <v>0</v>
      </c>
      <c r="AI372" s="451">
        <f t="shared" si="132"/>
        <v>0</v>
      </c>
      <c r="AJ372" s="456"/>
      <c r="AK372" s="493"/>
      <c r="AL372" s="449">
        <f t="shared" si="133"/>
        <v>0</v>
      </c>
      <c r="AM372" s="452">
        <f t="shared" si="134"/>
        <v>0</v>
      </c>
      <c r="AN372" s="456"/>
      <c r="AO372" s="493"/>
      <c r="AP372" s="456"/>
      <c r="AQ372" s="493"/>
      <c r="AR372" s="456"/>
      <c r="AS372" s="493"/>
      <c r="AT372" s="456"/>
      <c r="AU372" s="493"/>
      <c r="AV372" s="449">
        <f t="shared" si="135"/>
        <v>0</v>
      </c>
      <c r="AW372" s="453">
        <f t="shared" si="136"/>
        <v>0</v>
      </c>
      <c r="AX372" s="451">
        <f t="shared" si="137"/>
        <v>0</v>
      </c>
      <c r="AY372" s="454">
        <f t="shared" si="138"/>
        <v>0</v>
      </c>
      <c r="AZ372" s="455">
        <f t="shared" si="139"/>
        <v>1350.0666666666666</v>
      </c>
      <c r="BA372" s="451">
        <f t="shared" si="140"/>
        <v>1317.1</v>
      </c>
    </row>
    <row r="373" spans="1:53">
      <c r="A373" s="528" t="s">
        <v>233</v>
      </c>
      <c r="B373" s="529" t="s">
        <v>736</v>
      </c>
      <c r="C373" s="722"/>
      <c r="D373" s="531">
        <v>207740</v>
      </c>
      <c r="E373" s="532">
        <v>10</v>
      </c>
      <c r="F373" s="491" t="s">
        <v>41</v>
      </c>
      <c r="G373" s="492" t="s">
        <v>41</v>
      </c>
      <c r="H373" s="456"/>
      <c r="I373" s="493"/>
      <c r="J373" s="624">
        <v>18201</v>
      </c>
      <c r="K373" s="493">
        <v>19542</v>
      </c>
      <c r="L373" s="624">
        <v>3142</v>
      </c>
      <c r="M373" s="493">
        <v>2664</v>
      </c>
      <c r="N373" s="624">
        <v>19784</v>
      </c>
      <c r="O373" s="493">
        <v>19000</v>
      </c>
      <c r="P373" s="449">
        <f t="shared" si="123"/>
        <v>41127</v>
      </c>
      <c r="Q373" s="450">
        <f t="shared" si="124"/>
        <v>1370.9</v>
      </c>
      <c r="R373" s="451">
        <f t="shared" si="125"/>
        <v>41206</v>
      </c>
      <c r="S373" s="452">
        <f t="shared" si="126"/>
        <v>1373.5333333333333</v>
      </c>
      <c r="T373" s="456"/>
      <c r="U373" s="493"/>
      <c r="V373" s="449">
        <f t="shared" si="127"/>
        <v>0</v>
      </c>
      <c r="W373" s="448">
        <f t="shared" si="128"/>
        <v>0</v>
      </c>
      <c r="X373" s="456"/>
      <c r="Y373" s="493"/>
      <c r="Z373" s="456"/>
      <c r="AA373" s="493"/>
      <c r="AB373" s="456"/>
      <c r="AC373" s="493"/>
      <c r="AD373" s="456"/>
      <c r="AE373" s="493"/>
      <c r="AF373" s="449">
        <f t="shared" si="129"/>
        <v>0</v>
      </c>
      <c r="AG373" s="450">
        <f t="shared" si="130"/>
        <v>0</v>
      </c>
      <c r="AH373" s="451">
        <f t="shared" si="131"/>
        <v>0</v>
      </c>
      <c r="AI373" s="451">
        <f t="shared" si="132"/>
        <v>0</v>
      </c>
      <c r="AJ373" s="456"/>
      <c r="AK373" s="493"/>
      <c r="AL373" s="449">
        <f t="shared" si="133"/>
        <v>0</v>
      </c>
      <c r="AM373" s="452">
        <f t="shared" si="134"/>
        <v>0</v>
      </c>
      <c r="AN373" s="456"/>
      <c r="AO373" s="493"/>
      <c r="AP373" s="456"/>
      <c r="AQ373" s="493"/>
      <c r="AR373" s="456"/>
      <c r="AS373" s="493"/>
      <c r="AT373" s="456"/>
      <c r="AU373" s="493"/>
      <c r="AV373" s="449">
        <f t="shared" si="135"/>
        <v>0</v>
      </c>
      <c r="AW373" s="453">
        <f t="shared" si="136"/>
        <v>0</v>
      </c>
      <c r="AX373" s="451">
        <f t="shared" si="137"/>
        <v>0</v>
      </c>
      <c r="AY373" s="454">
        <f t="shared" si="138"/>
        <v>0</v>
      </c>
      <c r="AZ373" s="455">
        <f t="shared" si="139"/>
        <v>1370.9</v>
      </c>
      <c r="BA373" s="451">
        <f t="shared" si="140"/>
        <v>1373.5333333333333</v>
      </c>
    </row>
    <row r="374" spans="1:53">
      <c r="A374" s="528" t="s">
        <v>233</v>
      </c>
      <c r="B374" s="529" t="s">
        <v>737</v>
      </c>
      <c r="C374" s="722"/>
      <c r="D374" s="531">
        <v>208035</v>
      </c>
      <c r="E374" s="532">
        <v>10</v>
      </c>
      <c r="F374" s="491" t="s">
        <v>41</v>
      </c>
      <c r="G374" s="492" t="s">
        <v>41</v>
      </c>
      <c r="H374" s="456"/>
      <c r="I374" s="493"/>
      <c r="J374" s="456">
        <v>13510</v>
      </c>
      <c r="K374" s="493">
        <v>12667</v>
      </c>
      <c r="L374" s="456">
        <v>2598</v>
      </c>
      <c r="M374" s="493">
        <v>2553</v>
      </c>
      <c r="N374" s="456">
        <v>13422</v>
      </c>
      <c r="O374" s="493">
        <v>12924</v>
      </c>
      <c r="P374" s="449">
        <f t="shared" si="123"/>
        <v>29530</v>
      </c>
      <c r="Q374" s="450">
        <f t="shared" si="124"/>
        <v>984.33333333333337</v>
      </c>
      <c r="R374" s="451">
        <f t="shared" si="125"/>
        <v>28144</v>
      </c>
      <c r="S374" s="452">
        <f t="shared" si="126"/>
        <v>938.13333333333333</v>
      </c>
      <c r="T374" s="456"/>
      <c r="U374" s="493"/>
      <c r="V374" s="449">
        <f t="shared" si="127"/>
        <v>0</v>
      </c>
      <c r="W374" s="448">
        <f t="shared" si="128"/>
        <v>0</v>
      </c>
      <c r="X374" s="456"/>
      <c r="Y374" s="493"/>
      <c r="Z374" s="456"/>
      <c r="AA374" s="493"/>
      <c r="AB374" s="456"/>
      <c r="AC374" s="493"/>
      <c r="AD374" s="456"/>
      <c r="AE374" s="493"/>
      <c r="AF374" s="449">
        <f t="shared" si="129"/>
        <v>0</v>
      </c>
      <c r="AG374" s="450">
        <f t="shared" si="130"/>
        <v>0</v>
      </c>
      <c r="AH374" s="451">
        <f t="shared" si="131"/>
        <v>0</v>
      </c>
      <c r="AI374" s="451">
        <f t="shared" si="132"/>
        <v>0</v>
      </c>
      <c r="AJ374" s="456"/>
      <c r="AK374" s="493"/>
      <c r="AL374" s="449">
        <f t="shared" si="133"/>
        <v>0</v>
      </c>
      <c r="AM374" s="452">
        <f t="shared" si="134"/>
        <v>0</v>
      </c>
      <c r="AN374" s="456"/>
      <c r="AO374" s="493"/>
      <c r="AP374" s="456"/>
      <c r="AQ374" s="493"/>
      <c r="AR374" s="456"/>
      <c r="AS374" s="493"/>
      <c r="AT374" s="456"/>
      <c r="AU374" s="493"/>
      <c r="AV374" s="449">
        <f t="shared" si="135"/>
        <v>0</v>
      </c>
      <c r="AW374" s="453">
        <f t="shared" si="136"/>
        <v>0</v>
      </c>
      <c r="AX374" s="451">
        <f t="shared" si="137"/>
        <v>0</v>
      </c>
      <c r="AY374" s="454">
        <f t="shared" si="138"/>
        <v>0</v>
      </c>
      <c r="AZ374" s="455">
        <f t="shared" si="139"/>
        <v>984.33333333333337</v>
      </c>
      <c r="BA374" s="451">
        <f t="shared" si="140"/>
        <v>938.13333333333333</v>
      </c>
    </row>
    <row r="375" spans="1:53">
      <c r="A375" s="578" t="s">
        <v>233</v>
      </c>
      <c r="B375" s="579" t="s">
        <v>348</v>
      </c>
      <c r="C375" s="580"/>
      <c r="D375" s="581">
        <v>365374</v>
      </c>
      <c r="E375" s="582">
        <v>12</v>
      </c>
      <c r="F375" s="491"/>
      <c r="G375" s="492"/>
      <c r="H375" s="456"/>
      <c r="I375" s="493"/>
      <c r="J375" s="456"/>
      <c r="K375" s="493"/>
      <c r="L375" s="456"/>
      <c r="M375" s="493"/>
      <c r="N375" s="456"/>
      <c r="O375" s="493"/>
      <c r="P375" s="449">
        <f t="shared" si="123"/>
        <v>0</v>
      </c>
      <c r="Q375" s="450">
        <f t="shared" si="124"/>
        <v>0</v>
      </c>
      <c r="R375" s="451">
        <f t="shared" si="125"/>
        <v>0</v>
      </c>
      <c r="S375" s="452">
        <f t="shared" si="126"/>
        <v>0</v>
      </c>
      <c r="T375" s="456"/>
      <c r="U375" s="493"/>
      <c r="V375" s="449">
        <f t="shared" si="127"/>
        <v>0</v>
      </c>
      <c r="W375" s="448">
        <f t="shared" si="128"/>
        <v>0</v>
      </c>
      <c r="X375" s="456"/>
      <c r="Y375" s="493"/>
      <c r="Z375" s="456"/>
      <c r="AA375" s="493"/>
      <c r="AB375" s="456"/>
      <c r="AC375" s="493"/>
      <c r="AD375" s="456">
        <v>935037</v>
      </c>
      <c r="AE375" s="493">
        <v>944778.75</v>
      </c>
      <c r="AF375" s="449">
        <f t="shared" si="129"/>
        <v>935037</v>
      </c>
      <c r="AG375" s="450">
        <f t="shared" si="130"/>
        <v>1038.93</v>
      </c>
      <c r="AH375" s="451">
        <f t="shared" si="131"/>
        <v>944778.75</v>
      </c>
      <c r="AI375" s="451">
        <f t="shared" si="132"/>
        <v>1049.7541666666666</v>
      </c>
      <c r="AJ375" s="456"/>
      <c r="AK375" s="493"/>
      <c r="AL375" s="449">
        <f t="shared" si="133"/>
        <v>0</v>
      </c>
      <c r="AM375" s="452">
        <f t="shared" si="134"/>
        <v>0</v>
      </c>
      <c r="AN375" s="456"/>
      <c r="AO375" s="493"/>
      <c r="AP375" s="456"/>
      <c r="AQ375" s="493"/>
      <c r="AR375" s="456"/>
      <c r="AS375" s="493"/>
      <c r="AT375" s="456"/>
      <c r="AU375" s="493"/>
      <c r="AV375" s="449">
        <f t="shared" si="135"/>
        <v>0</v>
      </c>
      <c r="AW375" s="453">
        <f t="shared" si="136"/>
        <v>0</v>
      </c>
      <c r="AX375" s="451">
        <f t="shared" si="137"/>
        <v>0</v>
      </c>
      <c r="AY375" s="454">
        <f t="shared" si="138"/>
        <v>0</v>
      </c>
      <c r="AZ375" s="455">
        <f t="shared" si="139"/>
        <v>1038.93</v>
      </c>
      <c r="BA375" s="451">
        <f t="shared" si="140"/>
        <v>1049.7541666666666</v>
      </c>
    </row>
    <row r="376" spans="1:53">
      <c r="A376" s="578" t="s">
        <v>233</v>
      </c>
      <c r="B376" s="583" t="s">
        <v>349</v>
      </c>
      <c r="C376" s="580"/>
      <c r="D376" s="581">
        <v>245999</v>
      </c>
      <c r="E376" s="582">
        <v>12</v>
      </c>
      <c r="F376" s="491"/>
      <c r="G376" s="492"/>
      <c r="H376" s="456"/>
      <c r="I376" s="493"/>
      <c r="J376" s="456"/>
      <c r="K376" s="493"/>
      <c r="L376" s="456"/>
      <c r="M376" s="493"/>
      <c r="N376" s="456"/>
      <c r="O376" s="493"/>
      <c r="P376" s="449">
        <f t="shared" si="123"/>
        <v>0</v>
      </c>
      <c r="Q376" s="450">
        <f t="shared" si="124"/>
        <v>0</v>
      </c>
      <c r="R376" s="451">
        <f t="shared" si="125"/>
        <v>0</v>
      </c>
      <c r="S376" s="452">
        <f t="shared" si="126"/>
        <v>0</v>
      </c>
      <c r="T376" s="456"/>
      <c r="U376" s="493"/>
      <c r="V376" s="449">
        <f t="shared" si="127"/>
        <v>0</v>
      </c>
      <c r="W376" s="448">
        <f t="shared" si="128"/>
        <v>0</v>
      </c>
      <c r="X376" s="456"/>
      <c r="Y376" s="493"/>
      <c r="Z376" s="456"/>
      <c r="AA376" s="493"/>
      <c r="AB376" s="456"/>
      <c r="AC376" s="493"/>
      <c r="AD376" s="456">
        <v>1473299.25</v>
      </c>
      <c r="AE376" s="493">
        <v>1635128.74</v>
      </c>
      <c r="AF376" s="449">
        <f t="shared" si="129"/>
        <v>1473299.25</v>
      </c>
      <c r="AG376" s="450">
        <f t="shared" si="130"/>
        <v>1636.9991666666667</v>
      </c>
      <c r="AH376" s="451">
        <f t="shared" si="131"/>
        <v>1635128.74</v>
      </c>
      <c r="AI376" s="451">
        <f t="shared" si="132"/>
        <v>1816.809711111111</v>
      </c>
      <c r="AJ376" s="456"/>
      <c r="AK376" s="493"/>
      <c r="AL376" s="449">
        <f t="shared" si="133"/>
        <v>0</v>
      </c>
      <c r="AM376" s="452">
        <f t="shared" si="134"/>
        <v>0</v>
      </c>
      <c r="AN376" s="456"/>
      <c r="AO376" s="493"/>
      <c r="AP376" s="456"/>
      <c r="AQ376" s="493"/>
      <c r="AR376" s="456"/>
      <c r="AS376" s="493"/>
      <c r="AT376" s="456"/>
      <c r="AU376" s="493"/>
      <c r="AV376" s="449">
        <f t="shared" si="135"/>
        <v>0</v>
      </c>
      <c r="AW376" s="453">
        <f t="shared" si="136"/>
        <v>0</v>
      </c>
      <c r="AX376" s="451">
        <f t="shared" si="137"/>
        <v>0</v>
      </c>
      <c r="AY376" s="454">
        <f t="shared" si="138"/>
        <v>0</v>
      </c>
      <c r="AZ376" s="455">
        <f t="shared" si="139"/>
        <v>1636.9991666666667</v>
      </c>
      <c r="BA376" s="451">
        <f t="shared" si="140"/>
        <v>1816.809711111111</v>
      </c>
    </row>
    <row r="377" spans="1:53">
      <c r="A377" s="578" t="s">
        <v>233</v>
      </c>
      <c r="B377" s="583" t="s">
        <v>350</v>
      </c>
      <c r="C377" s="580" t="s">
        <v>399</v>
      </c>
      <c r="D377" s="581">
        <v>363165</v>
      </c>
      <c r="E377" s="582">
        <v>12</v>
      </c>
      <c r="F377" s="491"/>
      <c r="G377" s="492"/>
      <c r="H377" s="456"/>
      <c r="I377" s="493"/>
      <c r="J377" s="456"/>
      <c r="K377" s="493"/>
      <c r="L377" s="456"/>
      <c r="M377" s="493"/>
      <c r="N377" s="456"/>
      <c r="O377" s="493"/>
      <c r="P377" s="449">
        <f t="shared" si="123"/>
        <v>0</v>
      </c>
      <c r="Q377" s="450">
        <f t="shared" si="124"/>
        <v>0</v>
      </c>
      <c r="R377" s="451">
        <f t="shared" si="125"/>
        <v>0</v>
      </c>
      <c r="S377" s="452">
        <f t="shared" si="126"/>
        <v>0</v>
      </c>
      <c r="T377" s="456"/>
      <c r="U377" s="493"/>
      <c r="V377" s="449">
        <f t="shared" si="127"/>
        <v>0</v>
      </c>
      <c r="W377" s="448">
        <f t="shared" si="128"/>
        <v>0</v>
      </c>
      <c r="X377" s="456"/>
      <c r="Y377" s="493"/>
      <c r="Z377" s="456"/>
      <c r="AA377" s="493"/>
      <c r="AB377" s="456"/>
      <c r="AC377" s="493"/>
      <c r="AD377" s="456">
        <v>970385.26</v>
      </c>
      <c r="AE377" s="493">
        <v>827239.3</v>
      </c>
      <c r="AF377" s="449">
        <f t="shared" si="129"/>
        <v>970385.26</v>
      </c>
      <c r="AG377" s="450">
        <f t="shared" si="130"/>
        <v>1078.2058444444444</v>
      </c>
      <c r="AH377" s="451">
        <f t="shared" si="131"/>
        <v>827239.3</v>
      </c>
      <c r="AI377" s="451">
        <f t="shared" si="132"/>
        <v>919.15477777777778</v>
      </c>
      <c r="AJ377" s="456"/>
      <c r="AK377" s="493"/>
      <c r="AL377" s="449">
        <f t="shared" si="133"/>
        <v>0</v>
      </c>
      <c r="AM377" s="452">
        <f t="shared" si="134"/>
        <v>0</v>
      </c>
      <c r="AN377" s="456"/>
      <c r="AO377" s="493"/>
      <c r="AP377" s="456"/>
      <c r="AQ377" s="493"/>
      <c r="AR377" s="456"/>
      <c r="AS377" s="493"/>
      <c r="AT377" s="456"/>
      <c r="AU377" s="493"/>
      <c r="AV377" s="449">
        <f t="shared" si="135"/>
        <v>0</v>
      </c>
      <c r="AW377" s="453">
        <f t="shared" si="136"/>
        <v>0</v>
      </c>
      <c r="AX377" s="451">
        <f t="shared" si="137"/>
        <v>0</v>
      </c>
      <c r="AY377" s="454">
        <f t="shared" si="138"/>
        <v>0</v>
      </c>
      <c r="AZ377" s="455">
        <f t="shared" si="139"/>
        <v>1078.2058444444444</v>
      </c>
      <c r="BA377" s="451">
        <f t="shared" si="140"/>
        <v>919.15477777777778</v>
      </c>
    </row>
    <row r="378" spans="1:53">
      <c r="A378" s="578" t="s">
        <v>233</v>
      </c>
      <c r="B378" s="583" t="s">
        <v>351</v>
      </c>
      <c r="C378" s="584"/>
      <c r="D378" s="581">
        <v>365213</v>
      </c>
      <c r="E378" s="582">
        <v>13</v>
      </c>
      <c r="F378" s="491"/>
      <c r="G378" s="492"/>
      <c r="H378" s="456"/>
      <c r="I378" s="493"/>
      <c r="J378" s="456"/>
      <c r="K378" s="493"/>
      <c r="L378" s="456"/>
      <c r="M378" s="493"/>
      <c r="N378" s="456"/>
      <c r="O378" s="493"/>
      <c r="P378" s="449">
        <f t="shared" si="123"/>
        <v>0</v>
      </c>
      <c r="Q378" s="450">
        <f t="shared" si="124"/>
        <v>0</v>
      </c>
      <c r="R378" s="451">
        <f t="shared" si="125"/>
        <v>0</v>
      </c>
      <c r="S378" s="452">
        <f t="shared" si="126"/>
        <v>0</v>
      </c>
      <c r="T378" s="456"/>
      <c r="U378" s="493"/>
      <c r="V378" s="449">
        <f t="shared" si="127"/>
        <v>0</v>
      </c>
      <c r="W378" s="448">
        <f t="shared" si="128"/>
        <v>0</v>
      </c>
      <c r="X378" s="456"/>
      <c r="Y378" s="493"/>
      <c r="Z378" s="456"/>
      <c r="AA378" s="493"/>
      <c r="AB378" s="456"/>
      <c r="AC378" s="493"/>
      <c r="AD378" s="456">
        <v>489608.81</v>
      </c>
      <c r="AE378" s="493">
        <v>512368.79</v>
      </c>
      <c r="AF378" s="449">
        <f t="shared" si="129"/>
        <v>489608.81</v>
      </c>
      <c r="AG378" s="450">
        <f t="shared" si="130"/>
        <v>544.00978888888892</v>
      </c>
      <c r="AH378" s="451">
        <f t="shared" si="131"/>
        <v>512368.79</v>
      </c>
      <c r="AI378" s="451">
        <f t="shared" si="132"/>
        <v>569.29865555555557</v>
      </c>
      <c r="AJ378" s="456"/>
      <c r="AK378" s="493"/>
      <c r="AL378" s="449">
        <f t="shared" si="133"/>
        <v>0</v>
      </c>
      <c r="AM378" s="452">
        <f t="shared" si="134"/>
        <v>0</v>
      </c>
      <c r="AN378" s="456"/>
      <c r="AO378" s="493"/>
      <c r="AP378" s="456"/>
      <c r="AQ378" s="493"/>
      <c r="AR378" s="456"/>
      <c r="AS378" s="493"/>
      <c r="AT378" s="456"/>
      <c r="AU378" s="493"/>
      <c r="AV378" s="449">
        <f t="shared" si="135"/>
        <v>0</v>
      </c>
      <c r="AW378" s="453">
        <f t="shared" si="136"/>
        <v>0</v>
      </c>
      <c r="AX378" s="451">
        <f t="shared" si="137"/>
        <v>0</v>
      </c>
      <c r="AY378" s="454">
        <f t="shared" si="138"/>
        <v>0</v>
      </c>
      <c r="AZ378" s="455">
        <f t="shared" si="139"/>
        <v>544.00978888888892</v>
      </c>
      <c r="BA378" s="451">
        <f t="shared" si="140"/>
        <v>569.29865555555557</v>
      </c>
    </row>
    <row r="379" spans="1:53">
      <c r="A379" s="578" t="s">
        <v>233</v>
      </c>
      <c r="B379" s="583" t="s">
        <v>352</v>
      </c>
      <c r="C379" s="584"/>
      <c r="D379" s="581">
        <v>364946</v>
      </c>
      <c r="E379" s="582">
        <v>13</v>
      </c>
      <c r="F379" s="491"/>
      <c r="G379" s="492"/>
      <c r="H379" s="456"/>
      <c r="I379" s="493"/>
      <c r="J379" s="456"/>
      <c r="K379" s="493"/>
      <c r="L379" s="456"/>
      <c r="M379" s="493"/>
      <c r="N379" s="456"/>
      <c r="O379" s="493"/>
      <c r="P379" s="449">
        <f t="shared" si="123"/>
        <v>0</v>
      </c>
      <c r="Q379" s="450">
        <f t="shared" si="124"/>
        <v>0</v>
      </c>
      <c r="R379" s="451">
        <f t="shared" si="125"/>
        <v>0</v>
      </c>
      <c r="S379" s="452">
        <f t="shared" si="126"/>
        <v>0</v>
      </c>
      <c r="T379" s="456"/>
      <c r="U379" s="493"/>
      <c r="V379" s="449">
        <f t="shared" si="127"/>
        <v>0</v>
      </c>
      <c r="W379" s="448">
        <f t="shared" si="128"/>
        <v>0</v>
      </c>
      <c r="X379" s="456"/>
      <c r="Y379" s="493"/>
      <c r="Z379" s="456"/>
      <c r="AA379" s="493"/>
      <c r="AB379" s="456"/>
      <c r="AC379" s="493"/>
      <c r="AD379" s="456">
        <v>308988.84999999998</v>
      </c>
      <c r="AE379" s="493">
        <v>326203.46000000002</v>
      </c>
      <c r="AF379" s="449">
        <f t="shared" si="129"/>
        <v>308988.84999999998</v>
      </c>
      <c r="AG379" s="450">
        <f t="shared" si="130"/>
        <v>343.32094444444442</v>
      </c>
      <c r="AH379" s="451">
        <f t="shared" si="131"/>
        <v>326203.46000000002</v>
      </c>
      <c r="AI379" s="451">
        <f t="shared" si="132"/>
        <v>362.4482888888889</v>
      </c>
      <c r="AJ379" s="456"/>
      <c r="AK379" s="493"/>
      <c r="AL379" s="449">
        <f t="shared" si="133"/>
        <v>0</v>
      </c>
      <c r="AM379" s="452">
        <f t="shared" si="134"/>
        <v>0</v>
      </c>
      <c r="AN379" s="456"/>
      <c r="AO379" s="493"/>
      <c r="AP379" s="456"/>
      <c r="AQ379" s="493"/>
      <c r="AR379" s="456"/>
      <c r="AS379" s="493"/>
      <c r="AT379" s="456"/>
      <c r="AU379" s="493"/>
      <c r="AV379" s="449">
        <f t="shared" si="135"/>
        <v>0</v>
      </c>
      <c r="AW379" s="453">
        <f t="shared" si="136"/>
        <v>0</v>
      </c>
      <c r="AX379" s="451">
        <f t="shared" si="137"/>
        <v>0</v>
      </c>
      <c r="AY379" s="454">
        <f t="shared" si="138"/>
        <v>0</v>
      </c>
      <c r="AZ379" s="455">
        <f t="shared" si="139"/>
        <v>343.32094444444442</v>
      </c>
      <c r="BA379" s="451">
        <f t="shared" si="140"/>
        <v>362.4482888888889</v>
      </c>
    </row>
    <row r="380" spans="1:53">
      <c r="A380" s="578" t="s">
        <v>233</v>
      </c>
      <c r="B380" s="583" t="s">
        <v>353</v>
      </c>
      <c r="C380" s="584"/>
      <c r="D380" s="581">
        <v>246017</v>
      </c>
      <c r="E380" s="582">
        <v>13</v>
      </c>
      <c r="F380" s="491"/>
      <c r="G380" s="492"/>
      <c r="H380" s="456"/>
      <c r="I380" s="493"/>
      <c r="J380" s="456"/>
      <c r="K380" s="493"/>
      <c r="L380" s="456"/>
      <c r="M380" s="493"/>
      <c r="N380" s="456"/>
      <c r="O380" s="493"/>
      <c r="P380" s="449">
        <f t="shared" si="123"/>
        <v>0</v>
      </c>
      <c r="Q380" s="450">
        <f t="shared" si="124"/>
        <v>0</v>
      </c>
      <c r="R380" s="451">
        <f t="shared" si="125"/>
        <v>0</v>
      </c>
      <c r="S380" s="452">
        <f t="shared" si="126"/>
        <v>0</v>
      </c>
      <c r="T380" s="456"/>
      <c r="U380" s="493"/>
      <c r="V380" s="449">
        <f t="shared" si="127"/>
        <v>0</v>
      </c>
      <c r="W380" s="448">
        <f t="shared" si="128"/>
        <v>0</v>
      </c>
      <c r="X380" s="456"/>
      <c r="Y380" s="493"/>
      <c r="Z380" s="456"/>
      <c r="AA380" s="493"/>
      <c r="AB380" s="456"/>
      <c r="AC380" s="493"/>
      <c r="AD380" s="456">
        <v>781502.7</v>
      </c>
      <c r="AE380" s="493">
        <v>674821.75</v>
      </c>
      <c r="AF380" s="449">
        <f t="shared" si="129"/>
        <v>781502.7</v>
      </c>
      <c r="AG380" s="450">
        <f t="shared" si="130"/>
        <v>868.3363333333333</v>
      </c>
      <c r="AH380" s="451">
        <f t="shared" si="131"/>
        <v>674821.75</v>
      </c>
      <c r="AI380" s="451">
        <f t="shared" si="132"/>
        <v>749.80194444444442</v>
      </c>
      <c r="AJ380" s="456"/>
      <c r="AK380" s="493"/>
      <c r="AL380" s="449">
        <f t="shared" si="133"/>
        <v>0</v>
      </c>
      <c r="AM380" s="452">
        <f t="shared" si="134"/>
        <v>0</v>
      </c>
      <c r="AN380" s="456"/>
      <c r="AO380" s="493"/>
      <c r="AP380" s="456"/>
      <c r="AQ380" s="493"/>
      <c r="AR380" s="456"/>
      <c r="AS380" s="493"/>
      <c r="AT380" s="456"/>
      <c r="AU380" s="493"/>
      <c r="AV380" s="449">
        <f t="shared" si="135"/>
        <v>0</v>
      </c>
      <c r="AW380" s="453">
        <f t="shared" si="136"/>
        <v>0</v>
      </c>
      <c r="AX380" s="451">
        <f t="shared" si="137"/>
        <v>0</v>
      </c>
      <c r="AY380" s="454">
        <f t="shared" si="138"/>
        <v>0</v>
      </c>
      <c r="AZ380" s="455">
        <f t="shared" si="139"/>
        <v>868.3363333333333</v>
      </c>
      <c r="BA380" s="451">
        <f t="shared" si="140"/>
        <v>749.80194444444442</v>
      </c>
    </row>
    <row r="381" spans="1:53">
      <c r="A381" s="578" t="s">
        <v>233</v>
      </c>
      <c r="B381" s="583" t="s">
        <v>354</v>
      </c>
      <c r="C381" s="584"/>
      <c r="D381" s="581">
        <v>375656</v>
      </c>
      <c r="E381" s="582">
        <v>13</v>
      </c>
      <c r="F381" s="491"/>
      <c r="G381" s="492"/>
      <c r="H381" s="456"/>
      <c r="I381" s="493"/>
      <c r="J381" s="456"/>
      <c r="K381" s="493"/>
      <c r="L381" s="456"/>
      <c r="M381" s="493"/>
      <c r="N381" s="456"/>
      <c r="O381" s="493"/>
      <c r="P381" s="449">
        <f t="shared" si="123"/>
        <v>0</v>
      </c>
      <c r="Q381" s="450">
        <f t="shared" si="124"/>
        <v>0</v>
      </c>
      <c r="R381" s="451">
        <f t="shared" si="125"/>
        <v>0</v>
      </c>
      <c r="S381" s="452">
        <f t="shared" si="126"/>
        <v>0</v>
      </c>
      <c r="T381" s="456"/>
      <c r="U381" s="493"/>
      <c r="V381" s="449">
        <f t="shared" si="127"/>
        <v>0</v>
      </c>
      <c r="W381" s="448">
        <f t="shared" si="128"/>
        <v>0</v>
      </c>
      <c r="X381" s="456"/>
      <c r="Y381" s="493"/>
      <c r="Z381" s="456"/>
      <c r="AA381" s="493"/>
      <c r="AB381" s="456"/>
      <c r="AC381" s="493"/>
      <c r="AD381" s="456">
        <v>79315</v>
      </c>
      <c r="AE381" s="493">
        <v>79246.5</v>
      </c>
      <c r="AF381" s="449">
        <f t="shared" si="129"/>
        <v>79315</v>
      </c>
      <c r="AG381" s="450">
        <f t="shared" si="130"/>
        <v>88.12777777777778</v>
      </c>
      <c r="AH381" s="451">
        <f t="shared" si="131"/>
        <v>79246.5</v>
      </c>
      <c r="AI381" s="451">
        <f t="shared" si="132"/>
        <v>88.051666666666662</v>
      </c>
      <c r="AJ381" s="456"/>
      <c r="AK381" s="493"/>
      <c r="AL381" s="449">
        <f t="shared" si="133"/>
        <v>0</v>
      </c>
      <c r="AM381" s="452">
        <f t="shared" si="134"/>
        <v>0</v>
      </c>
      <c r="AN381" s="456"/>
      <c r="AO381" s="493"/>
      <c r="AP381" s="456"/>
      <c r="AQ381" s="493"/>
      <c r="AR381" s="456"/>
      <c r="AS381" s="493"/>
      <c r="AT381" s="456"/>
      <c r="AU381" s="493"/>
      <c r="AV381" s="449">
        <f t="shared" si="135"/>
        <v>0</v>
      </c>
      <c r="AW381" s="453">
        <f t="shared" si="136"/>
        <v>0</v>
      </c>
      <c r="AX381" s="451">
        <f t="shared" si="137"/>
        <v>0</v>
      </c>
      <c r="AY381" s="454">
        <f t="shared" si="138"/>
        <v>0</v>
      </c>
      <c r="AZ381" s="455">
        <f t="shared" si="139"/>
        <v>88.12777777777778</v>
      </c>
      <c r="BA381" s="451">
        <f t="shared" si="140"/>
        <v>88.051666666666662</v>
      </c>
    </row>
    <row r="382" spans="1:53">
      <c r="A382" s="578" t="s">
        <v>233</v>
      </c>
      <c r="B382" s="583" t="s">
        <v>355</v>
      </c>
      <c r="C382" s="584"/>
      <c r="D382" s="581">
        <v>418348</v>
      </c>
      <c r="E382" s="582">
        <v>13</v>
      </c>
      <c r="F382" s="491"/>
      <c r="G382" s="492"/>
      <c r="H382" s="456"/>
      <c r="I382" s="493"/>
      <c r="J382" s="456"/>
      <c r="K382" s="493"/>
      <c r="L382" s="456"/>
      <c r="M382" s="493"/>
      <c r="N382" s="456"/>
      <c r="O382" s="493"/>
      <c r="P382" s="449">
        <f t="shared" si="123"/>
        <v>0</v>
      </c>
      <c r="Q382" s="450">
        <f t="shared" si="124"/>
        <v>0</v>
      </c>
      <c r="R382" s="451">
        <f t="shared" si="125"/>
        <v>0</v>
      </c>
      <c r="S382" s="452">
        <f t="shared" si="126"/>
        <v>0</v>
      </c>
      <c r="T382" s="456"/>
      <c r="U382" s="493"/>
      <c r="V382" s="449">
        <f t="shared" si="127"/>
        <v>0</v>
      </c>
      <c r="W382" s="448">
        <f t="shared" si="128"/>
        <v>0</v>
      </c>
      <c r="X382" s="456"/>
      <c r="Y382" s="493"/>
      <c r="Z382" s="456"/>
      <c r="AA382" s="493"/>
      <c r="AB382" s="456"/>
      <c r="AC382" s="493"/>
      <c r="AD382" s="456">
        <v>317099.25</v>
      </c>
      <c r="AE382" s="493">
        <v>332625.7</v>
      </c>
      <c r="AF382" s="449">
        <f t="shared" si="129"/>
        <v>317099.25</v>
      </c>
      <c r="AG382" s="450">
        <f t="shared" si="130"/>
        <v>352.33249999999998</v>
      </c>
      <c r="AH382" s="451">
        <f t="shared" si="131"/>
        <v>332625.7</v>
      </c>
      <c r="AI382" s="451">
        <f t="shared" si="132"/>
        <v>369.5841111111111</v>
      </c>
      <c r="AJ382" s="456"/>
      <c r="AK382" s="493"/>
      <c r="AL382" s="449">
        <f t="shared" si="133"/>
        <v>0</v>
      </c>
      <c r="AM382" s="452">
        <f t="shared" si="134"/>
        <v>0</v>
      </c>
      <c r="AN382" s="456"/>
      <c r="AO382" s="493"/>
      <c r="AP382" s="456"/>
      <c r="AQ382" s="493"/>
      <c r="AR382" s="456"/>
      <c r="AS382" s="493"/>
      <c r="AT382" s="456"/>
      <c r="AU382" s="493"/>
      <c r="AV382" s="449">
        <f t="shared" si="135"/>
        <v>0</v>
      </c>
      <c r="AW382" s="453">
        <f t="shared" si="136"/>
        <v>0</v>
      </c>
      <c r="AX382" s="451">
        <f t="shared" si="137"/>
        <v>0</v>
      </c>
      <c r="AY382" s="454">
        <f t="shared" si="138"/>
        <v>0</v>
      </c>
      <c r="AZ382" s="455">
        <f t="shared" si="139"/>
        <v>352.33249999999998</v>
      </c>
      <c r="BA382" s="451">
        <f t="shared" si="140"/>
        <v>369.5841111111111</v>
      </c>
    </row>
    <row r="383" spans="1:53">
      <c r="A383" s="578" t="s">
        <v>233</v>
      </c>
      <c r="B383" s="583" t="s">
        <v>356</v>
      </c>
      <c r="C383" s="584"/>
      <c r="D383" s="581">
        <v>375683</v>
      </c>
      <c r="E383" s="582">
        <v>13</v>
      </c>
      <c r="F383" s="491"/>
      <c r="G383" s="492"/>
      <c r="H383" s="456"/>
      <c r="I383" s="493"/>
      <c r="J383" s="456"/>
      <c r="K383" s="493"/>
      <c r="L383" s="456"/>
      <c r="M383" s="493"/>
      <c r="N383" s="456"/>
      <c r="O383" s="493"/>
      <c r="P383" s="449">
        <f t="shared" si="123"/>
        <v>0</v>
      </c>
      <c r="Q383" s="450">
        <f t="shared" si="124"/>
        <v>0</v>
      </c>
      <c r="R383" s="451">
        <f t="shared" si="125"/>
        <v>0</v>
      </c>
      <c r="S383" s="452">
        <f t="shared" si="126"/>
        <v>0</v>
      </c>
      <c r="T383" s="456"/>
      <c r="U383" s="493"/>
      <c r="V383" s="449">
        <f t="shared" si="127"/>
        <v>0</v>
      </c>
      <c r="W383" s="448">
        <f t="shared" si="128"/>
        <v>0</v>
      </c>
      <c r="X383" s="456"/>
      <c r="Y383" s="493"/>
      <c r="Z383" s="456"/>
      <c r="AA383" s="493"/>
      <c r="AB383" s="456"/>
      <c r="AC383" s="493"/>
      <c r="AD383" s="456">
        <v>668274.5</v>
      </c>
      <c r="AE383" s="493">
        <v>647099.75</v>
      </c>
      <c r="AF383" s="449">
        <f t="shared" si="129"/>
        <v>668274.5</v>
      </c>
      <c r="AG383" s="450">
        <f t="shared" si="130"/>
        <v>742.52722222222224</v>
      </c>
      <c r="AH383" s="451">
        <f t="shared" si="131"/>
        <v>647099.75</v>
      </c>
      <c r="AI383" s="451">
        <f t="shared" si="132"/>
        <v>718.9997222222222</v>
      </c>
      <c r="AJ383" s="456"/>
      <c r="AK383" s="493"/>
      <c r="AL383" s="449">
        <f t="shared" si="133"/>
        <v>0</v>
      </c>
      <c r="AM383" s="452">
        <f t="shared" si="134"/>
        <v>0</v>
      </c>
      <c r="AN383" s="456"/>
      <c r="AO383" s="493"/>
      <c r="AP383" s="456"/>
      <c r="AQ383" s="493"/>
      <c r="AR383" s="456"/>
      <c r="AS383" s="493"/>
      <c r="AT383" s="456"/>
      <c r="AU383" s="493"/>
      <c r="AV383" s="449">
        <f t="shared" si="135"/>
        <v>0</v>
      </c>
      <c r="AW383" s="453">
        <f t="shared" si="136"/>
        <v>0</v>
      </c>
      <c r="AX383" s="451">
        <f t="shared" si="137"/>
        <v>0</v>
      </c>
      <c r="AY383" s="454">
        <f t="shared" si="138"/>
        <v>0</v>
      </c>
      <c r="AZ383" s="455">
        <f t="shared" si="139"/>
        <v>742.52722222222224</v>
      </c>
      <c r="BA383" s="451">
        <f t="shared" si="140"/>
        <v>718.9997222222222</v>
      </c>
    </row>
    <row r="384" spans="1:53">
      <c r="A384" s="578" t="s">
        <v>233</v>
      </c>
      <c r="B384" s="583" t="s">
        <v>357</v>
      </c>
      <c r="C384" s="585"/>
      <c r="D384" s="581">
        <v>364548</v>
      </c>
      <c r="E384" s="586">
        <v>13</v>
      </c>
      <c r="F384" s="491"/>
      <c r="G384" s="492"/>
      <c r="H384" s="456"/>
      <c r="I384" s="493"/>
      <c r="J384" s="456"/>
      <c r="K384" s="493"/>
      <c r="L384" s="456"/>
      <c r="M384" s="493"/>
      <c r="N384" s="456"/>
      <c r="O384" s="493"/>
      <c r="P384" s="449">
        <f t="shared" si="123"/>
        <v>0</v>
      </c>
      <c r="Q384" s="450">
        <f t="shared" si="124"/>
        <v>0</v>
      </c>
      <c r="R384" s="451">
        <f t="shared" si="125"/>
        <v>0</v>
      </c>
      <c r="S384" s="452">
        <f t="shared" si="126"/>
        <v>0</v>
      </c>
      <c r="T384" s="456"/>
      <c r="U384" s="493"/>
      <c r="V384" s="449">
        <f t="shared" si="127"/>
        <v>0</v>
      </c>
      <c r="W384" s="448">
        <f t="shared" si="128"/>
        <v>0</v>
      </c>
      <c r="X384" s="456"/>
      <c r="Y384" s="493"/>
      <c r="Z384" s="456"/>
      <c r="AA384" s="493"/>
      <c r="AB384" s="456"/>
      <c r="AC384" s="493"/>
      <c r="AD384" s="456">
        <v>779041.5</v>
      </c>
      <c r="AE384" s="493">
        <v>702816.2</v>
      </c>
      <c r="AF384" s="449">
        <f t="shared" si="129"/>
        <v>779041.5</v>
      </c>
      <c r="AG384" s="450">
        <f t="shared" si="130"/>
        <v>865.60166666666669</v>
      </c>
      <c r="AH384" s="451">
        <f t="shared" si="131"/>
        <v>702816.2</v>
      </c>
      <c r="AI384" s="451">
        <f t="shared" si="132"/>
        <v>780.90688888888883</v>
      </c>
      <c r="AJ384" s="456"/>
      <c r="AK384" s="493"/>
      <c r="AL384" s="449">
        <f t="shared" si="133"/>
        <v>0</v>
      </c>
      <c r="AM384" s="452">
        <f t="shared" si="134"/>
        <v>0</v>
      </c>
      <c r="AN384" s="456"/>
      <c r="AO384" s="493"/>
      <c r="AP384" s="456"/>
      <c r="AQ384" s="493"/>
      <c r="AR384" s="456"/>
      <c r="AS384" s="493"/>
      <c r="AT384" s="456"/>
      <c r="AU384" s="493"/>
      <c r="AV384" s="449">
        <f t="shared" si="135"/>
        <v>0</v>
      </c>
      <c r="AW384" s="453">
        <f t="shared" si="136"/>
        <v>0</v>
      </c>
      <c r="AX384" s="451">
        <f t="shared" si="137"/>
        <v>0</v>
      </c>
      <c r="AY384" s="454">
        <f t="shared" si="138"/>
        <v>0</v>
      </c>
      <c r="AZ384" s="455">
        <f t="shared" si="139"/>
        <v>865.60166666666669</v>
      </c>
      <c r="BA384" s="451">
        <f t="shared" si="140"/>
        <v>780.90688888888883</v>
      </c>
    </row>
    <row r="385" spans="1:53">
      <c r="A385" s="587" t="s">
        <v>233</v>
      </c>
      <c r="B385" s="583" t="s">
        <v>358</v>
      </c>
      <c r="C385" s="584"/>
      <c r="D385" s="581">
        <v>428019</v>
      </c>
      <c r="E385" s="582">
        <v>13</v>
      </c>
      <c r="F385" s="491"/>
      <c r="G385" s="492"/>
      <c r="H385" s="456"/>
      <c r="I385" s="493"/>
      <c r="J385" s="456"/>
      <c r="K385" s="493"/>
      <c r="L385" s="456"/>
      <c r="M385" s="493"/>
      <c r="N385" s="456"/>
      <c r="O385" s="493"/>
      <c r="P385" s="449">
        <f t="shared" si="123"/>
        <v>0</v>
      </c>
      <c r="Q385" s="450">
        <f t="shared" si="124"/>
        <v>0</v>
      </c>
      <c r="R385" s="451">
        <f t="shared" si="125"/>
        <v>0</v>
      </c>
      <c r="S385" s="452">
        <f t="shared" si="126"/>
        <v>0</v>
      </c>
      <c r="T385" s="456"/>
      <c r="U385" s="493"/>
      <c r="V385" s="449">
        <f t="shared" si="127"/>
        <v>0</v>
      </c>
      <c r="W385" s="448">
        <f t="shared" si="128"/>
        <v>0</v>
      </c>
      <c r="X385" s="456"/>
      <c r="Y385" s="493"/>
      <c r="Z385" s="456"/>
      <c r="AA385" s="493"/>
      <c r="AB385" s="456"/>
      <c r="AC385" s="493"/>
      <c r="AD385" s="456">
        <v>213318.5</v>
      </c>
      <c r="AE385" s="493">
        <v>213296.5</v>
      </c>
      <c r="AF385" s="449">
        <f t="shared" si="129"/>
        <v>213318.5</v>
      </c>
      <c r="AG385" s="450">
        <f t="shared" si="130"/>
        <v>237.02055555555555</v>
      </c>
      <c r="AH385" s="451">
        <f t="shared" si="131"/>
        <v>213296.5</v>
      </c>
      <c r="AI385" s="451">
        <f t="shared" si="132"/>
        <v>236.99611111111111</v>
      </c>
      <c r="AJ385" s="456"/>
      <c r="AK385" s="493"/>
      <c r="AL385" s="449">
        <f t="shared" si="133"/>
        <v>0</v>
      </c>
      <c r="AM385" s="452">
        <f t="shared" si="134"/>
        <v>0</v>
      </c>
      <c r="AN385" s="456"/>
      <c r="AO385" s="493"/>
      <c r="AP385" s="456"/>
      <c r="AQ385" s="493"/>
      <c r="AR385" s="456"/>
      <c r="AS385" s="493"/>
      <c r="AT385" s="456"/>
      <c r="AU385" s="493"/>
      <c r="AV385" s="449">
        <f t="shared" si="135"/>
        <v>0</v>
      </c>
      <c r="AW385" s="453">
        <f t="shared" si="136"/>
        <v>0</v>
      </c>
      <c r="AX385" s="451">
        <f t="shared" si="137"/>
        <v>0</v>
      </c>
      <c r="AY385" s="454">
        <f t="shared" si="138"/>
        <v>0</v>
      </c>
      <c r="AZ385" s="455">
        <f t="shared" si="139"/>
        <v>237.02055555555555</v>
      </c>
      <c r="BA385" s="451">
        <f t="shared" si="140"/>
        <v>236.99611111111111</v>
      </c>
    </row>
    <row r="386" spans="1:53">
      <c r="A386" s="578" t="s">
        <v>233</v>
      </c>
      <c r="B386" s="583" t="s">
        <v>359</v>
      </c>
      <c r="C386" s="584"/>
      <c r="D386" s="581">
        <v>208053</v>
      </c>
      <c r="E386" s="582">
        <v>13</v>
      </c>
      <c r="F386" s="491"/>
      <c r="G386" s="492"/>
      <c r="H386" s="456"/>
      <c r="I386" s="493"/>
      <c r="J386" s="456"/>
      <c r="K386" s="493"/>
      <c r="L386" s="456"/>
      <c r="M386" s="493"/>
      <c r="N386" s="456"/>
      <c r="O386" s="493"/>
      <c r="P386" s="449">
        <f t="shared" si="123"/>
        <v>0</v>
      </c>
      <c r="Q386" s="450">
        <f t="shared" si="124"/>
        <v>0</v>
      </c>
      <c r="R386" s="451">
        <f t="shared" si="125"/>
        <v>0</v>
      </c>
      <c r="S386" s="452">
        <f t="shared" si="126"/>
        <v>0</v>
      </c>
      <c r="T386" s="456"/>
      <c r="U386" s="493"/>
      <c r="V386" s="449">
        <f t="shared" si="127"/>
        <v>0</v>
      </c>
      <c r="W386" s="448">
        <f t="shared" si="128"/>
        <v>0</v>
      </c>
      <c r="X386" s="456"/>
      <c r="Y386" s="493"/>
      <c r="Z386" s="456"/>
      <c r="AA386" s="493"/>
      <c r="AB386" s="456"/>
      <c r="AC386" s="493"/>
      <c r="AD386" s="456">
        <v>200514.84</v>
      </c>
      <c r="AE386" s="493">
        <v>224694.75</v>
      </c>
      <c r="AF386" s="449">
        <f t="shared" si="129"/>
        <v>200514.84</v>
      </c>
      <c r="AG386" s="450">
        <f t="shared" si="130"/>
        <v>222.79426666666666</v>
      </c>
      <c r="AH386" s="451">
        <f t="shared" si="131"/>
        <v>224694.75</v>
      </c>
      <c r="AI386" s="451">
        <f t="shared" si="132"/>
        <v>249.66083333333333</v>
      </c>
      <c r="AJ386" s="456"/>
      <c r="AK386" s="493"/>
      <c r="AL386" s="449">
        <f t="shared" si="133"/>
        <v>0</v>
      </c>
      <c r="AM386" s="452">
        <f t="shared" si="134"/>
        <v>0</v>
      </c>
      <c r="AN386" s="456"/>
      <c r="AO386" s="493"/>
      <c r="AP386" s="456"/>
      <c r="AQ386" s="493"/>
      <c r="AR386" s="456"/>
      <c r="AS386" s="493"/>
      <c r="AT386" s="456"/>
      <c r="AU386" s="493"/>
      <c r="AV386" s="449">
        <f t="shared" si="135"/>
        <v>0</v>
      </c>
      <c r="AW386" s="453">
        <f t="shared" si="136"/>
        <v>0</v>
      </c>
      <c r="AX386" s="451">
        <f t="shared" si="137"/>
        <v>0</v>
      </c>
      <c r="AY386" s="454">
        <f t="shared" si="138"/>
        <v>0</v>
      </c>
      <c r="AZ386" s="455">
        <f t="shared" si="139"/>
        <v>222.79426666666666</v>
      </c>
      <c r="BA386" s="451">
        <f t="shared" si="140"/>
        <v>249.66083333333333</v>
      </c>
    </row>
    <row r="387" spans="1:53">
      <c r="A387" s="578" t="s">
        <v>233</v>
      </c>
      <c r="B387" s="583" t="s">
        <v>360</v>
      </c>
      <c r="C387" s="584"/>
      <c r="D387" s="581">
        <v>418296</v>
      </c>
      <c r="E387" s="582">
        <v>13</v>
      </c>
      <c r="F387" s="491"/>
      <c r="G387" s="492"/>
      <c r="H387" s="456"/>
      <c r="I387" s="493"/>
      <c r="J387" s="456"/>
      <c r="K387" s="493"/>
      <c r="L387" s="456"/>
      <c r="M387" s="493"/>
      <c r="N387" s="456"/>
      <c r="O387" s="493"/>
      <c r="P387" s="449">
        <f t="shared" si="123"/>
        <v>0</v>
      </c>
      <c r="Q387" s="450">
        <f t="shared" si="124"/>
        <v>0</v>
      </c>
      <c r="R387" s="451">
        <f t="shared" si="125"/>
        <v>0</v>
      </c>
      <c r="S387" s="452">
        <f t="shared" si="126"/>
        <v>0</v>
      </c>
      <c r="T387" s="456"/>
      <c r="U387" s="493"/>
      <c r="V387" s="449">
        <f t="shared" si="127"/>
        <v>0</v>
      </c>
      <c r="W387" s="448">
        <f t="shared" si="128"/>
        <v>0</v>
      </c>
      <c r="X387" s="456"/>
      <c r="Y387" s="493"/>
      <c r="Z387" s="456"/>
      <c r="AA387" s="493"/>
      <c r="AB387" s="456"/>
      <c r="AC387" s="493"/>
      <c r="AD387" s="456">
        <v>542714.25</v>
      </c>
      <c r="AE387" s="493">
        <v>480193.5</v>
      </c>
      <c r="AF387" s="449">
        <f t="shared" si="129"/>
        <v>542714.25</v>
      </c>
      <c r="AG387" s="450">
        <f t="shared" si="130"/>
        <v>603.01583333333338</v>
      </c>
      <c r="AH387" s="451">
        <f t="shared" si="131"/>
        <v>480193.5</v>
      </c>
      <c r="AI387" s="451">
        <f t="shared" si="132"/>
        <v>533.54833333333329</v>
      </c>
      <c r="AJ387" s="456"/>
      <c r="AK387" s="493"/>
      <c r="AL387" s="449">
        <f t="shared" si="133"/>
        <v>0</v>
      </c>
      <c r="AM387" s="452">
        <f t="shared" si="134"/>
        <v>0</v>
      </c>
      <c r="AN387" s="456"/>
      <c r="AO387" s="493"/>
      <c r="AP387" s="456"/>
      <c r="AQ387" s="493"/>
      <c r="AR387" s="456"/>
      <c r="AS387" s="493"/>
      <c r="AT387" s="456"/>
      <c r="AU387" s="493"/>
      <c r="AV387" s="449">
        <f t="shared" si="135"/>
        <v>0</v>
      </c>
      <c r="AW387" s="453">
        <f t="shared" si="136"/>
        <v>0</v>
      </c>
      <c r="AX387" s="451">
        <f t="shared" si="137"/>
        <v>0</v>
      </c>
      <c r="AY387" s="454">
        <f t="shared" si="138"/>
        <v>0</v>
      </c>
      <c r="AZ387" s="455">
        <f t="shared" si="139"/>
        <v>603.01583333333338</v>
      </c>
      <c r="BA387" s="451">
        <f t="shared" si="140"/>
        <v>533.54833333333329</v>
      </c>
    </row>
    <row r="388" spans="1:53">
      <c r="A388" s="578" t="s">
        <v>233</v>
      </c>
      <c r="B388" s="583" t="s">
        <v>361</v>
      </c>
      <c r="C388" s="584"/>
      <c r="D388" s="581">
        <v>421540</v>
      </c>
      <c r="E388" s="582">
        <v>13</v>
      </c>
      <c r="F388" s="491"/>
      <c r="G388" s="492"/>
      <c r="H388" s="456"/>
      <c r="I388" s="493"/>
      <c r="J388" s="456"/>
      <c r="K388" s="493"/>
      <c r="L388" s="456"/>
      <c r="M388" s="493"/>
      <c r="N388" s="456"/>
      <c r="O388" s="493"/>
      <c r="P388" s="449">
        <f t="shared" si="123"/>
        <v>0</v>
      </c>
      <c r="Q388" s="450">
        <f t="shared" si="124"/>
        <v>0</v>
      </c>
      <c r="R388" s="451">
        <f t="shared" si="125"/>
        <v>0</v>
      </c>
      <c r="S388" s="452">
        <f t="shared" si="126"/>
        <v>0</v>
      </c>
      <c r="T388" s="456"/>
      <c r="U388" s="493"/>
      <c r="V388" s="449">
        <f t="shared" si="127"/>
        <v>0</v>
      </c>
      <c r="W388" s="448">
        <f t="shared" si="128"/>
        <v>0</v>
      </c>
      <c r="X388" s="456"/>
      <c r="Y388" s="493"/>
      <c r="Z388" s="456"/>
      <c r="AA388" s="493"/>
      <c r="AB388" s="456"/>
      <c r="AC388" s="493"/>
      <c r="AD388" s="456">
        <v>152925</v>
      </c>
      <c r="AE388" s="493">
        <v>150387</v>
      </c>
      <c r="AF388" s="449">
        <f t="shared" si="129"/>
        <v>152925</v>
      </c>
      <c r="AG388" s="450">
        <f t="shared" si="130"/>
        <v>169.91666666666666</v>
      </c>
      <c r="AH388" s="451">
        <f t="shared" si="131"/>
        <v>150387</v>
      </c>
      <c r="AI388" s="451">
        <f t="shared" si="132"/>
        <v>167.09666666666666</v>
      </c>
      <c r="AJ388" s="456"/>
      <c r="AK388" s="493"/>
      <c r="AL388" s="449">
        <f t="shared" si="133"/>
        <v>0</v>
      </c>
      <c r="AM388" s="452">
        <f t="shared" si="134"/>
        <v>0</v>
      </c>
      <c r="AN388" s="456"/>
      <c r="AO388" s="493"/>
      <c r="AP388" s="456"/>
      <c r="AQ388" s="493"/>
      <c r="AR388" s="456"/>
      <c r="AS388" s="493"/>
      <c r="AT388" s="456"/>
      <c r="AU388" s="493"/>
      <c r="AV388" s="449">
        <f t="shared" si="135"/>
        <v>0</v>
      </c>
      <c r="AW388" s="453">
        <f t="shared" si="136"/>
        <v>0</v>
      </c>
      <c r="AX388" s="451">
        <f t="shared" si="137"/>
        <v>0</v>
      </c>
      <c r="AY388" s="454">
        <f t="shared" si="138"/>
        <v>0</v>
      </c>
      <c r="AZ388" s="455">
        <f t="shared" si="139"/>
        <v>169.91666666666666</v>
      </c>
      <c r="BA388" s="451">
        <f t="shared" si="140"/>
        <v>167.09666666666666</v>
      </c>
    </row>
    <row r="389" spans="1:53">
      <c r="A389" s="578" t="s">
        <v>233</v>
      </c>
      <c r="B389" s="583" t="s">
        <v>362</v>
      </c>
      <c r="C389" s="584"/>
      <c r="D389" s="581">
        <v>421559</v>
      </c>
      <c r="E389" s="582">
        <v>13</v>
      </c>
      <c r="F389" s="491"/>
      <c r="G389" s="492"/>
      <c r="H389" s="456"/>
      <c r="I389" s="493"/>
      <c r="J389" s="456"/>
      <c r="K389" s="493"/>
      <c r="L389" s="456"/>
      <c r="M389" s="493"/>
      <c r="N389" s="456"/>
      <c r="O389" s="493"/>
      <c r="P389" s="449">
        <f t="shared" si="123"/>
        <v>0</v>
      </c>
      <c r="Q389" s="450">
        <f t="shared" si="124"/>
        <v>0</v>
      </c>
      <c r="R389" s="451">
        <f t="shared" si="125"/>
        <v>0</v>
      </c>
      <c r="S389" s="452">
        <f t="shared" si="126"/>
        <v>0</v>
      </c>
      <c r="T389" s="456"/>
      <c r="U389" s="493"/>
      <c r="V389" s="449">
        <f t="shared" si="127"/>
        <v>0</v>
      </c>
      <c r="W389" s="448">
        <f t="shared" si="128"/>
        <v>0</v>
      </c>
      <c r="X389" s="456"/>
      <c r="Y389" s="493"/>
      <c r="Z389" s="456"/>
      <c r="AA389" s="493"/>
      <c r="AB389" s="456"/>
      <c r="AC389" s="493"/>
      <c r="AD389" s="456">
        <v>110196</v>
      </c>
      <c r="AE389" s="493">
        <v>96167</v>
      </c>
      <c r="AF389" s="449">
        <f t="shared" si="129"/>
        <v>110196</v>
      </c>
      <c r="AG389" s="450">
        <f t="shared" si="130"/>
        <v>122.44</v>
      </c>
      <c r="AH389" s="451">
        <f t="shared" si="131"/>
        <v>96167</v>
      </c>
      <c r="AI389" s="451">
        <f t="shared" si="132"/>
        <v>106.85222222222222</v>
      </c>
      <c r="AJ389" s="456"/>
      <c r="AK389" s="493"/>
      <c r="AL389" s="449">
        <f t="shared" si="133"/>
        <v>0</v>
      </c>
      <c r="AM389" s="452">
        <f t="shared" si="134"/>
        <v>0</v>
      </c>
      <c r="AN389" s="456"/>
      <c r="AO389" s="493"/>
      <c r="AP389" s="456"/>
      <c r="AQ389" s="493"/>
      <c r="AR389" s="456"/>
      <c r="AS389" s="493"/>
      <c r="AT389" s="456"/>
      <c r="AU389" s="493"/>
      <c r="AV389" s="449">
        <f t="shared" si="135"/>
        <v>0</v>
      </c>
      <c r="AW389" s="453">
        <f t="shared" si="136"/>
        <v>0</v>
      </c>
      <c r="AX389" s="451">
        <f t="shared" si="137"/>
        <v>0</v>
      </c>
      <c r="AY389" s="454">
        <f t="shared" si="138"/>
        <v>0</v>
      </c>
      <c r="AZ389" s="455">
        <f t="shared" si="139"/>
        <v>122.44</v>
      </c>
      <c r="BA389" s="451">
        <f t="shared" si="140"/>
        <v>106.85222222222222</v>
      </c>
    </row>
    <row r="390" spans="1:53">
      <c r="A390" s="578" t="s">
        <v>233</v>
      </c>
      <c r="B390" s="583" t="s">
        <v>363</v>
      </c>
      <c r="C390" s="584"/>
      <c r="D390" s="581">
        <v>208026</v>
      </c>
      <c r="E390" s="582">
        <v>13</v>
      </c>
      <c r="F390" s="491"/>
      <c r="G390" s="492"/>
      <c r="H390" s="456"/>
      <c r="I390" s="493"/>
      <c r="J390" s="456"/>
      <c r="K390" s="493"/>
      <c r="L390" s="456"/>
      <c r="M390" s="493"/>
      <c r="N390" s="456"/>
      <c r="O390" s="493"/>
      <c r="P390" s="449">
        <f t="shared" si="123"/>
        <v>0</v>
      </c>
      <c r="Q390" s="450">
        <f t="shared" si="124"/>
        <v>0</v>
      </c>
      <c r="R390" s="451">
        <f t="shared" si="125"/>
        <v>0</v>
      </c>
      <c r="S390" s="452">
        <f t="shared" si="126"/>
        <v>0</v>
      </c>
      <c r="T390" s="456"/>
      <c r="U390" s="493"/>
      <c r="V390" s="449">
        <f t="shared" si="127"/>
        <v>0</v>
      </c>
      <c r="W390" s="448">
        <f t="shared" si="128"/>
        <v>0</v>
      </c>
      <c r="X390" s="456"/>
      <c r="Y390" s="493"/>
      <c r="Z390" s="456"/>
      <c r="AA390" s="493"/>
      <c r="AB390" s="456"/>
      <c r="AC390" s="493"/>
      <c r="AD390" s="456">
        <v>166934</v>
      </c>
      <c r="AE390" s="493">
        <v>174916</v>
      </c>
      <c r="AF390" s="449">
        <f t="shared" si="129"/>
        <v>166934</v>
      </c>
      <c r="AG390" s="450">
        <f t="shared" si="130"/>
        <v>185.48222222222222</v>
      </c>
      <c r="AH390" s="451">
        <f t="shared" si="131"/>
        <v>174916</v>
      </c>
      <c r="AI390" s="451">
        <f t="shared" si="132"/>
        <v>194.35111111111112</v>
      </c>
      <c r="AJ390" s="456"/>
      <c r="AK390" s="493"/>
      <c r="AL390" s="449">
        <f t="shared" si="133"/>
        <v>0</v>
      </c>
      <c r="AM390" s="452">
        <f t="shared" si="134"/>
        <v>0</v>
      </c>
      <c r="AN390" s="456"/>
      <c r="AO390" s="493"/>
      <c r="AP390" s="456"/>
      <c r="AQ390" s="493"/>
      <c r="AR390" s="456"/>
      <c r="AS390" s="493"/>
      <c r="AT390" s="456"/>
      <c r="AU390" s="493"/>
      <c r="AV390" s="449">
        <f t="shared" si="135"/>
        <v>0</v>
      </c>
      <c r="AW390" s="453">
        <f t="shared" si="136"/>
        <v>0</v>
      </c>
      <c r="AX390" s="451">
        <f t="shared" si="137"/>
        <v>0</v>
      </c>
      <c r="AY390" s="454">
        <f t="shared" si="138"/>
        <v>0</v>
      </c>
      <c r="AZ390" s="455">
        <f t="shared" si="139"/>
        <v>185.48222222222222</v>
      </c>
      <c r="BA390" s="451">
        <f t="shared" si="140"/>
        <v>194.35111111111112</v>
      </c>
    </row>
    <row r="391" spans="1:53">
      <c r="A391" s="578" t="s">
        <v>233</v>
      </c>
      <c r="B391" s="583" t="s">
        <v>364</v>
      </c>
      <c r="C391" s="584"/>
      <c r="D391" s="581">
        <v>375692</v>
      </c>
      <c r="E391" s="582">
        <v>13</v>
      </c>
      <c r="F391" s="491"/>
      <c r="G391" s="492"/>
      <c r="H391" s="456"/>
      <c r="I391" s="493"/>
      <c r="J391" s="456"/>
      <c r="K391" s="493"/>
      <c r="L391" s="456"/>
      <c r="M391" s="493"/>
      <c r="N391" s="456"/>
      <c r="O391" s="493"/>
      <c r="P391" s="449">
        <f t="shared" si="123"/>
        <v>0</v>
      </c>
      <c r="Q391" s="450">
        <f t="shared" si="124"/>
        <v>0</v>
      </c>
      <c r="R391" s="451">
        <f t="shared" si="125"/>
        <v>0</v>
      </c>
      <c r="S391" s="452">
        <f t="shared" si="126"/>
        <v>0</v>
      </c>
      <c r="T391" s="456"/>
      <c r="U391" s="493"/>
      <c r="V391" s="449">
        <f t="shared" si="127"/>
        <v>0</v>
      </c>
      <c r="W391" s="448">
        <f t="shared" si="128"/>
        <v>0</v>
      </c>
      <c r="X391" s="456"/>
      <c r="Y391" s="493"/>
      <c r="Z391" s="456"/>
      <c r="AA391" s="493"/>
      <c r="AB391" s="456"/>
      <c r="AC391" s="493"/>
      <c r="AD391" s="456">
        <v>114243</v>
      </c>
      <c r="AE391" s="493">
        <v>104397</v>
      </c>
      <c r="AF391" s="449">
        <f t="shared" si="129"/>
        <v>114243</v>
      </c>
      <c r="AG391" s="450">
        <f t="shared" si="130"/>
        <v>126.93666666666667</v>
      </c>
      <c r="AH391" s="451">
        <f t="shared" si="131"/>
        <v>104397</v>
      </c>
      <c r="AI391" s="451">
        <f t="shared" si="132"/>
        <v>115.99666666666667</v>
      </c>
      <c r="AJ391" s="456"/>
      <c r="AK391" s="493"/>
      <c r="AL391" s="449">
        <f t="shared" si="133"/>
        <v>0</v>
      </c>
      <c r="AM391" s="452">
        <f t="shared" si="134"/>
        <v>0</v>
      </c>
      <c r="AN391" s="456"/>
      <c r="AO391" s="493"/>
      <c r="AP391" s="456"/>
      <c r="AQ391" s="493"/>
      <c r="AR391" s="456"/>
      <c r="AS391" s="493"/>
      <c r="AT391" s="456"/>
      <c r="AU391" s="493"/>
      <c r="AV391" s="449">
        <f t="shared" si="135"/>
        <v>0</v>
      </c>
      <c r="AW391" s="453">
        <f t="shared" si="136"/>
        <v>0</v>
      </c>
      <c r="AX391" s="451">
        <f t="shared" si="137"/>
        <v>0</v>
      </c>
      <c r="AY391" s="454">
        <f t="shared" si="138"/>
        <v>0</v>
      </c>
      <c r="AZ391" s="455">
        <f t="shared" si="139"/>
        <v>126.93666666666667</v>
      </c>
      <c r="BA391" s="451">
        <f t="shared" si="140"/>
        <v>115.99666666666667</v>
      </c>
    </row>
    <row r="392" spans="1:53">
      <c r="A392" s="578" t="s">
        <v>233</v>
      </c>
      <c r="B392" s="583" t="s">
        <v>365</v>
      </c>
      <c r="C392" s="584"/>
      <c r="D392" s="581">
        <v>375708</v>
      </c>
      <c r="E392" s="582">
        <v>13</v>
      </c>
      <c r="F392" s="491"/>
      <c r="G392" s="492"/>
      <c r="H392" s="456"/>
      <c r="I392" s="493"/>
      <c r="J392" s="456"/>
      <c r="K392" s="493"/>
      <c r="L392" s="456"/>
      <c r="M392" s="493"/>
      <c r="N392" s="456"/>
      <c r="O392" s="493"/>
      <c r="P392" s="449">
        <f t="shared" ref="P392:P455" si="141">SUM(H392,J392,L392,N392)</f>
        <v>0</v>
      </c>
      <c r="Q392" s="450">
        <f t="shared" ref="Q392:Q455" si="142">+P392/30</f>
        <v>0</v>
      </c>
      <c r="R392" s="451">
        <f t="shared" ref="R392:R455" si="143">SUM(I392,K392,M392,O392)</f>
        <v>0</v>
      </c>
      <c r="S392" s="452">
        <f t="shared" ref="S392:S455" si="144">+R392/30</f>
        <v>0</v>
      </c>
      <c r="T392" s="456"/>
      <c r="U392" s="493"/>
      <c r="V392" s="449">
        <f t="shared" ref="V392:V455" si="145">IF(ISBLANK(T392),0,P392)</f>
        <v>0</v>
      </c>
      <c r="W392" s="448">
        <f t="shared" ref="W392:W455" si="146">IF(ISBLANK(U392),0,R392)</f>
        <v>0</v>
      </c>
      <c r="X392" s="456"/>
      <c r="Y392" s="493"/>
      <c r="Z392" s="456"/>
      <c r="AA392" s="493"/>
      <c r="AB392" s="456"/>
      <c r="AC392" s="493"/>
      <c r="AD392" s="456">
        <v>164452</v>
      </c>
      <c r="AE392" s="493">
        <v>166267</v>
      </c>
      <c r="AF392" s="449">
        <f t="shared" ref="AF392:AF455" si="147">SUM(X392,Z392,AB392,AD392)</f>
        <v>164452</v>
      </c>
      <c r="AG392" s="450">
        <f t="shared" ref="AG392:AG455" si="148">+AF392/900</f>
        <v>182.72444444444446</v>
      </c>
      <c r="AH392" s="451">
        <f t="shared" ref="AH392:AH455" si="149">SUM(Y392,AA392,AC392,AE392)</f>
        <v>166267</v>
      </c>
      <c r="AI392" s="451">
        <f t="shared" ref="AI392:AI455" si="150">+AH392/900</f>
        <v>184.74111111111111</v>
      </c>
      <c r="AJ392" s="456"/>
      <c r="AK392" s="493"/>
      <c r="AL392" s="449">
        <f t="shared" ref="AL392:AL455" si="151">IF(ISBLANK(AJ392),0,AF392)</f>
        <v>0</v>
      </c>
      <c r="AM392" s="452">
        <f t="shared" ref="AM392:AM455" si="152">IF(ISBLANK(AK392),0,AH392)</f>
        <v>0</v>
      </c>
      <c r="AN392" s="456"/>
      <c r="AO392" s="493"/>
      <c r="AP392" s="456"/>
      <c r="AQ392" s="493"/>
      <c r="AR392" s="456"/>
      <c r="AS392" s="493"/>
      <c r="AT392" s="456"/>
      <c r="AU392" s="493"/>
      <c r="AV392" s="449">
        <f t="shared" ref="AV392:AV455" si="153">SUM(AN392,AP392,AR392,AT392)</f>
        <v>0</v>
      </c>
      <c r="AW392" s="453">
        <f t="shared" ref="AW392:AW455" si="154">+AV392/24</f>
        <v>0</v>
      </c>
      <c r="AX392" s="451">
        <f t="shared" ref="AX392:AX455" si="155">SUM(AO392,AQ392,AS392,AU392)</f>
        <v>0</v>
      </c>
      <c r="AY392" s="454">
        <f t="shared" ref="AY392:AY455" si="156">+AX392/24</f>
        <v>0</v>
      </c>
      <c r="AZ392" s="455">
        <f t="shared" ref="AZ392:AZ455" si="157">SUM(Q392,AG392,AW392)</f>
        <v>182.72444444444446</v>
      </c>
      <c r="BA392" s="451">
        <f t="shared" ref="BA392:BA455" si="158">SUM(S392,AI392,AY392)</f>
        <v>184.74111111111111</v>
      </c>
    </row>
    <row r="393" spans="1:53">
      <c r="A393" s="578" t="s">
        <v>233</v>
      </c>
      <c r="B393" s="583" t="s">
        <v>366</v>
      </c>
      <c r="C393" s="584"/>
      <c r="D393" s="581">
        <v>375717</v>
      </c>
      <c r="E393" s="582">
        <v>13</v>
      </c>
      <c r="F393" s="491"/>
      <c r="G393" s="492"/>
      <c r="H393" s="456"/>
      <c r="I393" s="493"/>
      <c r="J393" s="456"/>
      <c r="K393" s="493"/>
      <c r="L393" s="456"/>
      <c r="M393" s="493"/>
      <c r="N393" s="456"/>
      <c r="O393" s="493"/>
      <c r="P393" s="449">
        <f t="shared" si="141"/>
        <v>0</v>
      </c>
      <c r="Q393" s="450">
        <f t="shared" si="142"/>
        <v>0</v>
      </c>
      <c r="R393" s="451">
        <f t="shared" si="143"/>
        <v>0</v>
      </c>
      <c r="S393" s="452">
        <f t="shared" si="144"/>
        <v>0</v>
      </c>
      <c r="T393" s="456"/>
      <c r="U393" s="493"/>
      <c r="V393" s="449">
        <f t="shared" si="145"/>
        <v>0</v>
      </c>
      <c r="W393" s="448">
        <f t="shared" si="146"/>
        <v>0</v>
      </c>
      <c r="X393" s="456"/>
      <c r="Y393" s="493"/>
      <c r="Z393" s="456"/>
      <c r="AA393" s="493"/>
      <c r="AB393" s="456"/>
      <c r="AC393" s="493"/>
      <c r="AD393" s="456">
        <v>160634.5</v>
      </c>
      <c r="AE393" s="493">
        <v>114268.75</v>
      </c>
      <c r="AF393" s="449">
        <f t="shared" si="147"/>
        <v>160634.5</v>
      </c>
      <c r="AG393" s="450">
        <f t="shared" si="148"/>
        <v>178.48277777777778</v>
      </c>
      <c r="AH393" s="451">
        <f t="shared" si="149"/>
        <v>114268.75</v>
      </c>
      <c r="AI393" s="451">
        <f t="shared" si="150"/>
        <v>126.96527777777777</v>
      </c>
      <c r="AJ393" s="456"/>
      <c r="AK393" s="493"/>
      <c r="AL393" s="449">
        <f t="shared" si="151"/>
        <v>0</v>
      </c>
      <c r="AM393" s="452">
        <f t="shared" si="152"/>
        <v>0</v>
      </c>
      <c r="AN393" s="456"/>
      <c r="AO393" s="493"/>
      <c r="AP393" s="456"/>
      <c r="AQ393" s="493"/>
      <c r="AR393" s="456"/>
      <c r="AS393" s="493"/>
      <c r="AT393" s="456"/>
      <c r="AU393" s="493"/>
      <c r="AV393" s="449">
        <f t="shared" si="153"/>
        <v>0</v>
      </c>
      <c r="AW393" s="453">
        <f t="shared" si="154"/>
        <v>0</v>
      </c>
      <c r="AX393" s="451">
        <f t="shared" si="155"/>
        <v>0</v>
      </c>
      <c r="AY393" s="454">
        <f t="shared" si="156"/>
        <v>0</v>
      </c>
      <c r="AZ393" s="455">
        <f t="shared" si="157"/>
        <v>178.48277777777778</v>
      </c>
      <c r="BA393" s="451">
        <f t="shared" si="158"/>
        <v>126.96527777777777</v>
      </c>
    </row>
    <row r="394" spans="1:53">
      <c r="A394" s="578" t="s">
        <v>233</v>
      </c>
      <c r="B394" s="583" t="s">
        <v>367</v>
      </c>
      <c r="C394" s="584"/>
      <c r="D394" s="581">
        <v>375735</v>
      </c>
      <c r="E394" s="582">
        <v>13</v>
      </c>
      <c r="F394" s="491"/>
      <c r="G394" s="492"/>
      <c r="H394" s="456"/>
      <c r="I394" s="493"/>
      <c r="J394" s="456"/>
      <c r="K394" s="493"/>
      <c r="L394" s="456"/>
      <c r="M394" s="493"/>
      <c r="N394" s="456"/>
      <c r="O394" s="493"/>
      <c r="P394" s="449">
        <f t="shared" si="141"/>
        <v>0</v>
      </c>
      <c r="Q394" s="450">
        <f t="shared" si="142"/>
        <v>0</v>
      </c>
      <c r="R394" s="451">
        <f t="shared" si="143"/>
        <v>0</v>
      </c>
      <c r="S394" s="452">
        <f t="shared" si="144"/>
        <v>0</v>
      </c>
      <c r="T394" s="456"/>
      <c r="U394" s="493"/>
      <c r="V394" s="449">
        <f t="shared" si="145"/>
        <v>0</v>
      </c>
      <c r="W394" s="448">
        <f t="shared" si="146"/>
        <v>0</v>
      </c>
      <c r="X394" s="456"/>
      <c r="Y394" s="493"/>
      <c r="Z394" s="456"/>
      <c r="AA394" s="493"/>
      <c r="AB394" s="456"/>
      <c r="AC394" s="493"/>
      <c r="AD394" s="456">
        <v>197236</v>
      </c>
      <c r="AE394" s="493">
        <v>187449.5</v>
      </c>
      <c r="AF394" s="449">
        <f t="shared" si="147"/>
        <v>197236</v>
      </c>
      <c r="AG394" s="450">
        <f t="shared" si="148"/>
        <v>219.15111111111111</v>
      </c>
      <c r="AH394" s="451">
        <f t="shared" si="149"/>
        <v>187449.5</v>
      </c>
      <c r="AI394" s="451">
        <f t="shared" si="150"/>
        <v>208.27722222222224</v>
      </c>
      <c r="AJ394" s="456"/>
      <c r="AK394" s="493"/>
      <c r="AL394" s="449">
        <f t="shared" si="151"/>
        <v>0</v>
      </c>
      <c r="AM394" s="452">
        <f t="shared" si="152"/>
        <v>0</v>
      </c>
      <c r="AN394" s="456"/>
      <c r="AO394" s="493"/>
      <c r="AP394" s="456"/>
      <c r="AQ394" s="493"/>
      <c r="AR394" s="456"/>
      <c r="AS394" s="493"/>
      <c r="AT394" s="456"/>
      <c r="AU394" s="493"/>
      <c r="AV394" s="449">
        <f t="shared" si="153"/>
        <v>0</v>
      </c>
      <c r="AW394" s="453">
        <f t="shared" si="154"/>
        <v>0</v>
      </c>
      <c r="AX394" s="451">
        <f t="shared" si="155"/>
        <v>0</v>
      </c>
      <c r="AY394" s="454">
        <f t="shared" si="156"/>
        <v>0</v>
      </c>
      <c r="AZ394" s="455">
        <f t="shared" si="157"/>
        <v>219.15111111111111</v>
      </c>
      <c r="BA394" s="451">
        <f t="shared" si="158"/>
        <v>208.27722222222224</v>
      </c>
    </row>
    <row r="395" spans="1:53">
      <c r="A395" s="578" t="s">
        <v>233</v>
      </c>
      <c r="B395" s="583" t="s">
        <v>368</v>
      </c>
      <c r="C395" s="584"/>
      <c r="D395" s="581">
        <v>375726</v>
      </c>
      <c r="E395" s="582">
        <v>13</v>
      </c>
      <c r="F395" s="491"/>
      <c r="G395" s="492"/>
      <c r="H395" s="456"/>
      <c r="I395" s="493"/>
      <c r="J395" s="456"/>
      <c r="K395" s="493"/>
      <c r="L395" s="456"/>
      <c r="M395" s="493"/>
      <c r="N395" s="456"/>
      <c r="O395" s="493"/>
      <c r="P395" s="449">
        <f t="shared" si="141"/>
        <v>0</v>
      </c>
      <c r="Q395" s="450">
        <f t="shared" si="142"/>
        <v>0</v>
      </c>
      <c r="R395" s="451">
        <f t="shared" si="143"/>
        <v>0</v>
      </c>
      <c r="S395" s="452">
        <f t="shared" si="144"/>
        <v>0</v>
      </c>
      <c r="T395" s="456"/>
      <c r="U395" s="493"/>
      <c r="V395" s="449">
        <f t="shared" si="145"/>
        <v>0</v>
      </c>
      <c r="W395" s="448">
        <f t="shared" si="146"/>
        <v>0</v>
      </c>
      <c r="X395" s="456"/>
      <c r="Y395" s="493"/>
      <c r="Z395" s="456"/>
      <c r="AA395" s="493"/>
      <c r="AB395" s="456"/>
      <c r="AC395" s="493"/>
      <c r="AD395" s="456">
        <v>240644</v>
      </c>
      <c r="AE395" s="493">
        <v>275178.5</v>
      </c>
      <c r="AF395" s="449">
        <f t="shared" si="147"/>
        <v>240644</v>
      </c>
      <c r="AG395" s="450">
        <f t="shared" si="148"/>
        <v>267.3822222222222</v>
      </c>
      <c r="AH395" s="451">
        <f t="shared" si="149"/>
        <v>275178.5</v>
      </c>
      <c r="AI395" s="451">
        <f t="shared" si="150"/>
        <v>305.75388888888887</v>
      </c>
      <c r="AJ395" s="456"/>
      <c r="AK395" s="493"/>
      <c r="AL395" s="449">
        <f t="shared" si="151"/>
        <v>0</v>
      </c>
      <c r="AM395" s="452">
        <f t="shared" si="152"/>
        <v>0</v>
      </c>
      <c r="AN395" s="456"/>
      <c r="AO395" s="493"/>
      <c r="AP395" s="456"/>
      <c r="AQ395" s="493"/>
      <c r="AR395" s="456"/>
      <c r="AS395" s="493"/>
      <c r="AT395" s="456"/>
      <c r="AU395" s="493"/>
      <c r="AV395" s="449">
        <f t="shared" si="153"/>
        <v>0</v>
      </c>
      <c r="AW395" s="453">
        <f t="shared" si="154"/>
        <v>0</v>
      </c>
      <c r="AX395" s="451">
        <f t="shared" si="155"/>
        <v>0</v>
      </c>
      <c r="AY395" s="454">
        <f t="shared" si="156"/>
        <v>0</v>
      </c>
      <c r="AZ395" s="455">
        <f t="shared" si="157"/>
        <v>267.3822222222222</v>
      </c>
      <c r="BA395" s="451">
        <f t="shared" si="158"/>
        <v>305.75388888888887</v>
      </c>
    </row>
    <row r="396" spans="1:53">
      <c r="A396" s="578" t="s">
        <v>233</v>
      </c>
      <c r="B396" s="583" t="s">
        <v>369</v>
      </c>
      <c r="C396" s="584"/>
      <c r="D396" s="581">
        <v>375744</v>
      </c>
      <c r="E396" s="582">
        <v>13</v>
      </c>
      <c r="F396" s="491"/>
      <c r="G396" s="492"/>
      <c r="H396" s="456"/>
      <c r="I396" s="493"/>
      <c r="J396" s="456"/>
      <c r="K396" s="493"/>
      <c r="L396" s="456"/>
      <c r="M396" s="493"/>
      <c r="N396" s="456"/>
      <c r="O396" s="493"/>
      <c r="P396" s="449">
        <f t="shared" si="141"/>
        <v>0</v>
      </c>
      <c r="Q396" s="450">
        <f t="shared" si="142"/>
        <v>0</v>
      </c>
      <c r="R396" s="451">
        <f t="shared" si="143"/>
        <v>0</v>
      </c>
      <c r="S396" s="452">
        <f t="shared" si="144"/>
        <v>0</v>
      </c>
      <c r="T396" s="456"/>
      <c r="U396" s="493"/>
      <c r="V396" s="449">
        <f t="shared" si="145"/>
        <v>0</v>
      </c>
      <c r="W396" s="448">
        <f t="shared" si="146"/>
        <v>0</v>
      </c>
      <c r="X396" s="456"/>
      <c r="Y396" s="493"/>
      <c r="Z396" s="456"/>
      <c r="AA396" s="493"/>
      <c r="AB396" s="456"/>
      <c r="AC396" s="493"/>
      <c r="AD396" s="456">
        <v>232694</v>
      </c>
      <c r="AE396" s="493">
        <v>211050.65</v>
      </c>
      <c r="AF396" s="449">
        <f t="shared" si="147"/>
        <v>232694</v>
      </c>
      <c r="AG396" s="450">
        <f t="shared" si="148"/>
        <v>258.54888888888888</v>
      </c>
      <c r="AH396" s="451">
        <f t="shared" si="149"/>
        <v>211050.65</v>
      </c>
      <c r="AI396" s="451">
        <f t="shared" si="150"/>
        <v>234.50072222222221</v>
      </c>
      <c r="AJ396" s="456"/>
      <c r="AK396" s="493"/>
      <c r="AL396" s="449">
        <f t="shared" si="151"/>
        <v>0</v>
      </c>
      <c r="AM396" s="452">
        <f t="shared" si="152"/>
        <v>0</v>
      </c>
      <c r="AN396" s="456"/>
      <c r="AO396" s="493"/>
      <c r="AP396" s="456"/>
      <c r="AQ396" s="493"/>
      <c r="AR396" s="456"/>
      <c r="AS396" s="493"/>
      <c r="AT396" s="456"/>
      <c r="AU396" s="493"/>
      <c r="AV396" s="449">
        <f t="shared" si="153"/>
        <v>0</v>
      </c>
      <c r="AW396" s="453">
        <f t="shared" si="154"/>
        <v>0</v>
      </c>
      <c r="AX396" s="451">
        <f t="shared" si="155"/>
        <v>0</v>
      </c>
      <c r="AY396" s="454">
        <f t="shared" si="156"/>
        <v>0</v>
      </c>
      <c r="AZ396" s="455">
        <f t="shared" si="157"/>
        <v>258.54888888888888</v>
      </c>
      <c r="BA396" s="451">
        <f t="shared" si="158"/>
        <v>234.50072222222221</v>
      </c>
    </row>
    <row r="397" spans="1:53">
      <c r="A397" s="578" t="s">
        <v>233</v>
      </c>
      <c r="B397" s="583" t="s">
        <v>370</v>
      </c>
      <c r="C397" s="584"/>
      <c r="D397" s="581">
        <v>375753</v>
      </c>
      <c r="E397" s="582">
        <v>13</v>
      </c>
      <c r="F397" s="491"/>
      <c r="G397" s="492"/>
      <c r="H397" s="456"/>
      <c r="I397" s="493"/>
      <c r="J397" s="456"/>
      <c r="K397" s="493"/>
      <c r="L397" s="456"/>
      <c r="M397" s="493"/>
      <c r="N397" s="456"/>
      <c r="O397" s="493"/>
      <c r="P397" s="449">
        <f t="shared" si="141"/>
        <v>0</v>
      </c>
      <c r="Q397" s="450">
        <f t="shared" si="142"/>
        <v>0</v>
      </c>
      <c r="R397" s="451">
        <f t="shared" si="143"/>
        <v>0</v>
      </c>
      <c r="S397" s="452">
        <f t="shared" si="144"/>
        <v>0</v>
      </c>
      <c r="T397" s="456"/>
      <c r="U397" s="493"/>
      <c r="V397" s="449">
        <f t="shared" si="145"/>
        <v>0</v>
      </c>
      <c r="W397" s="448">
        <f t="shared" si="146"/>
        <v>0</v>
      </c>
      <c r="X397" s="456"/>
      <c r="Y397" s="493"/>
      <c r="Z397" s="456"/>
      <c r="AA397" s="493"/>
      <c r="AB397" s="456"/>
      <c r="AC397" s="493"/>
      <c r="AD397" s="456">
        <v>29974</v>
      </c>
      <c r="AE397" s="493">
        <v>27897</v>
      </c>
      <c r="AF397" s="449">
        <f t="shared" si="147"/>
        <v>29974</v>
      </c>
      <c r="AG397" s="450">
        <f t="shared" si="148"/>
        <v>33.304444444444442</v>
      </c>
      <c r="AH397" s="451">
        <f t="shared" si="149"/>
        <v>27897</v>
      </c>
      <c r="AI397" s="451">
        <f t="shared" si="150"/>
        <v>30.996666666666666</v>
      </c>
      <c r="AJ397" s="456"/>
      <c r="AK397" s="493"/>
      <c r="AL397" s="449">
        <f t="shared" si="151"/>
        <v>0</v>
      </c>
      <c r="AM397" s="452">
        <f t="shared" si="152"/>
        <v>0</v>
      </c>
      <c r="AN397" s="456"/>
      <c r="AO397" s="493"/>
      <c r="AP397" s="456"/>
      <c r="AQ397" s="493"/>
      <c r="AR397" s="456"/>
      <c r="AS397" s="493"/>
      <c r="AT397" s="456"/>
      <c r="AU397" s="493"/>
      <c r="AV397" s="449">
        <f t="shared" si="153"/>
        <v>0</v>
      </c>
      <c r="AW397" s="453">
        <f t="shared" si="154"/>
        <v>0</v>
      </c>
      <c r="AX397" s="451">
        <f t="shared" si="155"/>
        <v>0</v>
      </c>
      <c r="AY397" s="454">
        <f t="shared" si="156"/>
        <v>0</v>
      </c>
      <c r="AZ397" s="455">
        <f t="shared" si="157"/>
        <v>33.304444444444442</v>
      </c>
      <c r="BA397" s="451">
        <f t="shared" si="158"/>
        <v>30.996666666666666</v>
      </c>
    </row>
    <row r="398" spans="1:53">
      <c r="A398" s="578" t="s">
        <v>233</v>
      </c>
      <c r="B398" s="583" t="s">
        <v>371</v>
      </c>
      <c r="C398" s="584"/>
      <c r="D398" s="581">
        <v>405748</v>
      </c>
      <c r="E398" s="582">
        <v>13</v>
      </c>
      <c r="F398" s="491"/>
      <c r="G398" s="492"/>
      <c r="H398" s="456"/>
      <c r="I398" s="493"/>
      <c r="J398" s="456"/>
      <c r="K398" s="493"/>
      <c r="L398" s="456"/>
      <c r="M398" s="493"/>
      <c r="N398" s="456"/>
      <c r="O398" s="493"/>
      <c r="P398" s="449">
        <f t="shared" si="141"/>
        <v>0</v>
      </c>
      <c r="Q398" s="450">
        <f t="shared" si="142"/>
        <v>0</v>
      </c>
      <c r="R398" s="451">
        <f t="shared" si="143"/>
        <v>0</v>
      </c>
      <c r="S398" s="452">
        <f t="shared" si="144"/>
        <v>0</v>
      </c>
      <c r="T398" s="456"/>
      <c r="U398" s="493"/>
      <c r="V398" s="449">
        <f t="shared" si="145"/>
        <v>0</v>
      </c>
      <c r="W398" s="448">
        <f t="shared" si="146"/>
        <v>0</v>
      </c>
      <c r="X398" s="456"/>
      <c r="Y398" s="493"/>
      <c r="Z398" s="456"/>
      <c r="AA398" s="493"/>
      <c r="AB398" s="456"/>
      <c r="AC398" s="493"/>
      <c r="AD398" s="456">
        <v>67562.5</v>
      </c>
      <c r="AE398" s="493">
        <v>74897.5</v>
      </c>
      <c r="AF398" s="449">
        <f t="shared" si="147"/>
        <v>67562.5</v>
      </c>
      <c r="AG398" s="450">
        <f t="shared" si="148"/>
        <v>75.069444444444443</v>
      </c>
      <c r="AH398" s="451">
        <f t="shared" si="149"/>
        <v>74897.5</v>
      </c>
      <c r="AI398" s="451">
        <f t="shared" si="150"/>
        <v>83.219444444444449</v>
      </c>
      <c r="AJ398" s="456"/>
      <c r="AK398" s="493"/>
      <c r="AL398" s="449">
        <f t="shared" si="151"/>
        <v>0</v>
      </c>
      <c r="AM398" s="452">
        <f t="shared" si="152"/>
        <v>0</v>
      </c>
      <c r="AN398" s="456"/>
      <c r="AO398" s="493"/>
      <c r="AP398" s="456"/>
      <c r="AQ398" s="493"/>
      <c r="AR398" s="456"/>
      <c r="AS398" s="493"/>
      <c r="AT398" s="456"/>
      <c r="AU398" s="493"/>
      <c r="AV398" s="449">
        <f t="shared" si="153"/>
        <v>0</v>
      </c>
      <c r="AW398" s="453">
        <f t="shared" si="154"/>
        <v>0</v>
      </c>
      <c r="AX398" s="451">
        <f t="shared" si="155"/>
        <v>0</v>
      </c>
      <c r="AY398" s="454">
        <f t="shared" si="156"/>
        <v>0</v>
      </c>
      <c r="AZ398" s="455">
        <f t="shared" si="157"/>
        <v>75.069444444444443</v>
      </c>
      <c r="BA398" s="451">
        <f t="shared" si="158"/>
        <v>83.219444444444449</v>
      </c>
    </row>
    <row r="399" spans="1:53">
      <c r="A399" s="578" t="s">
        <v>233</v>
      </c>
      <c r="B399" s="583" t="s">
        <v>372</v>
      </c>
      <c r="C399" s="584"/>
      <c r="D399" s="581">
        <v>375762</v>
      </c>
      <c r="E399" s="582">
        <v>13</v>
      </c>
      <c r="F399" s="491"/>
      <c r="G399" s="492"/>
      <c r="H399" s="456"/>
      <c r="I399" s="493"/>
      <c r="J399" s="456"/>
      <c r="K399" s="493"/>
      <c r="L399" s="456"/>
      <c r="M399" s="493"/>
      <c r="N399" s="456"/>
      <c r="O399" s="493"/>
      <c r="P399" s="449">
        <f t="shared" si="141"/>
        <v>0</v>
      </c>
      <c r="Q399" s="450">
        <f t="shared" si="142"/>
        <v>0</v>
      </c>
      <c r="R399" s="451">
        <f t="shared" si="143"/>
        <v>0</v>
      </c>
      <c r="S399" s="452">
        <f t="shared" si="144"/>
        <v>0</v>
      </c>
      <c r="T399" s="456"/>
      <c r="U399" s="493"/>
      <c r="V399" s="449">
        <f t="shared" si="145"/>
        <v>0</v>
      </c>
      <c r="W399" s="448">
        <f t="shared" si="146"/>
        <v>0</v>
      </c>
      <c r="X399" s="456"/>
      <c r="Y399" s="493"/>
      <c r="Z399" s="456"/>
      <c r="AA399" s="493"/>
      <c r="AB399" s="456"/>
      <c r="AC399" s="493"/>
      <c r="AD399" s="456">
        <v>69959.5</v>
      </c>
      <c r="AE399" s="493">
        <v>67477</v>
      </c>
      <c r="AF399" s="449">
        <f t="shared" si="147"/>
        <v>69959.5</v>
      </c>
      <c r="AG399" s="450">
        <f t="shared" si="148"/>
        <v>77.732777777777784</v>
      </c>
      <c r="AH399" s="451">
        <f t="shared" si="149"/>
        <v>67477</v>
      </c>
      <c r="AI399" s="451">
        <f t="shared" si="150"/>
        <v>74.974444444444444</v>
      </c>
      <c r="AJ399" s="456"/>
      <c r="AK399" s="493"/>
      <c r="AL399" s="449">
        <f t="shared" si="151"/>
        <v>0</v>
      </c>
      <c r="AM399" s="452">
        <f t="shared" si="152"/>
        <v>0</v>
      </c>
      <c r="AN399" s="456"/>
      <c r="AO399" s="493"/>
      <c r="AP399" s="456"/>
      <c r="AQ399" s="493"/>
      <c r="AR399" s="456"/>
      <c r="AS399" s="493"/>
      <c r="AT399" s="456"/>
      <c r="AU399" s="493"/>
      <c r="AV399" s="449">
        <f t="shared" si="153"/>
        <v>0</v>
      </c>
      <c r="AW399" s="453">
        <f t="shared" si="154"/>
        <v>0</v>
      </c>
      <c r="AX399" s="451">
        <f t="shared" si="155"/>
        <v>0</v>
      </c>
      <c r="AY399" s="454">
        <f t="shared" si="156"/>
        <v>0</v>
      </c>
      <c r="AZ399" s="455">
        <f t="shared" si="157"/>
        <v>77.732777777777784</v>
      </c>
      <c r="BA399" s="451">
        <f t="shared" si="158"/>
        <v>74.974444444444444</v>
      </c>
    </row>
    <row r="400" spans="1:53">
      <c r="A400" s="578" t="s">
        <v>233</v>
      </c>
      <c r="B400" s="583" t="s">
        <v>373</v>
      </c>
      <c r="C400" s="584"/>
      <c r="D400" s="581">
        <v>365480</v>
      </c>
      <c r="E400" s="582">
        <v>13</v>
      </c>
      <c r="F400" s="491"/>
      <c r="G400" s="492"/>
      <c r="H400" s="456"/>
      <c r="I400" s="493"/>
      <c r="J400" s="456"/>
      <c r="K400" s="493"/>
      <c r="L400" s="456"/>
      <c r="M400" s="493"/>
      <c r="N400" s="456"/>
      <c r="O400" s="493"/>
      <c r="P400" s="449">
        <f t="shared" si="141"/>
        <v>0</v>
      </c>
      <c r="Q400" s="450">
        <f t="shared" si="142"/>
        <v>0</v>
      </c>
      <c r="R400" s="451">
        <f t="shared" si="143"/>
        <v>0</v>
      </c>
      <c r="S400" s="452">
        <f t="shared" si="144"/>
        <v>0</v>
      </c>
      <c r="T400" s="456"/>
      <c r="U400" s="493"/>
      <c r="V400" s="449">
        <f t="shared" si="145"/>
        <v>0</v>
      </c>
      <c r="W400" s="448">
        <f t="shared" si="146"/>
        <v>0</v>
      </c>
      <c r="X400" s="456"/>
      <c r="Y400" s="493"/>
      <c r="Z400" s="456"/>
      <c r="AA400" s="493"/>
      <c r="AB400" s="456"/>
      <c r="AC400" s="493"/>
      <c r="AD400" s="456">
        <v>526645.25</v>
      </c>
      <c r="AE400" s="493">
        <v>527896.05000000005</v>
      </c>
      <c r="AF400" s="449">
        <f t="shared" si="147"/>
        <v>526645.25</v>
      </c>
      <c r="AG400" s="450">
        <f t="shared" si="148"/>
        <v>585.16138888888884</v>
      </c>
      <c r="AH400" s="451">
        <f t="shared" si="149"/>
        <v>527896.05000000005</v>
      </c>
      <c r="AI400" s="451">
        <f t="shared" si="150"/>
        <v>586.55116666666675</v>
      </c>
      <c r="AJ400" s="456"/>
      <c r="AK400" s="493"/>
      <c r="AL400" s="449">
        <f t="shared" si="151"/>
        <v>0</v>
      </c>
      <c r="AM400" s="452">
        <f t="shared" si="152"/>
        <v>0</v>
      </c>
      <c r="AN400" s="456"/>
      <c r="AO400" s="493"/>
      <c r="AP400" s="456"/>
      <c r="AQ400" s="493"/>
      <c r="AR400" s="456"/>
      <c r="AS400" s="493"/>
      <c r="AT400" s="456"/>
      <c r="AU400" s="493"/>
      <c r="AV400" s="449">
        <f t="shared" si="153"/>
        <v>0</v>
      </c>
      <c r="AW400" s="453">
        <f t="shared" si="154"/>
        <v>0</v>
      </c>
      <c r="AX400" s="451">
        <f t="shared" si="155"/>
        <v>0</v>
      </c>
      <c r="AY400" s="454">
        <f t="shared" si="156"/>
        <v>0</v>
      </c>
      <c r="AZ400" s="455">
        <f t="shared" si="157"/>
        <v>585.16138888888884</v>
      </c>
      <c r="BA400" s="451">
        <f t="shared" si="158"/>
        <v>586.55116666666675</v>
      </c>
    </row>
    <row r="401" spans="1:53">
      <c r="A401" s="578" t="s">
        <v>233</v>
      </c>
      <c r="B401" s="583" t="s">
        <v>374</v>
      </c>
      <c r="C401" s="584"/>
      <c r="D401" s="581">
        <v>418320</v>
      </c>
      <c r="E401" s="582">
        <v>13</v>
      </c>
      <c r="F401" s="491"/>
      <c r="G401" s="492"/>
      <c r="H401" s="456"/>
      <c r="I401" s="493"/>
      <c r="J401" s="456"/>
      <c r="K401" s="493"/>
      <c r="L401" s="456"/>
      <c r="M401" s="493"/>
      <c r="N401" s="456"/>
      <c r="O401" s="493"/>
      <c r="P401" s="449">
        <f t="shared" si="141"/>
        <v>0</v>
      </c>
      <c r="Q401" s="450">
        <f t="shared" si="142"/>
        <v>0</v>
      </c>
      <c r="R401" s="451">
        <f t="shared" si="143"/>
        <v>0</v>
      </c>
      <c r="S401" s="452">
        <f t="shared" si="144"/>
        <v>0</v>
      </c>
      <c r="T401" s="456"/>
      <c r="U401" s="493"/>
      <c r="V401" s="449">
        <f t="shared" si="145"/>
        <v>0</v>
      </c>
      <c r="W401" s="448">
        <f t="shared" si="146"/>
        <v>0</v>
      </c>
      <c r="X401" s="456"/>
      <c r="Y401" s="493"/>
      <c r="Z401" s="456"/>
      <c r="AA401" s="493"/>
      <c r="AB401" s="456"/>
      <c r="AC401" s="493"/>
      <c r="AD401" s="456">
        <v>515076.5</v>
      </c>
      <c r="AE401" s="493">
        <v>524868.5</v>
      </c>
      <c r="AF401" s="449">
        <f t="shared" si="147"/>
        <v>515076.5</v>
      </c>
      <c r="AG401" s="450">
        <f t="shared" si="148"/>
        <v>572.30722222222221</v>
      </c>
      <c r="AH401" s="451">
        <f t="shared" si="149"/>
        <v>524868.5</v>
      </c>
      <c r="AI401" s="451">
        <f t="shared" si="150"/>
        <v>583.1872222222222</v>
      </c>
      <c r="AJ401" s="456"/>
      <c r="AK401" s="493"/>
      <c r="AL401" s="449">
        <f t="shared" si="151"/>
        <v>0</v>
      </c>
      <c r="AM401" s="452">
        <f t="shared" si="152"/>
        <v>0</v>
      </c>
      <c r="AN401" s="456"/>
      <c r="AO401" s="493"/>
      <c r="AP401" s="456"/>
      <c r="AQ401" s="493"/>
      <c r="AR401" s="456"/>
      <c r="AS401" s="493"/>
      <c r="AT401" s="456"/>
      <c r="AU401" s="493"/>
      <c r="AV401" s="449">
        <f t="shared" si="153"/>
        <v>0</v>
      </c>
      <c r="AW401" s="453">
        <f t="shared" si="154"/>
        <v>0</v>
      </c>
      <c r="AX401" s="451">
        <f t="shared" si="155"/>
        <v>0</v>
      </c>
      <c r="AY401" s="454">
        <f t="shared" si="156"/>
        <v>0</v>
      </c>
      <c r="AZ401" s="455">
        <f t="shared" si="157"/>
        <v>572.30722222222221</v>
      </c>
      <c r="BA401" s="451">
        <f t="shared" si="158"/>
        <v>583.1872222222222</v>
      </c>
    </row>
    <row r="402" spans="1:53">
      <c r="A402" s="578" t="s">
        <v>233</v>
      </c>
      <c r="B402" s="583" t="s">
        <v>375</v>
      </c>
      <c r="C402" s="584"/>
      <c r="D402" s="581">
        <v>431017</v>
      </c>
      <c r="E402" s="582">
        <v>13</v>
      </c>
      <c r="F402" s="491"/>
      <c r="G402" s="492"/>
      <c r="H402" s="456"/>
      <c r="I402" s="493"/>
      <c r="J402" s="456"/>
      <c r="K402" s="493"/>
      <c r="L402" s="456"/>
      <c r="M402" s="493"/>
      <c r="N402" s="456"/>
      <c r="O402" s="493"/>
      <c r="P402" s="449">
        <f t="shared" si="141"/>
        <v>0</v>
      </c>
      <c r="Q402" s="450">
        <f t="shared" si="142"/>
        <v>0</v>
      </c>
      <c r="R402" s="451">
        <f t="shared" si="143"/>
        <v>0</v>
      </c>
      <c r="S402" s="452">
        <f t="shared" si="144"/>
        <v>0</v>
      </c>
      <c r="T402" s="456"/>
      <c r="U402" s="493"/>
      <c r="V402" s="449">
        <f t="shared" si="145"/>
        <v>0</v>
      </c>
      <c r="W402" s="448">
        <f t="shared" si="146"/>
        <v>0</v>
      </c>
      <c r="X402" s="456"/>
      <c r="Y402" s="493"/>
      <c r="Z402" s="456"/>
      <c r="AA402" s="493"/>
      <c r="AB402" s="456"/>
      <c r="AC402" s="493"/>
      <c r="AD402" s="456">
        <v>373767</v>
      </c>
      <c r="AE402" s="493">
        <v>370422.5</v>
      </c>
      <c r="AF402" s="449">
        <f t="shared" si="147"/>
        <v>373767</v>
      </c>
      <c r="AG402" s="450">
        <f t="shared" si="148"/>
        <v>415.29666666666668</v>
      </c>
      <c r="AH402" s="451">
        <f t="shared" si="149"/>
        <v>370422.5</v>
      </c>
      <c r="AI402" s="451">
        <f t="shared" si="150"/>
        <v>411.58055555555558</v>
      </c>
      <c r="AJ402" s="456"/>
      <c r="AK402" s="493"/>
      <c r="AL402" s="449">
        <f t="shared" si="151"/>
        <v>0</v>
      </c>
      <c r="AM402" s="452">
        <f t="shared" si="152"/>
        <v>0</v>
      </c>
      <c r="AN402" s="456"/>
      <c r="AO402" s="493"/>
      <c r="AP402" s="456"/>
      <c r="AQ402" s="493"/>
      <c r="AR402" s="456"/>
      <c r="AS402" s="493"/>
      <c r="AT402" s="456"/>
      <c r="AU402" s="493"/>
      <c r="AV402" s="449">
        <f t="shared" si="153"/>
        <v>0</v>
      </c>
      <c r="AW402" s="453">
        <f t="shared" si="154"/>
        <v>0</v>
      </c>
      <c r="AX402" s="451">
        <f t="shared" si="155"/>
        <v>0</v>
      </c>
      <c r="AY402" s="454">
        <f t="shared" si="156"/>
        <v>0</v>
      </c>
      <c r="AZ402" s="455">
        <f t="shared" si="157"/>
        <v>415.29666666666668</v>
      </c>
      <c r="BA402" s="451">
        <f t="shared" si="158"/>
        <v>411.58055555555558</v>
      </c>
    </row>
    <row r="403" spans="1:53">
      <c r="A403" s="578" t="s">
        <v>233</v>
      </c>
      <c r="B403" s="579" t="s">
        <v>376</v>
      </c>
      <c r="C403" s="580" t="s">
        <v>397</v>
      </c>
      <c r="D403" s="581">
        <v>248606</v>
      </c>
      <c r="E403" s="582">
        <v>13</v>
      </c>
      <c r="F403" s="491"/>
      <c r="G403" s="492"/>
      <c r="H403" s="456"/>
      <c r="I403" s="493"/>
      <c r="J403" s="456"/>
      <c r="K403" s="493"/>
      <c r="L403" s="456"/>
      <c r="M403" s="493"/>
      <c r="N403" s="456"/>
      <c r="O403" s="493"/>
      <c r="P403" s="449">
        <f t="shared" si="141"/>
        <v>0</v>
      </c>
      <c r="Q403" s="450">
        <f t="shared" si="142"/>
        <v>0</v>
      </c>
      <c r="R403" s="451">
        <f t="shared" si="143"/>
        <v>0</v>
      </c>
      <c r="S403" s="452">
        <f t="shared" si="144"/>
        <v>0</v>
      </c>
      <c r="T403" s="456"/>
      <c r="U403" s="493"/>
      <c r="V403" s="449">
        <f t="shared" si="145"/>
        <v>0</v>
      </c>
      <c r="W403" s="448">
        <f t="shared" si="146"/>
        <v>0</v>
      </c>
      <c r="X403" s="456"/>
      <c r="Y403" s="493"/>
      <c r="Z403" s="456"/>
      <c r="AA403" s="493"/>
      <c r="AB403" s="456"/>
      <c r="AC403" s="493"/>
      <c r="AD403" s="456">
        <v>853141.49</v>
      </c>
      <c r="AE403" s="493">
        <v>909019.3</v>
      </c>
      <c r="AF403" s="449">
        <f t="shared" si="147"/>
        <v>853141.49</v>
      </c>
      <c r="AG403" s="450">
        <f t="shared" si="148"/>
        <v>947.93498888888882</v>
      </c>
      <c r="AH403" s="451">
        <f t="shared" si="149"/>
        <v>909019.3</v>
      </c>
      <c r="AI403" s="451">
        <f t="shared" si="150"/>
        <v>1010.0214444444445</v>
      </c>
      <c r="AJ403" s="456"/>
      <c r="AK403" s="493"/>
      <c r="AL403" s="449">
        <f t="shared" si="151"/>
        <v>0</v>
      </c>
      <c r="AM403" s="452">
        <f t="shared" si="152"/>
        <v>0</v>
      </c>
      <c r="AN403" s="456"/>
      <c r="AO403" s="493"/>
      <c r="AP403" s="456"/>
      <c r="AQ403" s="493"/>
      <c r="AR403" s="456"/>
      <c r="AS403" s="493"/>
      <c r="AT403" s="456"/>
      <c r="AU403" s="493"/>
      <c r="AV403" s="449">
        <f t="shared" si="153"/>
        <v>0</v>
      </c>
      <c r="AW403" s="453">
        <f t="shared" si="154"/>
        <v>0</v>
      </c>
      <c r="AX403" s="451">
        <f t="shared" si="155"/>
        <v>0</v>
      </c>
      <c r="AY403" s="454">
        <f t="shared" si="156"/>
        <v>0</v>
      </c>
      <c r="AZ403" s="455">
        <f t="shared" si="157"/>
        <v>947.93498888888882</v>
      </c>
      <c r="BA403" s="451">
        <f t="shared" si="158"/>
        <v>1010.0214444444445</v>
      </c>
    </row>
    <row r="404" spans="1:53">
      <c r="A404" s="578" t="s">
        <v>233</v>
      </c>
      <c r="B404" s="583" t="s">
        <v>377</v>
      </c>
      <c r="C404" s="584"/>
      <c r="D404" s="581">
        <v>420459</v>
      </c>
      <c r="E404" s="582">
        <v>13</v>
      </c>
      <c r="F404" s="491"/>
      <c r="G404" s="492"/>
      <c r="H404" s="456"/>
      <c r="I404" s="493"/>
      <c r="J404" s="456"/>
      <c r="K404" s="493"/>
      <c r="L404" s="456"/>
      <c r="M404" s="493"/>
      <c r="N404" s="456"/>
      <c r="O404" s="493"/>
      <c r="P404" s="449">
        <f t="shared" si="141"/>
        <v>0</v>
      </c>
      <c r="Q404" s="450">
        <f t="shared" si="142"/>
        <v>0</v>
      </c>
      <c r="R404" s="451">
        <f t="shared" si="143"/>
        <v>0</v>
      </c>
      <c r="S404" s="452">
        <f t="shared" si="144"/>
        <v>0</v>
      </c>
      <c r="T404" s="456"/>
      <c r="U404" s="493"/>
      <c r="V404" s="449">
        <f t="shared" si="145"/>
        <v>0</v>
      </c>
      <c r="W404" s="448">
        <f t="shared" si="146"/>
        <v>0</v>
      </c>
      <c r="X404" s="456"/>
      <c r="Y404" s="493"/>
      <c r="Z404" s="456"/>
      <c r="AA404" s="493"/>
      <c r="AB404" s="456"/>
      <c r="AC404" s="493"/>
      <c r="AD404" s="456">
        <v>256838</v>
      </c>
      <c r="AE404" s="493">
        <v>262885</v>
      </c>
      <c r="AF404" s="449">
        <f t="shared" si="147"/>
        <v>256838</v>
      </c>
      <c r="AG404" s="450">
        <f t="shared" si="148"/>
        <v>285.37555555555554</v>
      </c>
      <c r="AH404" s="451">
        <f t="shared" si="149"/>
        <v>262885</v>
      </c>
      <c r="AI404" s="451">
        <f t="shared" si="150"/>
        <v>292.09444444444443</v>
      </c>
      <c r="AJ404" s="456"/>
      <c r="AK404" s="493"/>
      <c r="AL404" s="449">
        <f t="shared" si="151"/>
        <v>0</v>
      </c>
      <c r="AM404" s="452">
        <f t="shared" si="152"/>
        <v>0</v>
      </c>
      <c r="AN404" s="456"/>
      <c r="AO404" s="493"/>
      <c r="AP404" s="456"/>
      <c r="AQ404" s="493"/>
      <c r="AR404" s="456"/>
      <c r="AS404" s="493"/>
      <c r="AT404" s="456"/>
      <c r="AU404" s="493"/>
      <c r="AV404" s="449">
        <f t="shared" si="153"/>
        <v>0</v>
      </c>
      <c r="AW404" s="453">
        <f t="shared" si="154"/>
        <v>0</v>
      </c>
      <c r="AX404" s="451">
        <f t="shared" si="155"/>
        <v>0</v>
      </c>
      <c r="AY404" s="454">
        <f t="shared" si="156"/>
        <v>0</v>
      </c>
      <c r="AZ404" s="455">
        <f t="shared" si="157"/>
        <v>285.37555555555554</v>
      </c>
      <c r="BA404" s="451">
        <f t="shared" si="158"/>
        <v>292.09444444444443</v>
      </c>
    </row>
    <row r="405" spans="1:53">
      <c r="A405" s="578" t="s">
        <v>233</v>
      </c>
      <c r="B405" s="583" t="s">
        <v>378</v>
      </c>
      <c r="C405" s="588"/>
      <c r="D405" s="589">
        <v>456560</v>
      </c>
      <c r="E405" s="590">
        <v>13</v>
      </c>
      <c r="F405" s="491"/>
      <c r="G405" s="492"/>
      <c r="H405" s="456"/>
      <c r="I405" s="493"/>
      <c r="J405" s="456"/>
      <c r="K405" s="493"/>
      <c r="L405" s="456"/>
      <c r="M405" s="493"/>
      <c r="N405" s="456"/>
      <c r="O405" s="493"/>
      <c r="P405" s="449">
        <f t="shared" si="141"/>
        <v>0</v>
      </c>
      <c r="Q405" s="450">
        <f t="shared" si="142"/>
        <v>0</v>
      </c>
      <c r="R405" s="451">
        <f t="shared" si="143"/>
        <v>0</v>
      </c>
      <c r="S405" s="452">
        <f t="shared" si="144"/>
        <v>0</v>
      </c>
      <c r="T405" s="456"/>
      <c r="U405" s="493"/>
      <c r="V405" s="449">
        <f t="shared" si="145"/>
        <v>0</v>
      </c>
      <c r="W405" s="448">
        <f t="shared" si="146"/>
        <v>0</v>
      </c>
      <c r="X405" s="456"/>
      <c r="Y405" s="493"/>
      <c r="Z405" s="456"/>
      <c r="AA405" s="493"/>
      <c r="AB405" s="456"/>
      <c r="AC405" s="493"/>
      <c r="AD405" s="456">
        <v>137697.75</v>
      </c>
      <c r="AE405" s="493">
        <v>144973.75</v>
      </c>
      <c r="AF405" s="449">
        <f t="shared" si="147"/>
        <v>137697.75</v>
      </c>
      <c r="AG405" s="450">
        <f t="shared" si="148"/>
        <v>152.9975</v>
      </c>
      <c r="AH405" s="451">
        <f t="shared" si="149"/>
        <v>144973.75</v>
      </c>
      <c r="AI405" s="451">
        <f t="shared" si="150"/>
        <v>161.08194444444445</v>
      </c>
      <c r="AJ405" s="456"/>
      <c r="AK405" s="493"/>
      <c r="AL405" s="449">
        <f t="shared" si="151"/>
        <v>0</v>
      </c>
      <c r="AM405" s="452">
        <f t="shared" si="152"/>
        <v>0</v>
      </c>
      <c r="AN405" s="456"/>
      <c r="AO405" s="493"/>
      <c r="AP405" s="456"/>
      <c r="AQ405" s="493"/>
      <c r="AR405" s="456"/>
      <c r="AS405" s="493"/>
      <c r="AT405" s="456"/>
      <c r="AU405" s="493"/>
      <c r="AV405" s="449">
        <f t="shared" si="153"/>
        <v>0</v>
      </c>
      <c r="AW405" s="453">
        <f t="shared" si="154"/>
        <v>0</v>
      </c>
      <c r="AX405" s="451">
        <f t="shared" si="155"/>
        <v>0</v>
      </c>
      <c r="AY405" s="454">
        <f t="shared" si="156"/>
        <v>0</v>
      </c>
      <c r="AZ405" s="455">
        <f t="shared" si="157"/>
        <v>152.9975</v>
      </c>
      <c r="BA405" s="451">
        <f t="shared" si="158"/>
        <v>161.08194444444445</v>
      </c>
    </row>
    <row r="406" spans="1:53">
      <c r="A406" s="578" t="s">
        <v>233</v>
      </c>
      <c r="B406" s="583" t="s">
        <v>379</v>
      </c>
      <c r="C406" s="591"/>
      <c r="D406" s="592">
        <v>432074</v>
      </c>
      <c r="E406" s="582">
        <v>13</v>
      </c>
      <c r="F406" s="491"/>
      <c r="G406" s="492"/>
      <c r="H406" s="456"/>
      <c r="I406" s="493"/>
      <c r="J406" s="456"/>
      <c r="K406" s="493"/>
      <c r="L406" s="456"/>
      <c r="M406" s="493"/>
      <c r="N406" s="456"/>
      <c r="O406" s="493"/>
      <c r="P406" s="449">
        <f t="shared" si="141"/>
        <v>0</v>
      </c>
      <c r="Q406" s="450">
        <f t="shared" si="142"/>
        <v>0</v>
      </c>
      <c r="R406" s="451">
        <f t="shared" si="143"/>
        <v>0</v>
      </c>
      <c r="S406" s="452">
        <f t="shared" si="144"/>
        <v>0</v>
      </c>
      <c r="T406" s="456"/>
      <c r="U406" s="493"/>
      <c r="V406" s="449">
        <f t="shared" si="145"/>
        <v>0</v>
      </c>
      <c r="W406" s="448">
        <f t="shared" si="146"/>
        <v>0</v>
      </c>
      <c r="X406" s="456"/>
      <c r="Y406" s="493"/>
      <c r="Z406" s="456"/>
      <c r="AA406" s="493"/>
      <c r="AB406" s="456"/>
      <c r="AC406" s="493"/>
      <c r="AD406" s="456">
        <v>171379</v>
      </c>
      <c r="AE406" s="493">
        <v>158667</v>
      </c>
      <c r="AF406" s="449">
        <f t="shared" si="147"/>
        <v>171379</v>
      </c>
      <c r="AG406" s="450">
        <f t="shared" si="148"/>
        <v>190.42111111111112</v>
      </c>
      <c r="AH406" s="451">
        <f t="shared" si="149"/>
        <v>158667</v>
      </c>
      <c r="AI406" s="451">
        <f t="shared" si="150"/>
        <v>176.29666666666665</v>
      </c>
      <c r="AJ406" s="456"/>
      <c r="AK406" s="493"/>
      <c r="AL406" s="449">
        <f t="shared" si="151"/>
        <v>0</v>
      </c>
      <c r="AM406" s="452">
        <f t="shared" si="152"/>
        <v>0</v>
      </c>
      <c r="AN406" s="456"/>
      <c r="AO406" s="493"/>
      <c r="AP406" s="456"/>
      <c r="AQ406" s="493"/>
      <c r="AR406" s="456"/>
      <c r="AS406" s="493"/>
      <c r="AT406" s="456"/>
      <c r="AU406" s="493"/>
      <c r="AV406" s="449">
        <f t="shared" si="153"/>
        <v>0</v>
      </c>
      <c r="AW406" s="453">
        <f t="shared" si="154"/>
        <v>0</v>
      </c>
      <c r="AX406" s="451">
        <f t="shared" si="155"/>
        <v>0</v>
      </c>
      <c r="AY406" s="454">
        <f t="shared" si="156"/>
        <v>0</v>
      </c>
      <c r="AZ406" s="455">
        <f t="shared" si="157"/>
        <v>190.42111111111112</v>
      </c>
      <c r="BA406" s="451">
        <f t="shared" si="158"/>
        <v>176.29666666666665</v>
      </c>
    </row>
    <row r="407" spans="1:53">
      <c r="A407" s="578" t="s">
        <v>233</v>
      </c>
      <c r="B407" s="583" t="s">
        <v>380</v>
      </c>
      <c r="C407" s="591"/>
      <c r="D407" s="592">
        <v>418339</v>
      </c>
      <c r="E407" s="582">
        <v>13</v>
      </c>
      <c r="F407" s="491"/>
      <c r="G407" s="492"/>
      <c r="H407" s="456"/>
      <c r="I407" s="493"/>
      <c r="J407" s="456"/>
      <c r="K407" s="493"/>
      <c r="L407" s="456"/>
      <c r="M407" s="493"/>
      <c r="N407" s="456"/>
      <c r="O407" s="493"/>
      <c r="P407" s="449">
        <f t="shared" si="141"/>
        <v>0</v>
      </c>
      <c r="Q407" s="450">
        <f t="shared" si="142"/>
        <v>0</v>
      </c>
      <c r="R407" s="451">
        <f t="shared" si="143"/>
        <v>0</v>
      </c>
      <c r="S407" s="452">
        <f t="shared" si="144"/>
        <v>0</v>
      </c>
      <c r="T407" s="456"/>
      <c r="U407" s="493"/>
      <c r="V407" s="449">
        <f t="shared" si="145"/>
        <v>0</v>
      </c>
      <c r="W407" s="448">
        <f t="shared" si="146"/>
        <v>0</v>
      </c>
      <c r="X407" s="456"/>
      <c r="Y407" s="493"/>
      <c r="Z407" s="456"/>
      <c r="AA407" s="493"/>
      <c r="AB407" s="456"/>
      <c r="AC407" s="493"/>
      <c r="AD407" s="456">
        <v>259014</v>
      </c>
      <c r="AE407" s="493">
        <v>288306.5</v>
      </c>
      <c r="AF407" s="449">
        <f t="shared" si="147"/>
        <v>259014</v>
      </c>
      <c r="AG407" s="450">
        <f t="shared" si="148"/>
        <v>287.79333333333335</v>
      </c>
      <c r="AH407" s="451">
        <f t="shared" si="149"/>
        <v>288306.5</v>
      </c>
      <c r="AI407" s="451">
        <f t="shared" si="150"/>
        <v>320.34055555555557</v>
      </c>
      <c r="AJ407" s="456"/>
      <c r="AK407" s="493"/>
      <c r="AL407" s="449">
        <f t="shared" si="151"/>
        <v>0</v>
      </c>
      <c r="AM407" s="452">
        <f t="shared" si="152"/>
        <v>0</v>
      </c>
      <c r="AN407" s="456"/>
      <c r="AO407" s="493"/>
      <c r="AP407" s="456"/>
      <c r="AQ407" s="493"/>
      <c r="AR407" s="456"/>
      <c r="AS407" s="493"/>
      <c r="AT407" s="456"/>
      <c r="AU407" s="493"/>
      <c r="AV407" s="449">
        <f t="shared" si="153"/>
        <v>0</v>
      </c>
      <c r="AW407" s="453">
        <f t="shared" si="154"/>
        <v>0</v>
      </c>
      <c r="AX407" s="451">
        <f t="shared" si="155"/>
        <v>0</v>
      </c>
      <c r="AY407" s="454">
        <f t="shared" si="156"/>
        <v>0</v>
      </c>
      <c r="AZ407" s="455">
        <f t="shared" si="157"/>
        <v>287.79333333333335</v>
      </c>
      <c r="BA407" s="451">
        <f t="shared" si="158"/>
        <v>320.34055555555557</v>
      </c>
    </row>
    <row r="408" spans="1:53">
      <c r="A408" s="578" t="s">
        <v>233</v>
      </c>
      <c r="B408" s="583" t="s">
        <v>381</v>
      </c>
      <c r="C408" s="591"/>
      <c r="D408" s="592">
        <v>366623</v>
      </c>
      <c r="E408" s="582">
        <v>13</v>
      </c>
      <c r="F408" s="491"/>
      <c r="G408" s="492"/>
      <c r="H408" s="456"/>
      <c r="I408" s="493"/>
      <c r="J408" s="456"/>
      <c r="K408" s="493"/>
      <c r="L408" s="456"/>
      <c r="M408" s="493"/>
      <c r="N408" s="456"/>
      <c r="O408" s="493"/>
      <c r="P408" s="449">
        <f t="shared" si="141"/>
        <v>0</v>
      </c>
      <c r="Q408" s="450">
        <f t="shared" si="142"/>
        <v>0</v>
      </c>
      <c r="R408" s="451">
        <f t="shared" si="143"/>
        <v>0</v>
      </c>
      <c r="S408" s="452">
        <f t="shared" si="144"/>
        <v>0</v>
      </c>
      <c r="T408" s="456"/>
      <c r="U408" s="493"/>
      <c r="V408" s="449">
        <f t="shared" si="145"/>
        <v>0</v>
      </c>
      <c r="W408" s="448">
        <f t="shared" si="146"/>
        <v>0</v>
      </c>
      <c r="X408" s="456"/>
      <c r="Y408" s="493"/>
      <c r="Z408" s="456"/>
      <c r="AA408" s="493"/>
      <c r="AB408" s="456"/>
      <c r="AC408" s="493"/>
      <c r="AD408" s="456">
        <v>102790.5</v>
      </c>
      <c r="AE408" s="493">
        <v>129689.25</v>
      </c>
      <c r="AF408" s="449">
        <f t="shared" si="147"/>
        <v>102790.5</v>
      </c>
      <c r="AG408" s="450">
        <f t="shared" si="148"/>
        <v>114.21166666666667</v>
      </c>
      <c r="AH408" s="451">
        <f t="shared" si="149"/>
        <v>129689.25</v>
      </c>
      <c r="AI408" s="451">
        <f t="shared" si="150"/>
        <v>144.09916666666666</v>
      </c>
      <c r="AJ408" s="456"/>
      <c r="AK408" s="493"/>
      <c r="AL408" s="449">
        <f t="shared" si="151"/>
        <v>0</v>
      </c>
      <c r="AM408" s="452">
        <f t="shared" si="152"/>
        <v>0</v>
      </c>
      <c r="AN408" s="456"/>
      <c r="AO408" s="493"/>
      <c r="AP408" s="456"/>
      <c r="AQ408" s="493"/>
      <c r="AR408" s="456"/>
      <c r="AS408" s="493"/>
      <c r="AT408" s="456"/>
      <c r="AU408" s="493"/>
      <c r="AV408" s="449">
        <f t="shared" si="153"/>
        <v>0</v>
      </c>
      <c r="AW408" s="453">
        <f t="shared" si="154"/>
        <v>0</v>
      </c>
      <c r="AX408" s="451">
        <f t="shared" si="155"/>
        <v>0</v>
      </c>
      <c r="AY408" s="454">
        <f t="shared" si="156"/>
        <v>0</v>
      </c>
      <c r="AZ408" s="455">
        <f t="shared" si="157"/>
        <v>114.21166666666667</v>
      </c>
      <c r="BA408" s="451">
        <f t="shared" si="158"/>
        <v>144.09916666666666</v>
      </c>
    </row>
    <row r="409" spans="1:53">
      <c r="A409" s="578" t="s">
        <v>233</v>
      </c>
      <c r="B409" s="583" t="s">
        <v>382</v>
      </c>
      <c r="C409" s="591"/>
      <c r="D409" s="592">
        <v>407601</v>
      </c>
      <c r="E409" s="582">
        <v>13</v>
      </c>
      <c r="F409" s="491"/>
      <c r="G409" s="492"/>
      <c r="H409" s="456"/>
      <c r="I409" s="493"/>
      <c r="J409" s="456"/>
      <c r="K409" s="493"/>
      <c r="L409" s="456"/>
      <c r="M409" s="493"/>
      <c r="N409" s="456"/>
      <c r="O409" s="493"/>
      <c r="P409" s="449">
        <f t="shared" si="141"/>
        <v>0</v>
      </c>
      <c r="Q409" s="450">
        <f t="shared" si="142"/>
        <v>0</v>
      </c>
      <c r="R409" s="451">
        <f t="shared" si="143"/>
        <v>0</v>
      </c>
      <c r="S409" s="452">
        <f t="shared" si="144"/>
        <v>0</v>
      </c>
      <c r="T409" s="456"/>
      <c r="U409" s="493"/>
      <c r="V409" s="449">
        <f t="shared" si="145"/>
        <v>0</v>
      </c>
      <c r="W409" s="448">
        <f t="shared" si="146"/>
        <v>0</v>
      </c>
      <c r="X409" s="456"/>
      <c r="Y409" s="493"/>
      <c r="Z409" s="456"/>
      <c r="AA409" s="493"/>
      <c r="AB409" s="456"/>
      <c r="AC409" s="493"/>
      <c r="AD409" s="456">
        <v>78207</v>
      </c>
      <c r="AE409" s="493">
        <v>78132.5</v>
      </c>
      <c r="AF409" s="449">
        <f t="shared" si="147"/>
        <v>78207</v>
      </c>
      <c r="AG409" s="450">
        <f t="shared" si="148"/>
        <v>86.896666666666661</v>
      </c>
      <c r="AH409" s="451">
        <f t="shared" si="149"/>
        <v>78132.5</v>
      </c>
      <c r="AI409" s="451">
        <f t="shared" si="150"/>
        <v>86.813888888888883</v>
      </c>
      <c r="AJ409" s="456"/>
      <c r="AK409" s="493"/>
      <c r="AL409" s="449">
        <f t="shared" si="151"/>
        <v>0</v>
      </c>
      <c r="AM409" s="452">
        <f t="shared" si="152"/>
        <v>0</v>
      </c>
      <c r="AN409" s="456"/>
      <c r="AO409" s="493"/>
      <c r="AP409" s="456"/>
      <c r="AQ409" s="493"/>
      <c r="AR409" s="456"/>
      <c r="AS409" s="493"/>
      <c r="AT409" s="456"/>
      <c r="AU409" s="493"/>
      <c r="AV409" s="449">
        <f t="shared" si="153"/>
        <v>0</v>
      </c>
      <c r="AW409" s="453">
        <f t="shared" si="154"/>
        <v>0</v>
      </c>
      <c r="AX409" s="451">
        <f t="shared" si="155"/>
        <v>0</v>
      </c>
      <c r="AY409" s="454">
        <f t="shared" si="156"/>
        <v>0</v>
      </c>
      <c r="AZ409" s="455">
        <f t="shared" si="157"/>
        <v>86.896666666666661</v>
      </c>
      <c r="BA409" s="451">
        <f t="shared" si="158"/>
        <v>86.813888888888883</v>
      </c>
    </row>
    <row r="410" spans="1:53">
      <c r="A410" s="578" t="s">
        <v>233</v>
      </c>
      <c r="B410" s="583" t="s">
        <v>383</v>
      </c>
      <c r="C410" s="591"/>
      <c r="D410" s="592">
        <v>364627</v>
      </c>
      <c r="E410" s="582">
        <v>13</v>
      </c>
      <c r="F410" s="491"/>
      <c r="G410" s="492"/>
      <c r="H410" s="456"/>
      <c r="I410" s="493"/>
      <c r="J410" s="456"/>
      <c r="K410" s="493"/>
      <c r="L410" s="456"/>
      <c r="M410" s="493"/>
      <c r="N410" s="456"/>
      <c r="O410" s="493"/>
      <c r="P410" s="449">
        <f t="shared" si="141"/>
        <v>0</v>
      </c>
      <c r="Q410" s="450">
        <f t="shared" si="142"/>
        <v>0</v>
      </c>
      <c r="R410" s="451">
        <f t="shared" si="143"/>
        <v>0</v>
      </c>
      <c r="S410" s="452">
        <f t="shared" si="144"/>
        <v>0</v>
      </c>
      <c r="T410" s="456"/>
      <c r="U410" s="493"/>
      <c r="V410" s="449">
        <f t="shared" si="145"/>
        <v>0</v>
      </c>
      <c r="W410" s="448">
        <f t="shared" si="146"/>
        <v>0</v>
      </c>
      <c r="X410" s="456"/>
      <c r="Y410" s="493"/>
      <c r="Z410" s="456"/>
      <c r="AA410" s="493"/>
      <c r="AB410" s="456"/>
      <c r="AC410" s="493"/>
      <c r="AD410" s="456">
        <v>305325</v>
      </c>
      <c r="AE410" s="493">
        <v>320423.09999999998</v>
      </c>
      <c r="AF410" s="449">
        <f t="shared" si="147"/>
        <v>305325</v>
      </c>
      <c r="AG410" s="450">
        <f t="shared" si="148"/>
        <v>339.25</v>
      </c>
      <c r="AH410" s="451">
        <f t="shared" si="149"/>
        <v>320423.09999999998</v>
      </c>
      <c r="AI410" s="451">
        <f t="shared" si="150"/>
        <v>356.02566666666667</v>
      </c>
      <c r="AJ410" s="456"/>
      <c r="AK410" s="493"/>
      <c r="AL410" s="449">
        <f t="shared" si="151"/>
        <v>0</v>
      </c>
      <c r="AM410" s="452">
        <f t="shared" si="152"/>
        <v>0</v>
      </c>
      <c r="AN410" s="456"/>
      <c r="AO410" s="493"/>
      <c r="AP410" s="456"/>
      <c r="AQ410" s="493"/>
      <c r="AR410" s="456"/>
      <c r="AS410" s="493"/>
      <c r="AT410" s="456"/>
      <c r="AU410" s="493"/>
      <c r="AV410" s="449">
        <f t="shared" si="153"/>
        <v>0</v>
      </c>
      <c r="AW410" s="453">
        <f t="shared" si="154"/>
        <v>0</v>
      </c>
      <c r="AX410" s="451">
        <f t="shared" si="155"/>
        <v>0</v>
      </c>
      <c r="AY410" s="454">
        <f t="shared" si="156"/>
        <v>0</v>
      </c>
      <c r="AZ410" s="455">
        <f t="shared" si="157"/>
        <v>339.25</v>
      </c>
      <c r="BA410" s="451">
        <f t="shared" si="158"/>
        <v>356.02566666666667</v>
      </c>
    </row>
    <row r="411" spans="1:53">
      <c r="A411" s="578" t="s">
        <v>233</v>
      </c>
      <c r="B411" s="583" t="s">
        <v>384</v>
      </c>
      <c r="C411" s="591"/>
      <c r="D411" s="592">
        <v>206905</v>
      </c>
      <c r="E411" s="582">
        <v>13</v>
      </c>
      <c r="F411" s="491"/>
      <c r="G411" s="492"/>
      <c r="H411" s="456"/>
      <c r="I411" s="493"/>
      <c r="J411" s="456"/>
      <c r="K411" s="493"/>
      <c r="L411" s="456"/>
      <c r="M411" s="493"/>
      <c r="N411" s="456"/>
      <c r="O411" s="493"/>
      <c r="P411" s="449">
        <f t="shared" si="141"/>
        <v>0</v>
      </c>
      <c r="Q411" s="450">
        <f t="shared" si="142"/>
        <v>0</v>
      </c>
      <c r="R411" s="451">
        <f t="shared" si="143"/>
        <v>0</v>
      </c>
      <c r="S411" s="452">
        <f t="shared" si="144"/>
        <v>0</v>
      </c>
      <c r="T411" s="456"/>
      <c r="U411" s="493"/>
      <c r="V411" s="449">
        <f t="shared" si="145"/>
        <v>0</v>
      </c>
      <c r="W411" s="448">
        <f t="shared" si="146"/>
        <v>0</v>
      </c>
      <c r="X411" s="456"/>
      <c r="Y411" s="493"/>
      <c r="Z411" s="456"/>
      <c r="AA411" s="493"/>
      <c r="AB411" s="456"/>
      <c r="AC411" s="493"/>
      <c r="AD411" s="456">
        <v>189665.75</v>
      </c>
      <c r="AE411" s="493">
        <v>167886</v>
      </c>
      <c r="AF411" s="449">
        <f t="shared" si="147"/>
        <v>189665.75</v>
      </c>
      <c r="AG411" s="450">
        <f t="shared" si="148"/>
        <v>210.73972222222221</v>
      </c>
      <c r="AH411" s="451">
        <f t="shared" si="149"/>
        <v>167886</v>
      </c>
      <c r="AI411" s="451">
        <f t="shared" si="150"/>
        <v>186.54</v>
      </c>
      <c r="AJ411" s="456"/>
      <c r="AK411" s="493"/>
      <c r="AL411" s="449">
        <f t="shared" si="151"/>
        <v>0</v>
      </c>
      <c r="AM411" s="452">
        <f t="shared" si="152"/>
        <v>0</v>
      </c>
      <c r="AN411" s="456"/>
      <c r="AO411" s="493"/>
      <c r="AP411" s="456"/>
      <c r="AQ411" s="493"/>
      <c r="AR411" s="456"/>
      <c r="AS411" s="493"/>
      <c r="AT411" s="456"/>
      <c r="AU411" s="493"/>
      <c r="AV411" s="449">
        <f t="shared" si="153"/>
        <v>0</v>
      </c>
      <c r="AW411" s="453">
        <f t="shared" si="154"/>
        <v>0</v>
      </c>
      <c r="AX411" s="451">
        <f t="shared" si="155"/>
        <v>0</v>
      </c>
      <c r="AY411" s="454">
        <f t="shared" si="156"/>
        <v>0</v>
      </c>
      <c r="AZ411" s="455">
        <f t="shared" si="157"/>
        <v>210.73972222222221</v>
      </c>
      <c r="BA411" s="451">
        <f t="shared" si="158"/>
        <v>186.54</v>
      </c>
    </row>
    <row r="412" spans="1:53">
      <c r="A412" s="578" t="s">
        <v>233</v>
      </c>
      <c r="B412" s="583" t="s">
        <v>385</v>
      </c>
      <c r="C412" s="591"/>
      <c r="D412" s="592">
        <v>250993</v>
      </c>
      <c r="E412" s="582">
        <v>13</v>
      </c>
      <c r="F412" s="491"/>
      <c r="G412" s="492"/>
      <c r="H412" s="456"/>
      <c r="I412" s="493"/>
      <c r="J412" s="456"/>
      <c r="K412" s="493"/>
      <c r="L412" s="456"/>
      <c r="M412" s="493"/>
      <c r="N412" s="456"/>
      <c r="O412" s="493"/>
      <c r="P412" s="449">
        <f t="shared" si="141"/>
        <v>0</v>
      </c>
      <c r="Q412" s="450">
        <f t="shared" si="142"/>
        <v>0</v>
      </c>
      <c r="R412" s="451">
        <f t="shared" si="143"/>
        <v>0</v>
      </c>
      <c r="S412" s="452">
        <f t="shared" si="144"/>
        <v>0</v>
      </c>
      <c r="T412" s="456"/>
      <c r="U412" s="493"/>
      <c r="V412" s="449">
        <f t="shared" si="145"/>
        <v>0</v>
      </c>
      <c r="W412" s="448">
        <f t="shared" si="146"/>
        <v>0</v>
      </c>
      <c r="X412" s="456"/>
      <c r="Y412" s="493"/>
      <c r="Z412" s="456"/>
      <c r="AA412" s="493"/>
      <c r="AB412" s="456"/>
      <c r="AC412" s="493"/>
      <c r="AD412" s="456">
        <v>310533.03999999998</v>
      </c>
      <c r="AE412" s="493">
        <v>291348.40000000002</v>
      </c>
      <c r="AF412" s="449">
        <f t="shared" si="147"/>
        <v>310533.03999999998</v>
      </c>
      <c r="AG412" s="450">
        <f t="shared" si="148"/>
        <v>345.03671111111106</v>
      </c>
      <c r="AH412" s="451">
        <f t="shared" si="149"/>
        <v>291348.40000000002</v>
      </c>
      <c r="AI412" s="451">
        <f t="shared" si="150"/>
        <v>323.72044444444447</v>
      </c>
      <c r="AJ412" s="456"/>
      <c r="AK412" s="493"/>
      <c r="AL412" s="449">
        <f t="shared" si="151"/>
        <v>0</v>
      </c>
      <c r="AM412" s="452">
        <f t="shared" si="152"/>
        <v>0</v>
      </c>
      <c r="AN412" s="456"/>
      <c r="AO412" s="493"/>
      <c r="AP412" s="456"/>
      <c r="AQ412" s="493"/>
      <c r="AR412" s="456"/>
      <c r="AS412" s="493"/>
      <c r="AT412" s="456"/>
      <c r="AU412" s="493"/>
      <c r="AV412" s="449">
        <f t="shared" si="153"/>
        <v>0</v>
      </c>
      <c r="AW412" s="453">
        <f t="shared" si="154"/>
        <v>0</v>
      </c>
      <c r="AX412" s="451">
        <f t="shared" si="155"/>
        <v>0</v>
      </c>
      <c r="AY412" s="454">
        <f t="shared" si="156"/>
        <v>0</v>
      </c>
      <c r="AZ412" s="455">
        <f t="shared" si="157"/>
        <v>345.03671111111106</v>
      </c>
      <c r="BA412" s="451">
        <f t="shared" si="158"/>
        <v>323.72044444444447</v>
      </c>
    </row>
    <row r="413" spans="1:53">
      <c r="A413" s="578" t="s">
        <v>233</v>
      </c>
      <c r="B413" s="583" t="s">
        <v>386</v>
      </c>
      <c r="C413" s="591"/>
      <c r="D413" s="592">
        <v>365198</v>
      </c>
      <c r="E413" s="582">
        <v>13</v>
      </c>
      <c r="F413" s="491"/>
      <c r="G413" s="492"/>
      <c r="H413" s="456"/>
      <c r="I413" s="493"/>
      <c r="J413" s="456"/>
      <c r="K413" s="493"/>
      <c r="L413" s="456"/>
      <c r="M413" s="493"/>
      <c r="N413" s="456"/>
      <c r="O413" s="493"/>
      <c r="P413" s="449">
        <f t="shared" si="141"/>
        <v>0</v>
      </c>
      <c r="Q413" s="450">
        <f t="shared" si="142"/>
        <v>0</v>
      </c>
      <c r="R413" s="451">
        <f t="shared" si="143"/>
        <v>0</v>
      </c>
      <c r="S413" s="452">
        <f t="shared" si="144"/>
        <v>0</v>
      </c>
      <c r="T413" s="456"/>
      <c r="U413" s="493"/>
      <c r="V413" s="449">
        <f t="shared" si="145"/>
        <v>0</v>
      </c>
      <c r="W413" s="448">
        <f t="shared" si="146"/>
        <v>0</v>
      </c>
      <c r="X413" s="456"/>
      <c r="Y413" s="493"/>
      <c r="Z413" s="456"/>
      <c r="AA413" s="493"/>
      <c r="AB413" s="456"/>
      <c r="AC413" s="493"/>
      <c r="AD413" s="456">
        <v>409493.15</v>
      </c>
      <c r="AE413" s="493">
        <v>428926.95</v>
      </c>
      <c r="AF413" s="449">
        <f t="shared" si="147"/>
        <v>409493.15</v>
      </c>
      <c r="AG413" s="450">
        <f t="shared" si="148"/>
        <v>454.99238888888891</v>
      </c>
      <c r="AH413" s="451">
        <f t="shared" si="149"/>
        <v>428926.95</v>
      </c>
      <c r="AI413" s="451">
        <f t="shared" si="150"/>
        <v>476.58550000000002</v>
      </c>
      <c r="AJ413" s="456"/>
      <c r="AK413" s="493"/>
      <c r="AL413" s="449">
        <f t="shared" si="151"/>
        <v>0</v>
      </c>
      <c r="AM413" s="452">
        <f t="shared" si="152"/>
        <v>0</v>
      </c>
      <c r="AN413" s="456"/>
      <c r="AO413" s="493"/>
      <c r="AP413" s="456"/>
      <c r="AQ413" s="493"/>
      <c r="AR413" s="456"/>
      <c r="AS413" s="493"/>
      <c r="AT413" s="456"/>
      <c r="AU413" s="493"/>
      <c r="AV413" s="449">
        <f t="shared" si="153"/>
        <v>0</v>
      </c>
      <c r="AW413" s="453">
        <f t="shared" si="154"/>
        <v>0</v>
      </c>
      <c r="AX413" s="451">
        <f t="shared" si="155"/>
        <v>0</v>
      </c>
      <c r="AY413" s="454">
        <f t="shared" si="156"/>
        <v>0</v>
      </c>
      <c r="AZ413" s="455">
        <f t="shared" si="157"/>
        <v>454.99238888888891</v>
      </c>
      <c r="BA413" s="451">
        <f t="shared" si="158"/>
        <v>476.58550000000002</v>
      </c>
    </row>
    <row r="414" spans="1:53">
      <c r="A414" s="578" t="s">
        <v>233</v>
      </c>
      <c r="B414" s="583" t="s">
        <v>387</v>
      </c>
      <c r="C414" s="591"/>
      <c r="D414" s="592">
        <v>368364</v>
      </c>
      <c r="E414" s="582">
        <v>13</v>
      </c>
      <c r="F414" s="491"/>
      <c r="G414" s="492"/>
      <c r="H414" s="456"/>
      <c r="I414" s="493"/>
      <c r="J414" s="456"/>
      <c r="K414" s="493"/>
      <c r="L414" s="456"/>
      <c r="M414" s="493"/>
      <c r="N414" s="456"/>
      <c r="O414" s="493"/>
      <c r="P414" s="449">
        <f t="shared" si="141"/>
        <v>0</v>
      </c>
      <c r="Q414" s="450">
        <f t="shared" si="142"/>
        <v>0</v>
      </c>
      <c r="R414" s="451">
        <f t="shared" si="143"/>
        <v>0</v>
      </c>
      <c r="S414" s="452">
        <f t="shared" si="144"/>
        <v>0</v>
      </c>
      <c r="T414" s="456"/>
      <c r="U414" s="493"/>
      <c r="V414" s="449">
        <f t="shared" si="145"/>
        <v>0</v>
      </c>
      <c r="W414" s="448">
        <f t="shared" si="146"/>
        <v>0</v>
      </c>
      <c r="X414" s="456"/>
      <c r="Y414" s="493"/>
      <c r="Z414" s="456"/>
      <c r="AA414" s="493"/>
      <c r="AB414" s="456"/>
      <c r="AC414" s="493"/>
      <c r="AD414" s="456">
        <v>211122</v>
      </c>
      <c r="AE414" s="493">
        <v>216640.45</v>
      </c>
      <c r="AF414" s="449">
        <f t="shared" si="147"/>
        <v>211122</v>
      </c>
      <c r="AG414" s="450">
        <f t="shared" si="148"/>
        <v>234.58</v>
      </c>
      <c r="AH414" s="451">
        <f t="shared" si="149"/>
        <v>216640.45</v>
      </c>
      <c r="AI414" s="451">
        <f t="shared" si="150"/>
        <v>240.71161111111113</v>
      </c>
      <c r="AJ414" s="456"/>
      <c r="AK414" s="493"/>
      <c r="AL414" s="449">
        <f t="shared" si="151"/>
        <v>0</v>
      </c>
      <c r="AM414" s="452">
        <f t="shared" si="152"/>
        <v>0</v>
      </c>
      <c r="AN414" s="456"/>
      <c r="AO414" s="493"/>
      <c r="AP414" s="456"/>
      <c r="AQ414" s="493"/>
      <c r="AR414" s="456"/>
      <c r="AS414" s="493"/>
      <c r="AT414" s="456"/>
      <c r="AU414" s="493"/>
      <c r="AV414" s="449">
        <f t="shared" si="153"/>
        <v>0</v>
      </c>
      <c r="AW414" s="453">
        <f t="shared" si="154"/>
        <v>0</v>
      </c>
      <c r="AX414" s="451">
        <f t="shared" si="155"/>
        <v>0</v>
      </c>
      <c r="AY414" s="454">
        <f t="shared" si="156"/>
        <v>0</v>
      </c>
      <c r="AZ414" s="455">
        <f t="shared" si="157"/>
        <v>234.58</v>
      </c>
      <c r="BA414" s="451">
        <f t="shared" si="158"/>
        <v>240.71161111111113</v>
      </c>
    </row>
    <row r="415" spans="1:53">
      <c r="A415" s="578" t="s">
        <v>233</v>
      </c>
      <c r="B415" s="583" t="s">
        <v>388</v>
      </c>
      <c r="C415" s="591"/>
      <c r="D415" s="592">
        <v>418287</v>
      </c>
      <c r="E415" s="582">
        <v>13</v>
      </c>
      <c r="F415" s="491"/>
      <c r="G415" s="492"/>
      <c r="H415" s="456"/>
      <c r="I415" s="493"/>
      <c r="J415" s="456"/>
      <c r="K415" s="493"/>
      <c r="L415" s="456"/>
      <c r="M415" s="493"/>
      <c r="N415" s="456"/>
      <c r="O415" s="493"/>
      <c r="P415" s="449">
        <f t="shared" si="141"/>
        <v>0</v>
      </c>
      <c r="Q415" s="450">
        <f t="shared" si="142"/>
        <v>0</v>
      </c>
      <c r="R415" s="451">
        <f t="shared" si="143"/>
        <v>0</v>
      </c>
      <c r="S415" s="452">
        <f t="shared" si="144"/>
        <v>0</v>
      </c>
      <c r="T415" s="456"/>
      <c r="U415" s="493"/>
      <c r="V415" s="449">
        <f t="shared" si="145"/>
        <v>0</v>
      </c>
      <c r="W415" s="448">
        <f t="shared" si="146"/>
        <v>0</v>
      </c>
      <c r="X415" s="456"/>
      <c r="Y415" s="493"/>
      <c r="Z415" s="456"/>
      <c r="AA415" s="493"/>
      <c r="AB415" s="456"/>
      <c r="AC415" s="493"/>
      <c r="AD415" s="456">
        <v>366819.65</v>
      </c>
      <c r="AE415" s="493">
        <v>353226.5</v>
      </c>
      <c r="AF415" s="449">
        <f t="shared" si="147"/>
        <v>366819.65</v>
      </c>
      <c r="AG415" s="450">
        <f t="shared" si="148"/>
        <v>407.57738888888889</v>
      </c>
      <c r="AH415" s="451">
        <f t="shared" si="149"/>
        <v>353226.5</v>
      </c>
      <c r="AI415" s="451">
        <f t="shared" si="150"/>
        <v>392.47388888888889</v>
      </c>
      <c r="AJ415" s="456"/>
      <c r="AK415" s="493"/>
      <c r="AL415" s="449">
        <f t="shared" si="151"/>
        <v>0</v>
      </c>
      <c r="AM415" s="452">
        <f t="shared" si="152"/>
        <v>0</v>
      </c>
      <c r="AN415" s="456"/>
      <c r="AO415" s="493"/>
      <c r="AP415" s="456"/>
      <c r="AQ415" s="493"/>
      <c r="AR415" s="456"/>
      <c r="AS415" s="493"/>
      <c r="AT415" s="456"/>
      <c r="AU415" s="493"/>
      <c r="AV415" s="449">
        <f t="shared" si="153"/>
        <v>0</v>
      </c>
      <c r="AW415" s="453">
        <f t="shared" si="154"/>
        <v>0</v>
      </c>
      <c r="AX415" s="451">
        <f t="shared" si="155"/>
        <v>0</v>
      </c>
      <c r="AY415" s="454">
        <f t="shared" si="156"/>
        <v>0</v>
      </c>
      <c r="AZ415" s="455">
        <f t="shared" si="157"/>
        <v>407.57738888888889</v>
      </c>
      <c r="BA415" s="451">
        <f t="shared" si="158"/>
        <v>392.47388888888889</v>
      </c>
    </row>
    <row r="416" spans="1:53">
      <c r="A416" s="578" t="s">
        <v>233</v>
      </c>
      <c r="B416" s="583" t="s">
        <v>389</v>
      </c>
      <c r="C416" s="591"/>
      <c r="D416" s="592">
        <v>207607</v>
      </c>
      <c r="E416" s="582">
        <v>13</v>
      </c>
      <c r="F416" s="491"/>
      <c r="G416" s="492"/>
      <c r="H416" s="456"/>
      <c r="I416" s="493"/>
      <c r="J416" s="456"/>
      <c r="K416" s="493"/>
      <c r="L416" s="456"/>
      <c r="M416" s="493"/>
      <c r="N416" s="456"/>
      <c r="O416" s="493"/>
      <c r="P416" s="449">
        <f t="shared" si="141"/>
        <v>0</v>
      </c>
      <c r="Q416" s="450">
        <f t="shared" si="142"/>
        <v>0</v>
      </c>
      <c r="R416" s="451">
        <f t="shared" si="143"/>
        <v>0</v>
      </c>
      <c r="S416" s="452">
        <f t="shared" si="144"/>
        <v>0</v>
      </c>
      <c r="T416" s="456"/>
      <c r="U416" s="493"/>
      <c r="V416" s="449">
        <f t="shared" si="145"/>
        <v>0</v>
      </c>
      <c r="W416" s="448">
        <f t="shared" si="146"/>
        <v>0</v>
      </c>
      <c r="X416" s="456"/>
      <c r="Y416" s="493"/>
      <c r="Z416" s="456"/>
      <c r="AA416" s="493"/>
      <c r="AB416" s="456"/>
      <c r="AC416" s="493"/>
      <c r="AD416" s="456">
        <v>328585.5</v>
      </c>
      <c r="AE416" s="493">
        <v>391456</v>
      </c>
      <c r="AF416" s="449">
        <f t="shared" si="147"/>
        <v>328585.5</v>
      </c>
      <c r="AG416" s="450">
        <f t="shared" si="148"/>
        <v>365.09500000000003</v>
      </c>
      <c r="AH416" s="451">
        <f t="shared" si="149"/>
        <v>391456</v>
      </c>
      <c r="AI416" s="451">
        <f t="shared" si="150"/>
        <v>434.95111111111112</v>
      </c>
      <c r="AJ416" s="456"/>
      <c r="AK416" s="493"/>
      <c r="AL416" s="449">
        <f t="shared" si="151"/>
        <v>0</v>
      </c>
      <c r="AM416" s="452">
        <f t="shared" si="152"/>
        <v>0</v>
      </c>
      <c r="AN416" s="456"/>
      <c r="AO416" s="493"/>
      <c r="AP416" s="456"/>
      <c r="AQ416" s="493"/>
      <c r="AR416" s="456"/>
      <c r="AS416" s="493"/>
      <c r="AT416" s="456"/>
      <c r="AU416" s="493"/>
      <c r="AV416" s="449">
        <f t="shared" si="153"/>
        <v>0</v>
      </c>
      <c r="AW416" s="453">
        <f t="shared" si="154"/>
        <v>0</v>
      </c>
      <c r="AX416" s="451">
        <f t="shared" si="155"/>
        <v>0</v>
      </c>
      <c r="AY416" s="454">
        <f t="shared" si="156"/>
        <v>0</v>
      </c>
      <c r="AZ416" s="455">
        <f t="shared" si="157"/>
        <v>365.09500000000003</v>
      </c>
      <c r="BA416" s="451">
        <f t="shared" si="158"/>
        <v>434.95111111111112</v>
      </c>
    </row>
    <row r="417" spans="1:53">
      <c r="A417" s="578" t="s">
        <v>233</v>
      </c>
      <c r="B417" s="583" t="s">
        <v>390</v>
      </c>
      <c r="C417" s="580"/>
      <c r="D417" s="592">
        <v>261393</v>
      </c>
      <c r="E417" s="586">
        <v>13</v>
      </c>
      <c r="F417" s="491"/>
      <c r="G417" s="492"/>
      <c r="H417" s="456"/>
      <c r="I417" s="493"/>
      <c r="J417" s="456"/>
      <c r="K417" s="493"/>
      <c r="L417" s="456"/>
      <c r="M417" s="493"/>
      <c r="N417" s="456"/>
      <c r="O417" s="493"/>
      <c r="P417" s="449">
        <f t="shared" si="141"/>
        <v>0</v>
      </c>
      <c r="Q417" s="450">
        <f t="shared" si="142"/>
        <v>0</v>
      </c>
      <c r="R417" s="451">
        <f t="shared" si="143"/>
        <v>0</v>
      </c>
      <c r="S417" s="452">
        <f t="shared" si="144"/>
        <v>0</v>
      </c>
      <c r="T417" s="456"/>
      <c r="U417" s="493"/>
      <c r="V417" s="449">
        <f t="shared" si="145"/>
        <v>0</v>
      </c>
      <c r="W417" s="448">
        <f t="shared" si="146"/>
        <v>0</v>
      </c>
      <c r="X417" s="456"/>
      <c r="Y417" s="493"/>
      <c r="Z417" s="456"/>
      <c r="AA417" s="493"/>
      <c r="AB417" s="456"/>
      <c r="AC417" s="493"/>
      <c r="AD417" s="456">
        <v>818329.08</v>
      </c>
      <c r="AE417" s="493">
        <v>682564.63</v>
      </c>
      <c r="AF417" s="449">
        <f t="shared" si="147"/>
        <v>818329.08</v>
      </c>
      <c r="AG417" s="450">
        <f t="shared" si="148"/>
        <v>909.25453333333326</v>
      </c>
      <c r="AH417" s="451">
        <f t="shared" si="149"/>
        <v>682564.63</v>
      </c>
      <c r="AI417" s="451">
        <f t="shared" si="150"/>
        <v>758.40514444444443</v>
      </c>
      <c r="AJ417" s="456"/>
      <c r="AK417" s="493"/>
      <c r="AL417" s="449">
        <f t="shared" si="151"/>
        <v>0</v>
      </c>
      <c r="AM417" s="452">
        <f t="shared" si="152"/>
        <v>0</v>
      </c>
      <c r="AN417" s="456"/>
      <c r="AO417" s="493"/>
      <c r="AP417" s="456"/>
      <c r="AQ417" s="493"/>
      <c r="AR417" s="456"/>
      <c r="AS417" s="493"/>
      <c r="AT417" s="456"/>
      <c r="AU417" s="493"/>
      <c r="AV417" s="449">
        <f t="shared" si="153"/>
        <v>0</v>
      </c>
      <c r="AW417" s="453">
        <f t="shared" si="154"/>
        <v>0</v>
      </c>
      <c r="AX417" s="451">
        <f t="shared" si="155"/>
        <v>0</v>
      </c>
      <c r="AY417" s="454">
        <f t="shared" si="156"/>
        <v>0</v>
      </c>
      <c r="AZ417" s="455">
        <f t="shared" si="157"/>
        <v>909.25453333333326</v>
      </c>
      <c r="BA417" s="451">
        <f t="shared" si="158"/>
        <v>758.40514444444443</v>
      </c>
    </row>
    <row r="418" spans="1:53">
      <c r="A418" s="578" t="s">
        <v>233</v>
      </c>
      <c r="B418" s="583" t="s">
        <v>391</v>
      </c>
      <c r="C418" s="585" t="s">
        <v>398</v>
      </c>
      <c r="D418" s="592">
        <v>261375</v>
      </c>
      <c r="E418" s="593">
        <v>12</v>
      </c>
      <c r="F418" s="491"/>
      <c r="G418" s="492"/>
      <c r="H418" s="456"/>
      <c r="I418" s="493"/>
      <c r="J418" s="456"/>
      <c r="K418" s="493"/>
      <c r="L418" s="456"/>
      <c r="M418" s="493"/>
      <c r="N418" s="456"/>
      <c r="O418" s="493"/>
      <c r="P418" s="449">
        <f t="shared" si="141"/>
        <v>0</v>
      </c>
      <c r="Q418" s="450">
        <f t="shared" si="142"/>
        <v>0</v>
      </c>
      <c r="R418" s="451">
        <f t="shared" si="143"/>
        <v>0</v>
      </c>
      <c r="S418" s="452">
        <f t="shared" si="144"/>
        <v>0</v>
      </c>
      <c r="T418" s="456"/>
      <c r="U418" s="493"/>
      <c r="V418" s="449">
        <f t="shared" si="145"/>
        <v>0</v>
      </c>
      <c r="W418" s="448">
        <f t="shared" si="146"/>
        <v>0</v>
      </c>
      <c r="X418" s="456"/>
      <c r="Y418" s="493"/>
      <c r="Z418" s="456"/>
      <c r="AA418" s="493"/>
      <c r="AB418" s="456"/>
      <c r="AC418" s="493"/>
      <c r="AD418" s="456">
        <v>910498.9</v>
      </c>
      <c r="AE418" s="493">
        <v>903772.5</v>
      </c>
      <c r="AF418" s="449">
        <f t="shared" si="147"/>
        <v>910498.9</v>
      </c>
      <c r="AG418" s="450">
        <f t="shared" si="148"/>
        <v>1011.6654444444445</v>
      </c>
      <c r="AH418" s="451">
        <f t="shared" si="149"/>
        <v>903772.5</v>
      </c>
      <c r="AI418" s="451">
        <f t="shared" si="150"/>
        <v>1004.1916666666667</v>
      </c>
      <c r="AJ418" s="456"/>
      <c r="AK418" s="493"/>
      <c r="AL418" s="449">
        <f t="shared" si="151"/>
        <v>0</v>
      </c>
      <c r="AM418" s="452">
        <f t="shared" si="152"/>
        <v>0</v>
      </c>
      <c r="AN418" s="456"/>
      <c r="AO418" s="493"/>
      <c r="AP418" s="456"/>
      <c r="AQ418" s="493"/>
      <c r="AR418" s="456"/>
      <c r="AS418" s="493"/>
      <c r="AT418" s="456"/>
      <c r="AU418" s="493"/>
      <c r="AV418" s="449">
        <f t="shared" si="153"/>
        <v>0</v>
      </c>
      <c r="AW418" s="453">
        <f t="shared" si="154"/>
        <v>0</v>
      </c>
      <c r="AX418" s="451">
        <f t="shared" si="155"/>
        <v>0</v>
      </c>
      <c r="AY418" s="454">
        <f t="shared" si="156"/>
        <v>0</v>
      </c>
      <c r="AZ418" s="455">
        <f t="shared" si="157"/>
        <v>1011.6654444444445</v>
      </c>
      <c r="BA418" s="451">
        <f t="shared" si="158"/>
        <v>1004.1916666666667</v>
      </c>
    </row>
    <row r="419" spans="1:53">
      <c r="A419" s="578" t="s">
        <v>233</v>
      </c>
      <c r="B419" s="583" t="s">
        <v>392</v>
      </c>
      <c r="C419" s="580"/>
      <c r="D419" s="592">
        <v>482264</v>
      </c>
      <c r="E419" s="582">
        <v>13</v>
      </c>
      <c r="F419" s="491"/>
      <c r="G419" s="492"/>
      <c r="H419" s="456"/>
      <c r="I419" s="493"/>
      <c r="J419" s="456"/>
      <c r="K419" s="493"/>
      <c r="L419" s="456"/>
      <c r="M419" s="493"/>
      <c r="N419" s="456"/>
      <c r="O419" s="493"/>
      <c r="P419" s="449">
        <f t="shared" si="141"/>
        <v>0</v>
      </c>
      <c r="Q419" s="450">
        <f t="shared" si="142"/>
        <v>0</v>
      </c>
      <c r="R419" s="451">
        <f t="shared" si="143"/>
        <v>0</v>
      </c>
      <c r="S419" s="452">
        <f t="shared" si="144"/>
        <v>0</v>
      </c>
      <c r="T419" s="456"/>
      <c r="U419" s="493"/>
      <c r="V419" s="449">
        <f t="shared" si="145"/>
        <v>0</v>
      </c>
      <c r="W419" s="448">
        <f t="shared" si="146"/>
        <v>0</v>
      </c>
      <c r="X419" s="456"/>
      <c r="Y419" s="493"/>
      <c r="Z419" s="456"/>
      <c r="AA419" s="493"/>
      <c r="AB419" s="456"/>
      <c r="AC419" s="493"/>
      <c r="AD419" s="456">
        <v>163738</v>
      </c>
      <c r="AE419" s="493">
        <v>186104</v>
      </c>
      <c r="AF419" s="449">
        <f t="shared" si="147"/>
        <v>163738</v>
      </c>
      <c r="AG419" s="450">
        <f t="shared" si="148"/>
        <v>181.93111111111111</v>
      </c>
      <c r="AH419" s="451">
        <f t="shared" si="149"/>
        <v>186104</v>
      </c>
      <c r="AI419" s="451">
        <f t="shared" si="150"/>
        <v>206.78222222222223</v>
      </c>
      <c r="AJ419" s="456"/>
      <c r="AK419" s="493"/>
      <c r="AL419" s="449">
        <f t="shared" si="151"/>
        <v>0</v>
      </c>
      <c r="AM419" s="452">
        <f t="shared" si="152"/>
        <v>0</v>
      </c>
      <c r="AN419" s="456"/>
      <c r="AO419" s="493"/>
      <c r="AP419" s="456"/>
      <c r="AQ419" s="493"/>
      <c r="AR419" s="456"/>
      <c r="AS419" s="493"/>
      <c r="AT419" s="456"/>
      <c r="AU419" s="493"/>
      <c r="AV419" s="449">
        <f t="shared" si="153"/>
        <v>0</v>
      </c>
      <c r="AW419" s="453">
        <f t="shared" si="154"/>
        <v>0</v>
      </c>
      <c r="AX419" s="451">
        <f t="shared" si="155"/>
        <v>0</v>
      </c>
      <c r="AY419" s="454">
        <f t="shared" si="156"/>
        <v>0</v>
      </c>
      <c r="AZ419" s="455">
        <f t="shared" si="157"/>
        <v>181.93111111111111</v>
      </c>
      <c r="BA419" s="451">
        <f t="shared" si="158"/>
        <v>206.78222222222223</v>
      </c>
    </row>
    <row r="420" spans="1:53">
      <c r="A420" s="578" t="s">
        <v>233</v>
      </c>
      <c r="B420" s="583" t="s">
        <v>393</v>
      </c>
      <c r="C420" s="591"/>
      <c r="D420" s="592">
        <v>261384</v>
      </c>
      <c r="E420" s="582">
        <v>13</v>
      </c>
      <c r="F420" s="491"/>
      <c r="G420" s="492"/>
      <c r="H420" s="456"/>
      <c r="I420" s="493"/>
      <c r="J420" s="456"/>
      <c r="K420" s="493"/>
      <c r="L420" s="456"/>
      <c r="M420" s="493"/>
      <c r="N420" s="456"/>
      <c r="O420" s="493"/>
      <c r="P420" s="449">
        <f t="shared" si="141"/>
        <v>0</v>
      </c>
      <c r="Q420" s="450">
        <f t="shared" si="142"/>
        <v>0</v>
      </c>
      <c r="R420" s="451">
        <f t="shared" si="143"/>
        <v>0</v>
      </c>
      <c r="S420" s="452">
        <f t="shared" si="144"/>
        <v>0</v>
      </c>
      <c r="T420" s="456"/>
      <c r="U420" s="493"/>
      <c r="V420" s="449">
        <f t="shared" si="145"/>
        <v>0</v>
      </c>
      <c r="W420" s="448">
        <f t="shared" si="146"/>
        <v>0</v>
      </c>
      <c r="X420" s="456"/>
      <c r="Y420" s="493"/>
      <c r="Z420" s="456"/>
      <c r="AA420" s="493"/>
      <c r="AB420" s="456"/>
      <c r="AC420" s="493"/>
      <c r="AD420" s="456">
        <v>392910</v>
      </c>
      <c r="AE420" s="493">
        <v>322709</v>
      </c>
      <c r="AF420" s="449">
        <f t="shared" si="147"/>
        <v>392910</v>
      </c>
      <c r="AG420" s="450">
        <f t="shared" si="148"/>
        <v>436.56666666666666</v>
      </c>
      <c r="AH420" s="451">
        <f t="shared" si="149"/>
        <v>322709</v>
      </c>
      <c r="AI420" s="451">
        <f t="shared" si="150"/>
        <v>358.56555555555553</v>
      </c>
      <c r="AJ420" s="456"/>
      <c r="AK420" s="493"/>
      <c r="AL420" s="449">
        <f t="shared" si="151"/>
        <v>0</v>
      </c>
      <c r="AM420" s="452">
        <f t="shared" si="152"/>
        <v>0</v>
      </c>
      <c r="AN420" s="456"/>
      <c r="AO420" s="493"/>
      <c r="AP420" s="456"/>
      <c r="AQ420" s="493"/>
      <c r="AR420" s="456"/>
      <c r="AS420" s="493"/>
      <c r="AT420" s="456"/>
      <c r="AU420" s="493"/>
      <c r="AV420" s="449">
        <f t="shared" si="153"/>
        <v>0</v>
      </c>
      <c r="AW420" s="453">
        <f t="shared" si="154"/>
        <v>0</v>
      </c>
      <c r="AX420" s="451">
        <f t="shared" si="155"/>
        <v>0</v>
      </c>
      <c r="AY420" s="454">
        <f t="shared" si="156"/>
        <v>0</v>
      </c>
      <c r="AZ420" s="455">
        <f t="shared" si="157"/>
        <v>436.56666666666666</v>
      </c>
      <c r="BA420" s="451">
        <f t="shared" si="158"/>
        <v>358.56555555555553</v>
      </c>
    </row>
    <row r="421" spans="1:53">
      <c r="A421" s="578" t="s">
        <v>233</v>
      </c>
      <c r="B421" s="583" t="s">
        <v>394</v>
      </c>
      <c r="C421" s="591"/>
      <c r="D421" s="592">
        <v>482273</v>
      </c>
      <c r="E421" s="582">
        <v>13</v>
      </c>
      <c r="F421" s="491"/>
      <c r="G421" s="492"/>
      <c r="H421" s="456"/>
      <c r="I421" s="493"/>
      <c r="J421" s="456"/>
      <c r="K421" s="493"/>
      <c r="L421" s="456"/>
      <c r="M421" s="493"/>
      <c r="N421" s="456"/>
      <c r="O421" s="493"/>
      <c r="P421" s="449">
        <f t="shared" si="141"/>
        <v>0</v>
      </c>
      <c r="Q421" s="450">
        <f t="shared" si="142"/>
        <v>0</v>
      </c>
      <c r="R421" s="451">
        <f t="shared" si="143"/>
        <v>0</v>
      </c>
      <c r="S421" s="452">
        <f t="shared" si="144"/>
        <v>0</v>
      </c>
      <c r="T421" s="456"/>
      <c r="U421" s="493"/>
      <c r="V421" s="449">
        <f t="shared" si="145"/>
        <v>0</v>
      </c>
      <c r="W421" s="448">
        <f t="shared" si="146"/>
        <v>0</v>
      </c>
      <c r="X421" s="456"/>
      <c r="Y421" s="493"/>
      <c r="Z421" s="456"/>
      <c r="AA421" s="493"/>
      <c r="AB421" s="456"/>
      <c r="AC421" s="493"/>
      <c r="AD421" s="456">
        <v>101121</v>
      </c>
      <c r="AE421" s="493">
        <v>100815</v>
      </c>
      <c r="AF421" s="449">
        <f t="shared" si="147"/>
        <v>101121</v>
      </c>
      <c r="AG421" s="450">
        <f t="shared" si="148"/>
        <v>112.35666666666667</v>
      </c>
      <c r="AH421" s="451">
        <f t="shared" si="149"/>
        <v>100815</v>
      </c>
      <c r="AI421" s="451">
        <f t="shared" si="150"/>
        <v>112.01666666666667</v>
      </c>
      <c r="AJ421" s="456"/>
      <c r="AK421" s="493"/>
      <c r="AL421" s="449">
        <f t="shared" si="151"/>
        <v>0</v>
      </c>
      <c r="AM421" s="452">
        <f t="shared" si="152"/>
        <v>0</v>
      </c>
      <c r="AN421" s="456"/>
      <c r="AO421" s="493"/>
      <c r="AP421" s="456"/>
      <c r="AQ421" s="493"/>
      <c r="AR421" s="456"/>
      <c r="AS421" s="493"/>
      <c r="AT421" s="456"/>
      <c r="AU421" s="493"/>
      <c r="AV421" s="449">
        <f t="shared" si="153"/>
        <v>0</v>
      </c>
      <c r="AW421" s="453">
        <f t="shared" si="154"/>
        <v>0</v>
      </c>
      <c r="AX421" s="451">
        <f t="shared" si="155"/>
        <v>0</v>
      </c>
      <c r="AY421" s="454">
        <f t="shared" si="156"/>
        <v>0</v>
      </c>
      <c r="AZ421" s="455">
        <f t="shared" si="157"/>
        <v>112.35666666666667</v>
      </c>
      <c r="BA421" s="451">
        <f t="shared" si="158"/>
        <v>112.01666666666667</v>
      </c>
    </row>
    <row r="422" spans="1:53">
      <c r="A422" s="578" t="s">
        <v>233</v>
      </c>
      <c r="B422" s="583" t="s">
        <v>395</v>
      </c>
      <c r="C422" s="591"/>
      <c r="D422" s="592">
        <v>418357</v>
      </c>
      <c r="E422" s="582">
        <v>13</v>
      </c>
      <c r="F422" s="491"/>
      <c r="G422" s="492"/>
      <c r="H422" s="456"/>
      <c r="I422" s="493"/>
      <c r="J422" s="456"/>
      <c r="K422" s="493"/>
      <c r="L422" s="456"/>
      <c r="M422" s="493"/>
      <c r="N422" s="456"/>
      <c r="O422" s="493"/>
      <c r="P422" s="449">
        <f t="shared" si="141"/>
        <v>0</v>
      </c>
      <c r="Q422" s="450">
        <f t="shared" si="142"/>
        <v>0</v>
      </c>
      <c r="R422" s="451">
        <f t="shared" si="143"/>
        <v>0</v>
      </c>
      <c r="S422" s="452">
        <f t="shared" si="144"/>
        <v>0</v>
      </c>
      <c r="T422" s="456"/>
      <c r="U422" s="493"/>
      <c r="V422" s="449">
        <f t="shared" si="145"/>
        <v>0</v>
      </c>
      <c r="W422" s="448">
        <f t="shared" si="146"/>
        <v>0</v>
      </c>
      <c r="X422" s="456"/>
      <c r="Y422" s="493"/>
      <c r="Z422" s="456"/>
      <c r="AA422" s="493"/>
      <c r="AB422" s="456"/>
      <c r="AC422" s="493"/>
      <c r="AD422" s="456">
        <v>135962.25</v>
      </c>
      <c r="AE422" s="493">
        <v>139335.5</v>
      </c>
      <c r="AF422" s="449">
        <f t="shared" si="147"/>
        <v>135962.25</v>
      </c>
      <c r="AG422" s="450">
        <f t="shared" si="148"/>
        <v>151.06916666666666</v>
      </c>
      <c r="AH422" s="451">
        <f t="shared" si="149"/>
        <v>139335.5</v>
      </c>
      <c r="AI422" s="451">
        <f t="shared" si="150"/>
        <v>154.81722222222223</v>
      </c>
      <c r="AJ422" s="456"/>
      <c r="AK422" s="493"/>
      <c r="AL422" s="449">
        <f t="shared" si="151"/>
        <v>0</v>
      </c>
      <c r="AM422" s="452">
        <f t="shared" si="152"/>
        <v>0</v>
      </c>
      <c r="AN422" s="456"/>
      <c r="AO422" s="493"/>
      <c r="AP422" s="456"/>
      <c r="AQ422" s="493"/>
      <c r="AR422" s="456"/>
      <c r="AS422" s="493"/>
      <c r="AT422" s="456"/>
      <c r="AU422" s="493"/>
      <c r="AV422" s="449">
        <f t="shared" si="153"/>
        <v>0</v>
      </c>
      <c r="AW422" s="453">
        <f t="shared" si="154"/>
        <v>0</v>
      </c>
      <c r="AX422" s="451">
        <f t="shared" si="155"/>
        <v>0</v>
      </c>
      <c r="AY422" s="454">
        <f t="shared" si="156"/>
        <v>0</v>
      </c>
      <c r="AZ422" s="455">
        <f t="shared" si="157"/>
        <v>151.06916666666666</v>
      </c>
      <c r="BA422" s="451">
        <f t="shared" si="158"/>
        <v>154.81722222222223</v>
      </c>
    </row>
    <row r="423" spans="1:53">
      <c r="A423" s="578" t="s">
        <v>233</v>
      </c>
      <c r="B423" s="583" t="s">
        <v>396</v>
      </c>
      <c r="C423" s="591"/>
      <c r="D423" s="592">
        <v>418302</v>
      </c>
      <c r="E423" s="582">
        <v>13</v>
      </c>
      <c r="F423" s="491"/>
      <c r="G423" s="492"/>
      <c r="H423" s="456"/>
      <c r="I423" s="493"/>
      <c r="J423" s="456"/>
      <c r="K423" s="493"/>
      <c r="L423" s="456"/>
      <c r="M423" s="493"/>
      <c r="N423" s="456"/>
      <c r="O423" s="493"/>
      <c r="P423" s="449">
        <f t="shared" si="141"/>
        <v>0</v>
      </c>
      <c r="Q423" s="450">
        <f t="shared" si="142"/>
        <v>0</v>
      </c>
      <c r="R423" s="451">
        <f t="shared" si="143"/>
        <v>0</v>
      </c>
      <c r="S423" s="452">
        <f t="shared" si="144"/>
        <v>0</v>
      </c>
      <c r="T423" s="456"/>
      <c r="U423" s="493"/>
      <c r="V423" s="449">
        <f t="shared" si="145"/>
        <v>0</v>
      </c>
      <c r="W423" s="448">
        <f t="shared" si="146"/>
        <v>0</v>
      </c>
      <c r="X423" s="456"/>
      <c r="Y423" s="493"/>
      <c r="Z423" s="456"/>
      <c r="AA423" s="493"/>
      <c r="AB423" s="456"/>
      <c r="AC423" s="493"/>
      <c r="AD423" s="456">
        <v>344205</v>
      </c>
      <c r="AE423" s="493">
        <v>348534.5</v>
      </c>
      <c r="AF423" s="449">
        <f t="shared" si="147"/>
        <v>344205</v>
      </c>
      <c r="AG423" s="450">
        <f t="shared" si="148"/>
        <v>382.45</v>
      </c>
      <c r="AH423" s="451">
        <f t="shared" si="149"/>
        <v>348534.5</v>
      </c>
      <c r="AI423" s="451">
        <f t="shared" si="150"/>
        <v>387.26055555555558</v>
      </c>
      <c r="AJ423" s="456"/>
      <c r="AK423" s="493"/>
      <c r="AL423" s="449">
        <f t="shared" si="151"/>
        <v>0</v>
      </c>
      <c r="AM423" s="452">
        <f t="shared" si="152"/>
        <v>0</v>
      </c>
      <c r="AN423" s="456"/>
      <c r="AO423" s="493"/>
      <c r="AP423" s="456"/>
      <c r="AQ423" s="493"/>
      <c r="AR423" s="456"/>
      <c r="AS423" s="493"/>
      <c r="AT423" s="456"/>
      <c r="AU423" s="493"/>
      <c r="AV423" s="449">
        <f t="shared" si="153"/>
        <v>0</v>
      </c>
      <c r="AW423" s="453">
        <f t="shared" si="154"/>
        <v>0</v>
      </c>
      <c r="AX423" s="451">
        <f t="shared" si="155"/>
        <v>0</v>
      </c>
      <c r="AY423" s="454">
        <f t="shared" si="156"/>
        <v>0</v>
      </c>
      <c r="AZ423" s="455">
        <f t="shared" si="157"/>
        <v>382.45</v>
      </c>
      <c r="BA423" s="451">
        <f t="shared" si="158"/>
        <v>387.26055555555558</v>
      </c>
    </row>
    <row r="424" spans="1:53">
      <c r="A424" s="813" t="s">
        <v>248</v>
      </c>
      <c r="B424" s="651" t="s">
        <v>935</v>
      </c>
      <c r="C424" s="644"/>
      <c r="D424" s="814">
        <v>217882</v>
      </c>
      <c r="E424" s="815">
        <v>1</v>
      </c>
      <c r="F424" s="491" t="s">
        <v>41</v>
      </c>
      <c r="G424" s="492"/>
      <c r="H424" s="456"/>
      <c r="I424" s="493"/>
      <c r="J424" s="456">
        <v>230725</v>
      </c>
      <c r="K424" s="493">
        <v>239314</v>
      </c>
      <c r="L424" s="456">
        <v>27386</v>
      </c>
      <c r="M424" s="493">
        <v>30561</v>
      </c>
      <c r="N424" s="456">
        <v>259711</v>
      </c>
      <c r="O424" s="493">
        <v>270799</v>
      </c>
      <c r="P424" s="449">
        <f t="shared" si="141"/>
        <v>517822</v>
      </c>
      <c r="Q424" s="450">
        <f t="shared" si="142"/>
        <v>17260.733333333334</v>
      </c>
      <c r="R424" s="451">
        <f t="shared" si="143"/>
        <v>540674</v>
      </c>
      <c r="S424" s="452">
        <f t="shared" si="144"/>
        <v>18022.466666666667</v>
      </c>
      <c r="T424" s="456">
        <v>602</v>
      </c>
      <c r="U424" s="493">
        <v>690</v>
      </c>
      <c r="V424" s="449">
        <f t="shared" si="145"/>
        <v>517822</v>
      </c>
      <c r="W424" s="448">
        <f t="shared" si="146"/>
        <v>540674</v>
      </c>
      <c r="X424" s="456"/>
      <c r="Y424" s="493"/>
      <c r="Z424" s="456"/>
      <c r="AA424" s="493"/>
      <c r="AB424" s="456"/>
      <c r="AC424" s="493"/>
      <c r="AD424" s="456"/>
      <c r="AE424" s="493"/>
      <c r="AF424" s="449">
        <f t="shared" si="147"/>
        <v>0</v>
      </c>
      <c r="AG424" s="450">
        <f t="shared" si="148"/>
        <v>0</v>
      </c>
      <c r="AH424" s="451">
        <f t="shared" si="149"/>
        <v>0</v>
      </c>
      <c r="AI424" s="451">
        <f t="shared" si="150"/>
        <v>0</v>
      </c>
      <c r="AJ424" s="456"/>
      <c r="AK424" s="493"/>
      <c r="AL424" s="449">
        <f t="shared" si="151"/>
        <v>0</v>
      </c>
      <c r="AM424" s="452">
        <f t="shared" si="152"/>
        <v>0</v>
      </c>
      <c r="AN424" s="456"/>
      <c r="AO424" s="493"/>
      <c r="AP424" s="456">
        <v>36042</v>
      </c>
      <c r="AQ424" s="493">
        <v>35979</v>
      </c>
      <c r="AR424" s="456">
        <v>14839</v>
      </c>
      <c r="AS424" s="493">
        <v>14891</v>
      </c>
      <c r="AT424" s="456">
        <v>38004</v>
      </c>
      <c r="AU424" s="493">
        <v>38794</v>
      </c>
      <c r="AV424" s="449">
        <f t="shared" si="153"/>
        <v>88885</v>
      </c>
      <c r="AW424" s="453">
        <f t="shared" si="154"/>
        <v>3703.5416666666665</v>
      </c>
      <c r="AX424" s="451">
        <f t="shared" si="155"/>
        <v>89664</v>
      </c>
      <c r="AY424" s="454">
        <f t="shared" si="156"/>
        <v>3736</v>
      </c>
      <c r="AZ424" s="455">
        <f t="shared" si="157"/>
        <v>20964.275000000001</v>
      </c>
      <c r="BA424" s="451">
        <f t="shared" si="158"/>
        <v>21758.466666666667</v>
      </c>
    </row>
    <row r="425" spans="1:53">
      <c r="A425" s="813" t="s">
        <v>248</v>
      </c>
      <c r="B425" s="651" t="s">
        <v>936</v>
      </c>
      <c r="C425" s="644"/>
      <c r="D425" s="814">
        <v>218663</v>
      </c>
      <c r="E425" s="815">
        <v>1</v>
      </c>
      <c r="F425" s="491" t="s">
        <v>41</v>
      </c>
      <c r="G425" s="492"/>
      <c r="H425" s="456"/>
      <c r="I425" s="493"/>
      <c r="J425" s="456">
        <v>332362</v>
      </c>
      <c r="K425" s="493">
        <v>340004</v>
      </c>
      <c r="L425" s="456">
        <v>33976</v>
      </c>
      <c r="M425" s="493">
        <v>37254</v>
      </c>
      <c r="N425" s="456">
        <v>365066</v>
      </c>
      <c r="O425" s="493">
        <v>376645</v>
      </c>
      <c r="P425" s="449">
        <f t="shared" si="141"/>
        <v>731404</v>
      </c>
      <c r="Q425" s="450">
        <f t="shared" si="142"/>
        <v>24380.133333333335</v>
      </c>
      <c r="R425" s="451">
        <f t="shared" si="143"/>
        <v>753903</v>
      </c>
      <c r="S425" s="452">
        <f t="shared" si="144"/>
        <v>25130.1</v>
      </c>
      <c r="T425" s="456">
        <v>13</v>
      </c>
      <c r="U425" s="493"/>
      <c r="V425" s="449">
        <f t="shared" si="145"/>
        <v>731404</v>
      </c>
      <c r="W425" s="448">
        <f t="shared" si="146"/>
        <v>0</v>
      </c>
      <c r="X425" s="456"/>
      <c r="Y425" s="493"/>
      <c r="Z425" s="456"/>
      <c r="AA425" s="493"/>
      <c r="AB425" s="456"/>
      <c r="AC425" s="493"/>
      <c r="AD425" s="456"/>
      <c r="AE425" s="493"/>
      <c r="AF425" s="449">
        <f t="shared" si="147"/>
        <v>0</v>
      </c>
      <c r="AG425" s="450">
        <f t="shared" si="148"/>
        <v>0</v>
      </c>
      <c r="AH425" s="451">
        <f t="shared" si="149"/>
        <v>0</v>
      </c>
      <c r="AI425" s="451">
        <f t="shared" si="150"/>
        <v>0</v>
      </c>
      <c r="AJ425" s="456"/>
      <c r="AK425" s="493"/>
      <c r="AL425" s="449">
        <f t="shared" si="151"/>
        <v>0</v>
      </c>
      <c r="AM425" s="452">
        <f t="shared" si="152"/>
        <v>0</v>
      </c>
      <c r="AN425" s="456"/>
      <c r="AO425" s="493"/>
      <c r="AP425" s="456">
        <v>45516</v>
      </c>
      <c r="AQ425" s="493">
        <v>48232</v>
      </c>
      <c r="AR425" s="456">
        <v>18512</v>
      </c>
      <c r="AS425" s="493">
        <v>20466</v>
      </c>
      <c r="AT425" s="456">
        <v>53369</v>
      </c>
      <c r="AU425" s="493">
        <v>51432</v>
      </c>
      <c r="AV425" s="449">
        <f t="shared" si="153"/>
        <v>117397</v>
      </c>
      <c r="AW425" s="453">
        <f t="shared" si="154"/>
        <v>4891.541666666667</v>
      </c>
      <c r="AX425" s="451">
        <f t="shared" si="155"/>
        <v>120130</v>
      </c>
      <c r="AY425" s="454">
        <f t="shared" si="156"/>
        <v>5005.416666666667</v>
      </c>
      <c r="AZ425" s="455">
        <f t="shared" si="157"/>
        <v>29271.675000000003</v>
      </c>
      <c r="BA425" s="451">
        <f t="shared" si="158"/>
        <v>30135.516666666666</v>
      </c>
    </row>
    <row r="426" spans="1:53">
      <c r="A426" s="813" t="s">
        <v>248</v>
      </c>
      <c r="B426" s="651" t="s">
        <v>937</v>
      </c>
      <c r="C426" s="644"/>
      <c r="D426" s="814">
        <v>217819</v>
      </c>
      <c r="E426" s="815">
        <v>3</v>
      </c>
      <c r="F426" s="491" t="s">
        <v>41</v>
      </c>
      <c r="G426" s="492"/>
      <c r="H426" s="456"/>
      <c r="I426" s="493"/>
      <c r="J426" s="456">
        <v>141147</v>
      </c>
      <c r="K426" s="493">
        <v>141190</v>
      </c>
      <c r="L426" s="456">
        <v>15459</v>
      </c>
      <c r="M426" s="493">
        <v>15224</v>
      </c>
      <c r="N426" s="456">
        <v>149077</v>
      </c>
      <c r="O426" s="493">
        <v>148699</v>
      </c>
      <c r="P426" s="449">
        <f t="shared" si="141"/>
        <v>305683</v>
      </c>
      <c r="Q426" s="450">
        <f t="shared" si="142"/>
        <v>10189.433333333332</v>
      </c>
      <c r="R426" s="451">
        <f t="shared" si="143"/>
        <v>305113</v>
      </c>
      <c r="S426" s="452">
        <f t="shared" si="144"/>
        <v>10170.433333333332</v>
      </c>
      <c r="T426" s="456">
        <v>540</v>
      </c>
      <c r="U426" s="493">
        <v>687</v>
      </c>
      <c r="V426" s="449">
        <f t="shared" si="145"/>
        <v>305683</v>
      </c>
      <c r="W426" s="448">
        <f t="shared" si="146"/>
        <v>305113</v>
      </c>
      <c r="X426" s="456"/>
      <c r="Y426" s="493"/>
      <c r="Z426" s="456"/>
      <c r="AA426" s="493"/>
      <c r="AB426" s="456"/>
      <c r="AC426" s="493"/>
      <c r="AD426" s="456"/>
      <c r="AE426" s="493"/>
      <c r="AF426" s="449">
        <f t="shared" si="147"/>
        <v>0</v>
      </c>
      <c r="AG426" s="450">
        <f t="shared" si="148"/>
        <v>0</v>
      </c>
      <c r="AH426" s="451">
        <f t="shared" si="149"/>
        <v>0</v>
      </c>
      <c r="AI426" s="451">
        <f t="shared" si="150"/>
        <v>0</v>
      </c>
      <c r="AJ426" s="456"/>
      <c r="AK426" s="493"/>
      <c r="AL426" s="449">
        <f t="shared" si="151"/>
        <v>0</v>
      </c>
      <c r="AM426" s="452">
        <f t="shared" si="152"/>
        <v>0</v>
      </c>
      <c r="AN426" s="456"/>
      <c r="AO426" s="493"/>
      <c r="AP426" s="456">
        <v>6299</v>
      </c>
      <c r="AQ426" s="493">
        <v>6067</v>
      </c>
      <c r="AR426" s="456">
        <v>4208</v>
      </c>
      <c r="AS426" s="493">
        <v>3342</v>
      </c>
      <c r="AT426" s="456">
        <v>4982</v>
      </c>
      <c r="AU426" s="493">
        <v>5416</v>
      </c>
      <c r="AV426" s="449">
        <f t="shared" si="153"/>
        <v>15489</v>
      </c>
      <c r="AW426" s="453">
        <f t="shared" si="154"/>
        <v>645.375</v>
      </c>
      <c r="AX426" s="451">
        <f t="shared" si="155"/>
        <v>14825</v>
      </c>
      <c r="AY426" s="454">
        <f t="shared" si="156"/>
        <v>617.70833333333337</v>
      </c>
      <c r="AZ426" s="455">
        <f t="shared" si="157"/>
        <v>10834.808333333332</v>
      </c>
      <c r="BA426" s="451">
        <f t="shared" si="158"/>
        <v>10788.141666666666</v>
      </c>
    </row>
    <row r="427" spans="1:53">
      <c r="A427" s="813" t="s">
        <v>248</v>
      </c>
      <c r="B427" s="651" t="s">
        <v>938</v>
      </c>
      <c r="C427" s="652"/>
      <c r="D427" s="814">
        <v>217864</v>
      </c>
      <c r="E427" s="816">
        <v>3</v>
      </c>
      <c r="F427" s="491" t="s">
        <v>41</v>
      </c>
      <c r="G427" s="492"/>
      <c r="H427" s="456"/>
      <c r="I427" s="493"/>
      <c r="J427" s="456">
        <v>43851</v>
      </c>
      <c r="K427" s="493">
        <v>44310</v>
      </c>
      <c r="L427" s="456">
        <v>6273</v>
      </c>
      <c r="M427" s="493">
        <v>5527</v>
      </c>
      <c r="N427" s="456">
        <v>46758</v>
      </c>
      <c r="O427" s="493">
        <v>45731</v>
      </c>
      <c r="P427" s="449">
        <f t="shared" si="141"/>
        <v>96882</v>
      </c>
      <c r="Q427" s="450">
        <f t="shared" si="142"/>
        <v>3229.4</v>
      </c>
      <c r="R427" s="451">
        <f t="shared" si="143"/>
        <v>95568</v>
      </c>
      <c r="S427" s="452">
        <f t="shared" si="144"/>
        <v>3185.6</v>
      </c>
      <c r="T427" s="456"/>
      <c r="U427" s="493">
        <v>207</v>
      </c>
      <c r="V427" s="449">
        <f t="shared" si="145"/>
        <v>0</v>
      </c>
      <c r="W427" s="448">
        <f t="shared" si="146"/>
        <v>95568</v>
      </c>
      <c r="X427" s="456"/>
      <c r="Y427" s="493"/>
      <c r="Z427" s="456"/>
      <c r="AA427" s="493"/>
      <c r="AB427" s="456"/>
      <c r="AC427" s="493"/>
      <c r="AD427" s="456"/>
      <c r="AE427" s="493"/>
      <c r="AF427" s="449">
        <f t="shared" si="147"/>
        <v>0</v>
      </c>
      <c r="AG427" s="450">
        <f t="shared" si="148"/>
        <v>0</v>
      </c>
      <c r="AH427" s="451">
        <f t="shared" si="149"/>
        <v>0</v>
      </c>
      <c r="AI427" s="451">
        <f t="shared" si="150"/>
        <v>0</v>
      </c>
      <c r="AJ427" s="456"/>
      <c r="AK427" s="493"/>
      <c r="AL427" s="449">
        <f t="shared" si="151"/>
        <v>0</v>
      </c>
      <c r="AM427" s="452">
        <f t="shared" si="152"/>
        <v>0</v>
      </c>
      <c r="AN427" s="456"/>
      <c r="AO427" s="493"/>
      <c r="AP427" s="456">
        <v>5021</v>
      </c>
      <c r="AQ427" s="493">
        <v>4763</v>
      </c>
      <c r="AR427" s="456">
        <v>4038</v>
      </c>
      <c r="AS427" s="493">
        <v>3989</v>
      </c>
      <c r="AT427" s="456">
        <v>4842</v>
      </c>
      <c r="AU427" s="493">
        <v>5104</v>
      </c>
      <c r="AV427" s="449">
        <f t="shared" si="153"/>
        <v>13901</v>
      </c>
      <c r="AW427" s="453">
        <f t="shared" si="154"/>
        <v>579.20833333333337</v>
      </c>
      <c r="AX427" s="451">
        <f t="shared" si="155"/>
        <v>13856</v>
      </c>
      <c r="AY427" s="454">
        <f t="shared" si="156"/>
        <v>577.33333333333337</v>
      </c>
      <c r="AZ427" s="455">
        <f t="shared" si="157"/>
        <v>3808.6083333333336</v>
      </c>
      <c r="BA427" s="451">
        <f t="shared" si="158"/>
        <v>3762.9333333333334</v>
      </c>
    </row>
    <row r="428" spans="1:53">
      <c r="A428" s="813" t="s">
        <v>248</v>
      </c>
      <c r="B428" s="651" t="s">
        <v>939</v>
      </c>
      <c r="C428" s="644"/>
      <c r="D428" s="814">
        <v>218964</v>
      </c>
      <c r="E428" s="815">
        <v>3</v>
      </c>
      <c r="F428" s="491" t="s">
        <v>41</v>
      </c>
      <c r="G428" s="492"/>
      <c r="H428" s="456"/>
      <c r="I428" s="493"/>
      <c r="J428" s="456">
        <v>65805.5</v>
      </c>
      <c r="K428" s="493">
        <v>66279</v>
      </c>
      <c r="L428" s="456">
        <v>5700</v>
      </c>
      <c r="M428" s="493">
        <v>5191.5</v>
      </c>
      <c r="N428" s="456">
        <v>70682.5</v>
      </c>
      <c r="O428" s="493">
        <v>72321</v>
      </c>
      <c r="P428" s="449">
        <f t="shared" si="141"/>
        <v>142188</v>
      </c>
      <c r="Q428" s="450">
        <f t="shared" si="142"/>
        <v>4739.6000000000004</v>
      </c>
      <c r="R428" s="451">
        <f t="shared" si="143"/>
        <v>143791.5</v>
      </c>
      <c r="S428" s="452">
        <f t="shared" si="144"/>
        <v>4793.05</v>
      </c>
      <c r="T428" s="456">
        <v>1315</v>
      </c>
      <c r="U428" s="493">
        <v>1260</v>
      </c>
      <c r="V428" s="449">
        <f t="shared" si="145"/>
        <v>142188</v>
      </c>
      <c r="W428" s="448">
        <f t="shared" si="146"/>
        <v>143791.5</v>
      </c>
      <c r="X428" s="456"/>
      <c r="Y428" s="493"/>
      <c r="Z428" s="456"/>
      <c r="AA428" s="493"/>
      <c r="AB428" s="456"/>
      <c r="AC428" s="493"/>
      <c r="AD428" s="456"/>
      <c r="AE428" s="493"/>
      <c r="AF428" s="449">
        <f t="shared" si="147"/>
        <v>0</v>
      </c>
      <c r="AG428" s="450">
        <f t="shared" si="148"/>
        <v>0</v>
      </c>
      <c r="AH428" s="451">
        <f t="shared" si="149"/>
        <v>0</v>
      </c>
      <c r="AI428" s="451">
        <f t="shared" si="150"/>
        <v>0</v>
      </c>
      <c r="AJ428" s="456"/>
      <c r="AK428" s="493"/>
      <c r="AL428" s="449">
        <f t="shared" si="151"/>
        <v>0</v>
      </c>
      <c r="AM428" s="452">
        <f t="shared" si="152"/>
        <v>0</v>
      </c>
      <c r="AN428" s="456"/>
      <c r="AO428" s="493"/>
      <c r="AP428" s="456">
        <v>6275</v>
      </c>
      <c r="AQ428" s="493">
        <v>6069.5</v>
      </c>
      <c r="AR428" s="456">
        <v>3238</v>
      </c>
      <c r="AS428" s="493">
        <v>3245</v>
      </c>
      <c r="AT428" s="456">
        <v>7150</v>
      </c>
      <c r="AU428" s="493">
        <v>6676</v>
      </c>
      <c r="AV428" s="449">
        <f t="shared" si="153"/>
        <v>16663</v>
      </c>
      <c r="AW428" s="453">
        <f t="shared" si="154"/>
        <v>694.29166666666663</v>
      </c>
      <c r="AX428" s="451">
        <f t="shared" si="155"/>
        <v>15990.5</v>
      </c>
      <c r="AY428" s="454">
        <f t="shared" si="156"/>
        <v>666.27083333333337</v>
      </c>
      <c r="AZ428" s="455">
        <f t="shared" si="157"/>
        <v>5433.8916666666673</v>
      </c>
      <c r="BA428" s="451">
        <f t="shared" si="158"/>
        <v>5459.3208333333332</v>
      </c>
    </row>
    <row r="429" spans="1:53">
      <c r="A429" s="813" t="s">
        <v>248</v>
      </c>
      <c r="B429" s="651" t="s">
        <v>940</v>
      </c>
      <c r="C429" s="644" t="s">
        <v>941</v>
      </c>
      <c r="D429" s="814">
        <v>218724</v>
      </c>
      <c r="E429" s="815">
        <v>5</v>
      </c>
      <c r="F429" s="491" t="s">
        <v>41</v>
      </c>
      <c r="G429" s="492"/>
      <c r="H429" s="456"/>
      <c r="I429" s="493"/>
      <c r="J429" s="456">
        <v>115341</v>
      </c>
      <c r="K429" s="493">
        <v>121612</v>
      </c>
      <c r="L429" s="456">
        <v>12250</v>
      </c>
      <c r="M429" s="493">
        <v>13272</v>
      </c>
      <c r="N429" s="456">
        <v>136581</v>
      </c>
      <c r="O429" s="493">
        <v>141528</v>
      </c>
      <c r="P429" s="449">
        <f t="shared" si="141"/>
        <v>264172</v>
      </c>
      <c r="Q429" s="450">
        <f t="shared" si="142"/>
        <v>8805.7333333333336</v>
      </c>
      <c r="R429" s="451">
        <f t="shared" si="143"/>
        <v>276412</v>
      </c>
      <c r="S429" s="452">
        <f t="shared" si="144"/>
        <v>9213.7333333333336</v>
      </c>
      <c r="T429" s="456"/>
      <c r="U429" s="493"/>
      <c r="V429" s="449">
        <f t="shared" si="145"/>
        <v>0</v>
      </c>
      <c r="W429" s="448">
        <f t="shared" si="146"/>
        <v>0</v>
      </c>
      <c r="X429" s="456"/>
      <c r="Y429" s="493"/>
      <c r="Z429" s="456"/>
      <c r="AA429" s="493"/>
      <c r="AB429" s="456"/>
      <c r="AC429" s="493"/>
      <c r="AD429" s="456"/>
      <c r="AE429" s="493"/>
      <c r="AF429" s="449">
        <f t="shared" si="147"/>
        <v>0</v>
      </c>
      <c r="AG429" s="450">
        <f t="shared" si="148"/>
        <v>0</v>
      </c>
      <c r="AH429" s="451">
        <f t="shared" si="149"/>
        <v>0</v>
      </c>
      <c r="AI429" s="451">
        <f t="shared" si="150"/>
        <v>0</v>
      </c>
      <c r="AJ429" s="456"/>
      <c r="AK429" s="493"/>
      <c r="AL429" s="449">
        <f t="shared" si="151"/>
        <v>0</v>
      </c>
      <c r="AM429" s="452">
        <f t="shared" si="152"/>
        <v>0</v>
      </c>
      <c r="AN429" s="456"/>
      <c r="AO429" s="493"/>
      <c r="AP429" s="456">
        <v>3545</v>
      </c>
      <c r="AQ429" s="493">
        <v>3667</v>
      </c>
      <c r="AR429" s="456">
        <v>4226</v>
      </c>
      <c r="AS429" s="493">
        <v>4237</v>
      </c>
      <c r="AT429" s="456">
        <v>3788</v>
      </c>
      <c r="AU429" s="493">
        <v>4101</v>
      </c>
      <c r="AV429" s="449">
        <f t="shared" si="153"/>
        <v>11559</v>
      </c>
      <c r="AW429" s="453">
        <f t="shared" si="154"/>
        <v>481.625</v>
      </c>
      <c r="AX429" s="451">
        <f t="shared" si="155"/>
        <v>12005</v>
      </c>
      <c r="AY429" s="454">
        <f t="shared" si="156"/>
        <v>500.20833333333331</v>
      </c>
      <c r="AZ429" s="455">
        <f t="shared" si="157"/>
        <v>9287.3583333333336</v>
      </c>
      <c r="BA429" s="451">
        <f t="shared" si="158"/>
        <v>9713.9416666666675</v>
      </c>
    </row>
    <row r="430" spans="1:53">
      <c r="A430" s="813" t="s">
        <v>248</v>
      </c>
      <c r="B430" s="651" t="s">
        <v>942</v>
      </c>
      <c r="C430" s="644"/>
      <c r="D430" s="814">
        <v>218061</v>
      </c>
      <c r="E430" s="815">
        <v>5</v>
      </c>
      <c r="F430" s="491" t="s">
        <v>41</v>
      </c>
      <c r="G430" s="492"/>
      <c r="H430" s="456"/>
      <c r="I430" s="493"/>
      <c r="J430" s="456">
        <v>45527</v>
      </c>
      <c r="K430" s="493">
        <v>44475</v>
      </c>
      <c r="L430" s="456">
        <v>2938</v>
      </c>
      <c r="M430" s="493">
        <v>2832</v>
      </c>
      <c r="N430" s="456">
        <v>48881</v>
      </c>
      <c r="O430" s="493">
        <v>48855</v>
      </c>
      <c r="P430" s="449">
        <f t="shared" si="141"/>
        <v>97346</v>
      </c>
      <c r="Q430" s="450">
        <f t="shared" si="142"/>
        <v>3244.8666666666668</v>
      </c>
      <c r="R430" s="451">
        <f t="shared" si="143"/>
        <v>96162</v>
      </c>
      <c r="S430" s="452">
        <f t="shared" si="144"/>
        <v>3205.4</v>
      </c>
      <c r="T430" s="456">
        <v>1305</v>
      </c>
      <c r="U430" s="493">
        <v>1050</v>
      </c>
      <c r="V430" s="449">
        <f t="shared" si="145"/>
        <v>97346</v>
      </c>
      <c r="W430" s="448">
        <f t="shared" si="146"/>
        <v>96162</v>
      </c>
      <c r="X430" s="456"/>
      <c r="Y430" s="493"/>
      <c r="Z430" s="456"/>
      <c r="AA430" s="493"/>
      <c r="AB430" s="456"/>
      <c r="AC430" s="493"/>
      <c r="AD430" s="456"/>
      <c r="AE430" s="493"/>
      <c r="AF430" s="449">
        <f t="shared" si="147"/>
        <v>0</v>
      </c>
      <c r="AG430" s="450">
        <f t="shared" si="148"/>
        <v>0</v>
      </c>
      <c r="AH430" s="451">
        <f t="shared" si="149"/>
        <v>0</v>
      </c>
      <c r="AI430" s="451">
        <f t="shared" si="150"/>
        <v>0</v>
      </c>
      <c r="AJ430" s="456"/>
      <c r="AK430" s="493"/>
      <c r="AL430" s="449">
        <f t="shared" si="151"/>
        <v>0</v>
      </c>
      <c r="AM430" s="452">
        <f t="shared" si="152"/>
        <v>0</v>
      </c>
      <c r="AN430" s="456"/>
      <c r="AO430" s="493"/>
      <c r="AP430" s="456">
        <v>2318</v>
      </c>
      <c r="AQ430" s="493">
        <v>2462</v>
      </c>
      <c r="AR430" s="456">
        <v>2126</v>
      </c>
      <c r="AS430" s="493">
        <v>2136</v>
      </c>
      <c r="AT430" s="456">
        <v>1968</v>
      </c>
      <c r="AU430" s="493">
        <v>2162</v>
      </c>
      <c r="AV430" s="449">
        <f t="shared" si="153"/>
        <v>6412</v>
      </c>
      <c r="AW430" s="453">
        <f t="shared" si="154"/>
        <v>267.16666666666669</v>
      </c>
      <c r="AX430" s="451">
        <f t="shared" si="155"/>
        <v>6760</v>
      </c>
      <c r="AY430" s="454">
        <f t="shared" si="156"/>
        <v>281.66666666666669</v>
      </c>
      <c r="AZ430" s="455">
        <f t="shared" si="157"/>
        <v>3512.0333333333333</v>
      </c>
      <c r="BA430" s="451">
        <f t="shared" si="158"/>
        <v>3487.0666666666666</v>
      </c>
    </row>
    <row r="431" spans="1:53">
      <c r="A431" s="813" t="s">
        <v>248</v>
      </c>
      <c r="B431" s="651" t="s">
        <v>943</v>
      </c>
      <c r="C431" s="644"/>
      <c r="D431" s="814">
        <v>218733</v>
      </c>
      <c r="E431" s="815">
        <v>5</v>
      </c>
      <c r="F431" s="491" t="s">
        <v>41</v>
      </c>
      <c r="G431" s="492"/>
      <c r="H431" s="456"/>
      <c r="I431" s="493"/>
      <c r="J431" s="456">
        <v>38486</v>
      </c>
      <c r="K431" s="493">
        <v>36666</v>
      </c>
      <c r="L431" s="456">
        <v>3210</v>
      </c>
      <c r="M431" s="493">
        <v>2592</v>
      </c>
      <c r="N431" s="456">
        <v>41045</v>
      </c>
      <c r="O431" s="493">
        <v>36978</v>
      </c>
      <c r="P431" s="449">
        <f t="shared" si="141"/>
        <v>82741</v>
      </c>
      <c r="Q431" s="450">
        <f t="shared" si="142"/>
        <v>2758.0333333333333</v>
      </c>
      <c r="R431" s="451">
        <f t="shared" si="143"/>
        <v>76236</v>
      </c>
      <c r="S431" s="452">
        <f t="shared" si="144"/>
        <v>2541.1999999999998</v>
      </c>
      <c r="T431" s="456"/>
      <c r="U431" s="493">
        <v>1929</v>
      </c>
      <c r="V431" s="449">
        <f t="shared" si="145"/>
        <v>0</v>
      </c>
      <c r="W431" s="448">
        <f t="shared" si="146"/>
        <v>76236</v>
      </c>
      <c r="X431" s="456"/>
      <c r="Y431" s="493"/>
      <c r="Z431" s="456"/>
      <c r="AA431" s="493"/>
      <c r="AB431" s="456"/>
      <c r="AC431" s="493"/>
      <c r="AD431" s="456"/>
      <c r="AE431" s="493"/>
      <c r="AF431" s="449">
        <f t="shared" si="147"/>
        <v>0</v>
      </c>
      <c r="AG431" s="450">
        <f t="shared" si="148"/>
        <v>0</v>
      </c>
      <c r="AH431" s="451">
        <f t="shared" si="149"/>
        <v>0</v>
      </c>
      <c r="AI431" s="451">
        <f t="shared" si="150"/>
        <v>0</v>
      </c>
      <c r="AJ431" s="456"/>
      <c r="AK431" s="493"/>
      <c r="AL431" s="449">
        <f t="shared" si="151"/>
        <v>0</v>
      </c>
      <c r="AM431" s="452">
        <f t="shared" si="152"/>
        <v>0</v>
      </c>
      <c r="AN431" s="456"/>
      <c r="AO431" s="493"/>
      <c r="AP431" s="456">
        <v>3528</v>
      </c>
      <c r="AQ431" s="493">
        <v>3257</v>
      </c>
      <c r="AR431" s="456">
        <v>1763</v>
      </c>
      <c r="AS431" s="493">
        <v>1331</v>
      </c>
      <c r="AT431" s="456">
        <v>3580</v>
      </c>
      <c r="AU431" s="493">
        <v>3083</v>
      </c>
      <c r="AV431" s="449">
        <f t="shared" si="153"/>
        <v>8871</v>
      </c>
      <c r="AW431" s="453">
        <f t="shared" si="154"/>
        <v>369.625</v>
      </c>
      <c r="AX431" s="451">
        <f t="shared" si="155"/>
        <v>7671</v>
      </c>
      <c r="AY431" s="454">
        <f t="shared" si="156"/>
        <v>319.625</v>
      </c>
      <c r="AZ431" s="455">
        <f t="shared" si="157"/>
        <v>3127.6583333333333</v>
      </c>
      <c r="BA431" s="451">
        <f t="shared" si="158"/>
        <v>2860.8249999999998</v>
      </c>
    </row>
    <row r="432" spans="1:53">
      <c r="A432" s="813" t="s">
        <v>248</v>
      </c>
      <c r="B432" s="651" t="s">
        <v>944</v>
      </c>
      <c r="C432" s="644"/>
      <c r="D432" s="814">
        <v>218229</v>
      </c>
      <c r="E432" s="815">
        <v>6</v>
      </c>
      <c r="F432" s="491" t="s">
        <v>41</v>
      </c>
      <c r="G432" s="492"/>
      <c r="H432" s="456"/>
      <c r="I432" s="493"/>
      <c r="J432" s="456">
        <v>36079</v>
      </c>
      <c r="K432" s="493">
        <v>34809</v>
      </c>
      <c r="L432" s="456">
        <v>3157.5</v>
      </c>
      <c r="M432" s="493">
        <v>3332</v>
      </c>
      <c r="N432" s="456">
        <v>38793.5</v>
      </c>
      <c r="O432" s="493">
        <v>38071.5</v>
      </c>
      <c r="P432" s="449">
        <f t="shared" si="141"/>
        <v>78030</v>
      </c>
      <c r="Q432" s="450">
        <f t="shared" si="142"/>
        <v>2601</v>
      </c>
      <c r="R432" s="451">
        <f t="shared" si="143"/>
        <v>76212.5</v>
      </c>
      <c r="S432" s="452">
        <f t="shared" si="144"/>
        <v>2540.4166666666665</v>
      </c>
      <c r="T432" s="456">
        <v>145</v>
      </c>
      <c r="U432" s="493">
        <v>173</v>
      </c>
      <c r="V432" s="449">
        <f t="shared" si="145"/>
        <v>78030</v>
      </c>
      <c r="W432" s="448">
        <f t="shared" si="146"/>
        <v>76212.5</v>
      </c>
      <c r="X432" s="456"/>
      <c r="Y432" s="493"/>
      <c r="Z432" s="456"/>
      <c r="AA432" s="493"/>
      <c r="AB432" s="456"/>
      <c r="AC432" s="493"/>
      <c r="AD432" s="456"/>
      <c r="AE432" s="493"/>
      <c r="AF432" s="449">
        <f t="shared" si="147"/>
        <v>0</v>
      </c>
      <c r="AG432" s="450">
        <f t="shared" si="148"/>
        <v>0</v>
      </c>
      <c r="AH432" s="451">
        <f t="shared" si="149"/>
        <v>0</v>
      </c>
      <c r="AI432" s="451">
        <f t="shared" si="150"/>
        <v>0</v>
      </c>
      <c r="AJ432" s="456"/>
      <c r="AK432" s="493"/>
      <c r="AL432" s="449">
        <f t="shared" si="151"/>
        <v>0</v>
      </c>
      <c r="AM432" s="452">
        <f t="shared" si="152"/>
        <v>0</v>
      </c>
      <c r="AN432" s="456"/>
      <c r="AO432" s="493"/>
      <c r="AP432" s="456">
        <v>522</v>
      </c>
      <c r="AQ432" s="493">
        <v>387</v>
      </c>
      <c r="AR432" s="456">
        <v>696</v>
      </c>
      <c r="AS432" s="493">
        <v>564</v>
      </c>
      <c r="AT432" s="456">
        <v>357</v>
      </c>
      <c r="AU432" s="493">
        <v>159</v>
      </c>
      <c r="AV432" s="449">
        <f t="shared" si="153"/>
        <v>1575</v>
      </c>
      <c r="AW432" s="453">
        <f t="shared" si="154"/>
        <v>65.625</v>
      </c>
      <c r="AX432" s="451">
        <f t="shared" si="155"/>
        <v>1110</v>
      </c>
      <c r="AY432" s="454">
        <f t="shared" si="156"/>
        <v>46.25</v>
      </c>
      <c r="AZ432" s="455">
        <f t="shared" si="157"/>
        <v>2666.625</v>
      </c>
      <c r="BA432" s="451">
        <f t="shared" si="158"/>
        <v>2586.6666666666665</v>
      </c>
    </row>
    <row r="433" spans="1:53">
      <c r="A433" s="813" t="s">
        <v>248</v>
      </c>
      <c r="B433" s="651" t="s">
        <v>945</v>
      </c>
      <c r="C433" s="644"/>
      <c r="D433" s="814">
        <v>218645</v>
      </c>
      <c r="E433" s="815">
        <v>6</v>
      </c>
      <c r="F433" s="491" t="s">
        <v>41</v>
      </c>
      <c r="G433" s="492"/>
      <c r="H433" s="456"/>
      <c r="I433" s="493"/>
      <c r="J433" s="456">
        <v>38369</v>
      </c>
      <c r="K433" s="493">
        <v>38537</v>
      </c>
      <c r="L433" s="456">
        <v>5644</v>
      </c>
      <c r="M433" s="493">
        <v>5543</v>
      </c>
      <c r="N433" s="456">
        <v>42738</v>
      </c>
      <c r="O433" s="493">
        <v>44039</v>
      </c>
      <c r="P433" s="449">
        <f t="shared" si="141"/>
        <v>86751</v>
      </c>
      <c r="Q433" s="450">
        <f t="shared" si="142"/>
        <v>2891.7</v>
      </c>
      <c r="R433" s="451">
        <f t="shared" si="143"/>
        <v>88119</v>
      </c>
      <c r="S433" s="452">
        <f t="shared" si="144"/>
        <v>2937.3</v>
      </c>
      <c r="T433" s="456">
        <v>851</v>
      </c>
      <c r="U433" s="493"/>
      <c r="V433" s="449">
        <f t="shared" si="145"/>
        <v>86751</v>
      </c>
      <c r="W433" s="448">
        <f t="shared" si="146"/>
        <v>0</v>
      </c>
      <c r="X433" s="456"/>
      <c r="Y433" s="493"/>
      <c r="Z433" s="456"/>
      <c r="AA433" s="493"/>
      <c r="AB433" s="456"/>
      <c r="AC433" s="493"/>
      <c r="AD433" s="456"/>
      <c r="AE433" s="493"/>
      <c r="AF433" s="449">
        <f t="shared" si="147"/>
        <v>0</v>
      </c>
      <c r="AG433" s="450">
        <f t="shared" si="148"/>
        <v>0</v>
      </c>
      <c r="AH433" s="451">
        <f t="shared" si="149"/>
        <v>0</v>
      </c>
      <c r="AI433" s="451">
        <f t="shared" si="150"/>
        <v>0</v>
      </c>
      <c r="AJ433" s="456"/>
      <c r="AK433" s="493"/>
      <c r="AL433" s="449">
        <f t="shared" si="151"/>
        <v>0</v>
      </c>
      <c r="AM433" s="452">
        <f t="shared" si="152"/>
        <v>0</v>
      </c>
      <c r="AN433" s="456"/>
      <c r="AO433" s="493"/>
      <c r="AP433" s="456">
        <v>942</v>
      </c>
      <c r="AQ433" s="493">
        <v>916</v>
      </c>
      <c r="AR433" s="456">
        <v>693</v>
      </c>
      <c r="AS433" s="493">
        <v>990</v>
      </c>
      <c r="AT433" s="456">
        <v>1062</v>
      </c>
      <c r="AU433" s="493">
        <v>598</v>
      </c>
      <c r="AV433" s="449">
        <f t="shared" si="153"/>
        <v>2697</v>
      </c>
      <c r="AW433" s="453">
        <f t="shared" si="154"/>
        <v>112.375</v>
      </c>
      <c r="AX433" s="451">
        <f t="shared" si="155"/>
        <v>2504</v>
      </c>
      <c r="AY433" s="454">
        <f t="shared" si="156"/>
        <v>104.33333333333333</v>
      </c>
      <c r="AZ433" s="455">
        <f t="shared" si="157"/>
        <v>3004.0749999999998</v>
      </c>
      <c r="BA433" s="451">
        <f t="shared" si="158"/>
        <v>3041.6333333333337</v>
      </c>
    </row>
    <row r="434" spans="1:53">
      <c r="A434" s="813" t="s">
        <v>248</v>
      </c>
      <c r="B434" s="654" t="s">
        <v>946</v>
      </c>
      <c r="C434" s="655"/>
      <c r="D434" s="814">
        <v>218654</v>
      </c>
      <c r="E434" s="815">
        <v>6</v>
      </c>
      <c r="F434" s="491" t="s">
        <v>41</v>
      </c>
      <c r="G434" s="492"/>
      <c r="H434" s="456"/>
      <c r="I434" s="493"/>
      <c r="J434" s="456">
        <v>20510</v>
      </c>
      <c r="K434" s="493">
        <v>22425</v>
      </c>
      <c r="L434" s="456">
        <v>1970</v>
      </c>
      <c r="M434" s="493">
        <v>2413</v>
      </c>
      <c r="N434" s="456">
        <v>24032</v>
      </c>
      <c r="O434" s="493">
        <v>27210</v>
      </c>
      <c r="P434" s="449">
        <f t="shared" si="141"/>
        <v>46512</v>
      </c>
      <c r="Q434" s="450">
        <f t="shared" si="142"/>
        <v>1550.4</v>
      </c>
      <c r="R434" s="451">
        <f t="shared" si="143"/>
        <v>52048</v>
      </c>
      <c r="S434" s="452">
        <f t="shared" si="144"/>
        <v>1734.9333333333334</v>
      </c>
      <c r="T434" s="456">
        <v>22</v>
      </c>
      <c r="U434" s="493"/>
      <c r="V434" s="449">
        <f t="shared" si="145"/>
        <v>46512</v>
      </c>
      <c r="W434" s="448">
        <f t="shared" si="146"/>
        <v>0</v>
      </c>
      <c r="X434" s="456"/>
      <c r="Y434" s="493"/>
      <c r="Z434" s="456"/>
      <c r="AA434" s="493"/>
      <c r="AB434" s="456"/>
      <c r="AC434" s="493"/>
      <c r="AD434" s="456"/>
      <c r="AE434" s="493"/>
      <c r="AF434" s="449">
        <f t="shared" si="147"/>
        <v>0</v>
      </c>
      <c r="AG434" s="450">
        <f t="shared" si="148"/>
        <v>0</v>
      </c>
      <c r="AH434" s="451">
        <f t="shared" si="149"/>
        <v>0</v>
      </c>
      <c r="AI434" s="451">
        <f t="shared" si="150"/>
        <v>0</v>
      </c>
      <c r="AJ434" s="456"/>
      <c r="AK434" s="493"/>
      <c r="AL434" s="449">
        <f t="shared" si="151"/>
        <v>0</v>
      </c>
      <c r="AM434" s="452">
        <f t="shared" si="152"/>
        <v>0</v>
      </c>
      <c r="AN434" s="456"/>
      <c r="AO434" s="493"/>
      <c r="AP434" s="456">
        <v>0</v>
      </c>
      <c r="AQ434" s="493">
        <v>0</v>
      </c>
      <c r="AR434" s="456">
        <v>0</v>
      </c>
      <c r="AS434" s="493">
        <v>0</v>
      </c>
      <c r="AT434" s="456">
        <v>0</v>
      </c>
      <c r="AU434" s="493">
        <v>0</v>
      </c>
      <c r="AV434" s="449">
        <f t="shared" si="153"/>
        <v>0</v>
      </c>
      <c r="AW434" s="453">
        <f t="shared" si="154"/>
        <v>0</v>
      </c>
      <c r="AX434" s="451">
        <f t="shared" si="155"/>
        <v>0</v>
      </c>
      <c r="AY434" s="454">
        <f t="shared" si="156"/>
        <v>0</v>
      </c>
      <c r="AZ434" s="455">
        <f t="shared" si="157"/>
        <v>1550.4</v>
      </c>
      <c r="BA434" s="451">
        <f t="shared" si="158"/>
        <v>1734.9333333333334</v>
      </c>
    </row>
    <row r="435" spans="1:53">
      <c r="A435" s="813" t="s">
        <v>248</v>
      </c>
      <c r="B435" s="651" t="s">
        <v>947</v>
      </c>
      <c r="C435" s="644"/>
      <c r="D435" s="814">
        <v>218742</v>
      </c>
      <c r="E435" s="815">
        <v>6</v>
      </c>
      <c r="F435" s="491" t="s">
        <v>41</v>
      </c>
      <c r="G435" s="492"/>
      <c r="H435" s="456"/>
      <c r="I435" s="493"/>
      <c r="J435" s="456">
        <v>66177</v>
      </c>
      <c r="K435" s="493">
        <v>65967</v>
      </c>
      <c r="L435" s="456">
        <v>9824</v>
      </c>
      <c r="M435" s="493">
        <v>9713</v>
      </c>
      <c r="N435" s="456">
        <v>71856</v>
      </c>
      <c r="O435" s="493">
        <v>74337</v>
      </c>
      <c r="P435" s="449">
        <f t="shared" si="141"/>
        <v>147857</v>
      </c>
      <c r="Q435" s="450">
        <f t="shared" si="142"/>
        <v>4928.5666666666666</v>
      </c>
      <c r="R435" s="451">
        <f t="shared" si="143"/>
        <v>150017</v>
      </c>
      <c r="S435" s="452">
        <f t="shared" si="144"/>
        <v>5000.5666666666666</v>
      </c>
      <c r="T435" s="456">
        <v>1958</v>
      </c>
      <c r="U435" s="493"/>
      <c r="V435" s="449">
        <f t="shared" si="145"/>
        <v>147857</v>
      </c>
      <c r="W435" s="448">
        <f t="shared" si="146"/>
        <v>0</v>
      </c>
      <c r="X435" s="456"/>
      <c r="Y435" s="493"/>
      <c r="Z435" s="456"/>
      <c r="AA435" s="493"/>
      <c r="AB435" s="456"/>
      <c r="AC435" s="493"/>
      <c r="AD435" s="456"/>
      <c r="AE435" s="493"/>
      <c r="AF435" s="449">
        <f t="shared" si="147"/>
        <v>0</v>
      </c>
      <c r="AG435" s="450">
        <f t="shared" si="148"/>
        <v>0</v>
      </c>
      <c r="AH435" s="451">
        <f t="shared" si="149"/>
        <v>0</v>
      </c>
      <c r="AI435" s="451">
        <f t="shared" si="150"/>
        <v>0</v>
      </c>
      <c r="AJ435" s="456"/>
      <c r="AK435" s="493"/>
      <c r="AL435" s="449">
        <f t="shared" si="151"/>
        <v>0</v>
      </c>
      <c r="AM435" s="452">
        <f t="shared" si="152"/>
        <v>0</v>
      </c>
      <c r="AN435" s="456"/>
      <c r="AO435" s="493"/>
      <c r="AP435" s="456">
        <v>535</v>
      </c>
      <c r="AQ435" s="493">
        <v>804</v>
      </c>
      <c r="AR435" s="456">
        <v>1161</v>
      </c>
      <c r="AS435" s="493">
        <v>1158</v>
      </c>
      <c r="AT435" s="456">
        <v>716</v>
      </c>
      <c r="AU435" s="493">
        <v>1100</v>
      </c>
      <c r="AV435" s="449">
        <f t="shared" si="153"/>
        <v>2412</v>
      </c>
      <c r="AW435" s="453">
        <f t="shared" si="154"/>
        <v>100.5</v>
      </c>
      <c r="AX435" s="451">
        <f t="shared" si="155"/>
        <v>3062</v>
      </c>
      <c r="AY435" s="454">
        <f t="shared" si="156"/>
        <v>127.58333333333333</v>
      </c>
      <c r="AZ435" s="455">
        <f t="shared" si="157"/>
        <v>5029.0666666666666</v>
      </c>
      <c r="BA435" s="451">
        <f t="shared" si="158"/>
        <v>5128.1499999999996</v>
      </c>
    </row>
    <row r="436" spans="1:53">
      <c r="A436" s="817" t="s">
        <v>248</v>
      </c>
      <c r="B436" s="665" t="s">
        <v>948</v>
      </c>
      <c r="C436" s="666"/>
      <c r="D436" s="814">
        <v>218025</v>
      </c>
      <c r="E436" s="815">
        <v>8</v>
      </c>
      <c r="F436" s="491" t="s">
        <v>41</v>
      </c>
      <c r="G436" s="492"/>
      <c r="H436" s="456"/>
      <c r="I436" s="493"/>
      <c r="J436" s="456">
        <v>65084</v>
      </c>
      <c r="K436" s="493">
        <v>58176.65</v>
      </c>
      <c r="L436" s="456">
        <v>23630</v>
      </c>
      <c r="M436" s="493">
        <v>21463.31</v>
      </c>
      <c r="N436" s="456">
        <v>64630</v>
      </c>
      <c r="O436" s="493">
        <v>64642.23</v>
      </c>
      <c r="P436" s="449">
        <f t="shared" si="141"/>
        <v>153344</v>
      </c>
      <c r="Q436" s="450">
        <f t="shared" si="142"/>
        <v>5111.4666666666662</v>
      </c>
      <c r="R436" s="451">
        <f t="shared" si="143"/>
        <v>144282.19</v>
      </c>
      <c r="S436" s="452">
        <f t="shared" si="144"/>
        <v>4809.4063333333334</v>
      </c>
      <c r="T436" s="456"/>
      <c r="U436" s="493">
        <v>5648</v>
      </c>
      <c r="V436" s="449">
        <f t="shared" si="145"/>
        <v>0</v>
      </c>
      <c r="W436" s="448">
        <f t="shared" si="146"/>
        <v>144282.19</v>
      </c>
      <c r="X436" s="456"/>
      <c r="Y436" s="493"/>
      <c r="Z436" s="456"/>
      <c r="AA436" s="493"/>
      <c r="AB436" s="456"/>
      <c r="AC436" s="493"/>
      <c r="AD436" s="456"/>
      <c r="AE436" s="493"/>
      <c r="AF436" s="449">
        <f t="shared" si="147"/>
        <v>0</v>
      </c>
      <c r="AG436" s="450">
        <f t="shared" si="148"/>
        <v>0</v>
      </c>
      <c r="AH436" s="451">
        <f t="shared" si="149"/>
        <v>0</v>
      </c>
      <c r="AI436" s="451">
        <f t="shared" si="150"/>
        <v>0</v>
      </c>
      <c r="AJ436" s="456"/>
      <c r="AK436" s="493"/>
      <c r="AL436" s="449">
        <f t="shared" si="151"/>
        <v>0</v>
      </c>
      <c r="AM436" s="452">
        <f t="shared" si="152"/>
        <v>0</v>
      </c>
      <c r="AN436" s="456"/>
      <c r="AO436" s="493"/>
      <c r="AP436" s="456">
        <v>0</v>
      </c>
      <c r="AQ436" s="493">
        <v>0</v>
      </c>
      <c r="AR436" s="456">
        <v>0</v>
      </c>
      <c r="AS436" s="493">
        <v>0</v>
      </c>
      <c r="AT436" s="456">
        <v>0</v>
      </c>
      <c r="AU436" s="493">
        <v>0</v>
      </c>
      <c r="AV436" s="449">
        <f t="shared" si="153"/>
        <v>0</v>
      </c>
      <c r="AW436" s="453">
        <f t="shared" si="154"/>
        <v>0</v>
      </c>
      <c r="AX436" s="451">
        <f t="shared" si="155"/>
        <v>0</v>
      </c>
      <c r="AY436" s="454">
        <f t="shared" si="156"/>
        <v>0</v>
      </c>
      <c r="AZ436" s="455">
        <f t="shared" si="157"/>
        <v>5111.4666666666662</v>
      </c>
      <c r="BA436" s="451">
        <f t="shared" si="158"/>
        <v>4809.4063333333334</v>
      </c>
    </row>
    <row r="437" spans="1:53">
      <c r="A437" s="817" t="s">
        <v>248</v>
      </c>
      <c r="B437" s="818" t="s">
        <v>949</v>
      </c>
      <c r="C437" s="666" t="s">
        <v>517</v>
      </c>
      <c r="D437" s="814">
        <v>218113</v>
      </c>
      <c r="E437" s="815">
        <v>8</v>
      </c>
      <c r="F437" s="491" t="s">
        <v>41</v>
      </c>
      <c r="G437" s="492"/>
      <c r="H437" s="456"/>
      <c r="I437" s="493"/>
      <c r="J437" s="456">
        <v>119149</v>
      </c>
      <c r="K437" s="493">
        <v>111501.59</v>
      </c>
      <c r="L437" s="456">
        <v>44397</v>
      </c>
      <c r="M437" s="493">
        <v>44371.669999999991</v>
      </c>
      <c r="N437" s="456">
        <v>125597</v>
      </c>
      <c r="O437" s="493">
        <v>121373.01999999999</v>
      </c>
      <c r="P437" s="449">
        <f t="shared" si="141"/>
        <v>289143</v>
      </c>
      <c r="Q437" s="450">
        <f t="shared" si="142"/>
        <v>9638.1</v>
      </c>
      <c r="R437" s="451">
        <f t="shared" si="143"/>
        <v>277246.27999999997</v>
      </c>
      <c r="S437" s="452">
        <f t="shared" si="144"/>
        <v>9241.5426666666663</v>
      </c>
      <c r="T437" s="456">
        <v>11069</v>
      </c>
      <c r="U437" s="493">
        <v>10990</v>
      </c>
      <c r="V437" s="449">
        <f t="shared" si="145"/>
        <v>289143</v>
      </c>
      <c r="W437" s="448">
        <f t="shared" si="146"/>
        <v>277246.27999999997</v>
      </c>
      <c r="X437" s="456"/>
      <c r="Y437" s="493"/>
      <c r="Z437" s="456"/>
      <c r="AA437" s="493"/>
      <c r="AB437" s="456"/>
      <c r="AC437" s="493"/>
      <c r="AD437" s="456"/>
      <c r="AE437" s="493"/>
      <c r="AF437" s="449">
        <f t="shared" si="147"/>
        <v>0</v>
      </c>
      <c r="AG437" s="450">
        <f t="shared" si="148"/>
        <v>0</v>
      </c>
      <c r="AH437" s="451">
        <f t="shared" si="149"/>
        <v>0</v>
      </c>
      <c r="AI437" s="451">
        <f t="shared" si="150"/>
        <v>0</v>
      </c>
      <c r="AJ437" s="456"/>
      <c r="AK437" s="493"/>
      <c r="AL437" s="449">
        <f t="shared" si="151"/>
        <v>0</v>
      </c>
      <c r="AM437" s="452">
        <f t="shared" si="152"/>
        <v>0</v>
      </c>
      <c r="AN437" s="456"/>
      <c r="AO437" s="493"/>
      <c r="AP437" s="456">
        <v>0</v>
      </c>
      <c r="AQ437" s="493">
        <v>0</v>
      </c>
      <c r="AR437" s="456">
        <v>0</v>
      </c>
      <c r="AS437" s="493">
        <v>0</v>
      </c>
      <c r="AT437" s="456">
        <v>0</v>
      </c>
      <c r="AU437" s="493">
        <v>0</v>
      </c>
      <c r="AV437" s="449">
        <f t="shared" si="153"/>
        <v>0</v>
      </c>
      <c r="AW437" s="453">
        <f t="shared" si="154"/>
        <v>0</v>
      </c>
      <c r="AX437" s="451">
        <f t="shared" si="155"/>
        <v>0</v>
      </c>
      <c r="AY437" s="454">
        <f t="shared" si="156"/>
        <v>0</v>
      </c>
      <c r="AZ437" s="455">
        <f t="shared" si="157"/>
        <v>9638.1</v>
      </c>
      <c r="BA437" s="451">
        <f t="shared" si="158"/>
        <v>9241.5426666666663</v>
      </c>
    </row>
    <row r="438" spans="1:53">
      <c r="A438" s="817" t="s">
        <v>248</v>
      </c>
      <c r="B438" s="665" t="s">
        <v>950</v>
      </c>
      <c r="C438" s="819"/>
      <c r="D438" s="814">
        <v>218140</v>
      </c>
      <c r="E438" s="815">
        <v>8</v>
      </c>
      <c r="F438" s="491" t="s">
        <v>41</v>
      </c>
      <c r="G438" s="492"/>
      <c r="H438" s="456"/>
      <c r="I438" s="493"/>
      <c r="J438" s="456">
        <v>72910</v>
      </c>
      <c r="K438" s="493">
        <v>71191.489999999991</v>
      </c>
      <c r="L438" s="456">
        <v>25040</v>
      </c>
      <c r="M438" s="493">
        <v>24157.759999999998</v>
      </c>
      <c r="N438" s="456">
        <v>72440</v>
      </c>
      <c r="O438" s="493">
        <v>70838.500000000015</v>
      </c>
      <c r="P438" s="449">
        <f t="shared" si="141"/>
        <v>170390</v>
      </c>
      <c r="Q438" s="450">
        <f t="shared" si="142"/>
        <v>5679.666666666667</v>
      </c>
      <c r="R438" s="451">
        <f t="shared" si="143"/>
        <v>166187.75</v>
      </c>
      <c r="S438" s="452">
        <f t="shared" si="144"/>
        <v>5539.5916666666662</v>
      </c>
      <c r="T438" s="456">
        <v>8076</v>
      </c>
      <c r="U438" s="493">
        <v>7748</v>
      </c>
      <c r="V438" s="449">
        <f t="shared" si="145"/>
        <v>170390</v>
      </c>
      <c r="W438" s="448">
        <f t="shared" si="146"/>
        <v>166187.75</v>
      </c>
      <c r="X438" s="456"/>
      <c r="Y438" s="493"/>
      <c r="Z438" s="456"/>
      <c r="AA438" s="493"/>
      <c r="AB438" s="456"/>
      <c r="AC438" s="493"/>
      <c r="AD438" s="456"/>
      <c r="AE438" s="493"/>
      <c r="AF438" s="449">
        <f t="shared" si="147"/>
        <v>0</v>
      </c>
      <c r="AG438" s="450">
        <f t="shared" si="148"/>
        <v>0</v>
      </c>
      <c r="AH438" s="451">
        <f t="shared" si="149"/>
        <v>0</v>
      </c>
      <c r="AI438" s="451">
        <f t="shared" si="150"/>
        <v>0</v>
      </c>
      <c r="AJ438" s="456"/>
      <c r="AK438" s="493"/>
      <c r="AL438" s="449">
        <f t="shared" si="151"/>
        <v>0</v>
      </c>
      <c r="AM438" s="452">
        <f t="shared" si="152"/>
        <v>0</v>
      </c>
      <c r="AN438" s="456"/>
      <c r="AO438" s="493"/>
      <c r="AP438" s="456">
        <v>0</v>
      </c>
      <c r="AQ438" s="493">
        <v>0</v>
      </c>
      <c r="AR438" s="456">
        <v>0</v>
      </c>
      <c r="AS438" s="493">
        <v>0</v>
      </c>
      <c r="AT438" s="456">
        <v>0</v>
      </c>
      <c r="AU438" s="493">
        <v>0</v>
      </c>
      <c r="AV438" s="449">
        <f t="shared" si="153"/>
        <v>0</v>
      </c>
      <c r="AW438" s="453">
        <f t="shared" si="154"/>
        <v>0</v>
      </c>
      <c r="AX438" s="451">
        <f t="shared" si="155"/>
        <v>0</v>
      </c>
      <c r="AY438" s="454">
        <f t="shared" si="156"/>
        <v>0</v>
      </c>
      <c r="AZ438" s="455">
        <f t="shared" si="157"/>
        <v>5679.666666666667</v>
      </c>
      <c r="BA438" s="451">
        <f t="shared" si="158"/>
        <v>5539.5916666666662</v>
      </c>
    </row>
    <row r="439" spans="1:53">
      <c r="A439" s="817" t="s">
        <v>248</v>
      </c>
      <c r="B439" s="818" t="s">
        <v>951</v>
      </c>
      <c r="C439" s="820"/>
      <c r="D439" s="814">
        <v>218353</v>
      </c>
      <c r="E439" s="815">
        <v>8</v>
      </c>
      <c r="F439" s="491" t="s">
        <v>41</v>
      </c>
      <c r="G439" s="492"/>
      <c r="H439" s="456"/>
      <c r="I439" s="493"/>
      <c r="J439" s="456">
        <v>108123</v>
      </c>
      <c r="K439" s="493">
        <v>104991.03999999999</v>
      </c>
      <c r="L439" s="456">
        <v>47113</v>
      </c>
      <c r="M439" s="493">
        <v>45845.77</v>
      </c>
      <c r="N439" s="456">
        <v>124963</v>
      </c>
      <c r="O439" s="493">
        <v>122986.37999999999</v>
      </c>
      <c r="P439" s="449">
        <f t="shared" si="141"/>
        <v>280199</v>
      </c>
      <c r="Q439" s="450">
        <f t="shared" si="142"/>
        <v>9339.9666666666672</v>
      </c>
      <c r="R439" s="451">
        <f t="shared" si="143"/>
        <v>273823.19</v>
      </c>
      <c r="S439" s="452">
        <f t="shared" si="144"/>
        <v>9127.4396666666671</v>
      </c>
      <c r="T439" s="456">
        <v>2088</v>
      </c>
      <c r="U439" s="493">
        <v>2773</v>
      </c>
      <c r="V439" s="449">
        <f t="shared" si="145"/>
        <v>280199</v>
      </c>
      <c r="W439" s="448">
        <f t="shared" si="146"/>
        <v>273823.19</v>
      </c>
      <c r="X439" s="456"/>
      <c r="Y439" s="493"/>
      <c r="Z439" s="456"/>
      <c r="AA439" s="493"/>
      <c r="AB439" s="456"/>
      <c r="AC439" s="493"/>
      <c r="AD439" s="456"/>
      <c r="AE439" s="493"/>
      <c r="AF439" s="449">
        <f t="shared" si="147"/>
        <v>0</v>
      </c>
      <c r="AG439" s="450">
        <f t="shared" si="148"/>
        <v>0</v>
      </c>
      <c r="AH439" s="451">
        <f t="shared" si="149"/>
        <v>0</v>
      </c>
      <c r="AI439" s="451">
        <f t="shared" si="150"/>
        <v>0</v>
      </c>
      <c r="AJ439" s="456"/>
      <c r="AK439" s="493"/>
      <c r="AL439" s="449">
        <f t="shared" si="151"/>
        <v>0</v>
      </c>
      <c r="AM439" s="452">
        <f t="shared" si="152"/>
        <v>0</v>
      </c>
      <c r="AN439" s="456"/>
      <c r="AO439" s="493"/>
      <c r="AP439" s="456">
        <v>0</v>
      </c>
      <c r="AQ439" s="493">
        <v>0</v>
      </c>
      <c r="AR439" s="456">
        <v>0</v>
      </c>
      <c r="AS439" s="493">
        <v>0</v>
      </c>
      <c r="AT439" s="456">
        <v>0</v>
      </c>
      <c r="AU439" s="493">
        <v>0</v>
      </c>
      <c r="AV439" s="449">
        <f t="shared" si="153"/>
        <v>0</v>
      </c>
      <c r="AW439" s="453">
        <f t="shared" si="154"/>
        <v>0</v>
      </c>
      <c r="AX439" s="451">
        <f t="shared" si="155"/>
        <v>0</v>
      </c>
      <c r="AY439" s="454">
        <f t="shared" si="156"/>
        <v>0</v>
      </c>
      <c r="AZ439" s="455">
        <f t="shared" si="157"/>
        <v>9339.9666666666672</v>
      </c>
      <c r="BA439" s="451">
        <f t="shared" si="158"/>
        <v>9127.4396666666671</v>
      </c>
    </row>
    <row r="440" spans="1:53">
      <c r="A440" s="817" t="s">
        <v>248</v>
      </c>
      <c r="B440" s="665" t="s">
        <v>952</v>
      </c>
      <c r="C440" s="819"/>
      <c r="D440" s="814">
        <v>218520</v>
      </c>
      <c r="E440" s="815">
        <v>8</v>
      </c>
      <c r="F440" s="491" t="s">
        <v>41</v>
      </c>
      <c r="G440" s="492"/>
      <c r="H440" s="456"/>
      <c r="I440" s="493"/>
      <c r="J440" s="456">
        <v>59183</v>
      </c>
      <c r="K440" s="493">
        <v>53621.7</v>
      </c>
      <c r="L440" s="456">
        <v>24912</v>
      </c>
      <c r="M440" s="493">
        <v>21821.420000000002</v>
      </c>
      <c r="N440" s="456">
        <v>59286</v>
      </c>
      <c r="O440" s="493">
        <v>54750.71</v>
      </c>
      <c r="P440" s="449">
        <f t="shared" si="141"/>
        <v>143381</v>
      </c>
      <c r="Q440" s="450">
        <f t="shared" si="142"/>
        <v>4779.3666666666668</v>
      </c>
      <c r="R440" s="451">
        <f t="shared" si="143"/>
        <v>130193.82999999999</v>
      </c>
      <c r="S440" s="452">
        <f t="shared" si="144"/>
        <v>4339.7943333333333</v>
      </c>
      <c r="T440" s="456">
        <v>9809</v>
      </c>
      <c r="U440" s="493">
        <v>10490</v>
      </c>
      <c r="V440" s="449">
        <f t="shared" si="145"/>
        <v>143381</v>
      </c>
      <c r="W440" s="448">
        <f t="shared" si="146"/>
        <v>130193.82999999999</v>
      </c>
      <c r="X440" s="456"/>
      <c r="Y440" s="493"/>
      <c r="Z440" s="456"/>
      <c r="AA440" s="493"/>
      <c r="AB440" s="456"/>
      <c r="AC440" s="493"/>
      <c r="AD440" s="456"/>
      <c r="AE440" s="493"/>
      <c r="AF440" s="449">
        <f t="shared" si="147"/>
        <v>0</v>
      </c>
      <c r="AG440" s="450">
        <f t="shared" si="148"/>
        <v>0</v>
      </c>
      <c r="AH440" s="451">
        <f t="shared" si="149"/>
        <v>0</v>
      </c>
      <c r="AI440" s="451">
        <f t="shared" si="150"/>
        <v>0</v>
      </c>
      <c r="AJ440" s="456"/>
      <c r="AK440" s="493"/>
      <c r="AL440" s="449">
        <f t="shared" si="151"/>
        <v>0</v>
      </c>
      <c r="AM440" s="452">
        <f t="shared" si="152"/>
        <v>0</v>
      </c>
      <c r="AN440" s="456"/>
      <c r="AO440" s="493"/>
      <c r="AP440" s="456">
        <v>0</v>
      </c>
      <c r="AQ440" s="493">
        <v>0</v>
      </c>
      <c r="AR440" s="456">
        <v>0</v>
      </c>
      <c r="AS440" s="493">
        <v>0</v>
      </c>
      <c r="AT440" s="456">
        <v>0</v>
      </c>
      <c r="AU440" s="493">
        <v>0</v>
      </c>
      <c r="AV440" s="449">
        <f t="shared" si="153"/>
        <v>0</v>
      </c>
      <c r="AW440" s="453">
        <f t="shared" si="154"/>
        <v>0</v>
      </c>
      <c r="AX440" s="451">
        <f t="shared" si="155"/>
        <v>0</v>
      </c>
      <c r="AY440" s="454">
        <f t="shared" si="156"/>
        <v>0</v>
      </c>
      <c r="AZ440" s="455">
        <f t="shared" si="157"/>
        <v>4779.3666666666668</v>
      </c>
      <c r="BA440" s="451">
        <f t="shared" si="158"/>
        <v>4339.7943333333333</v>
      </c>
    </row>
    <row r="441" spans="1:53">
      <c r="A441" s="817" t="s">
        <v>248</v>
      </c>
      <c r="B441" s="651" t="s">
        <v>953</v>
      </c>
      <c r="C441" s="666" t="s">
        <v>683</v>
      </c>
      <c r="D441" s="814">
        <v>218885</v>
      </c>
      <c r="E441" s="815">
        <v>8</v>
      </c>
      <c r="F441" s="491" t="s">
        <v>41</v>
      </c>
      <c r="G441" s="492"/>
      <c r="H441" s="456"/>
      <c r="I441" s="493"/>
      <c r="J441" s="456">
        <v>67323</v>
      </c>
      <c r="K441" s="493">
        <v>65636.63</v>
      </c>
      <c r="L441" s="456">
        <v>22403</v>
      </c>
      <c r="M441" s="493">
        <v>20882.349999999999</v>
      </c>
      <c r="N441" s="456">
        <v>73907</v>
      </c>
      <c r="O441" s="493">
        <v>70375.72</v>
      </c>
      <c r="P441" s="449">
        <f t="shared" si="141"/>
        <v>163633</v>
      </c>
      <c r="Q441" s="450">
        <f t="shared" si="142"/>
        <v>5454.4333333333334</v>
      </c>
      <c r="R441" s="451">
        <f t="shared" si="143"/>
        <v>156894.70000000001</v>
      </c>
      <c r="S441" s="452">
        <f t="shared" si="144"/>
        <v>5229.8233333333337</v>
      </c>
      <c r="T441" s="456">
        <v>6991</v>
      </c>
      <c r="U441" s="493">
        <v>7531</v>
      </c>
      <c r="V441" s="449">
        <f t="shared" si="145"/>
        <v>163633</v>
      </c>
      <c r="W441" s="448">
        <f t="shared" si="146"/>
        <v>156894.70000000001</v>
      </c>
      <c r="X441" s="456"/>
      <c r="Y441" s="493"/>
      <c r="Z441" s="456"/>
      <c r="AA441" s="493"/>
      <c r="AB441" s="456"/>
      <c r="AC441" s="493"/>
      <c r="AD441" s="456"/>
      <c r="AE441" s="493"/>
      <c r="AF441" s="449">
        <f t="shared" si="147"/>
        <v>0</v>
      </c>
      <c r="AG441" s="450">
        <f t="shared" si="148"/>
        <v>0</v>
      </c>
      <c r="AH441" s="451">
        <f t="shared" si="149"/>
        <v>0</v>
      </c>
      <c r="AI441" s="451">
        <f t="shared" si="150"/>
        <v>0</v>
      </c>
      <c r="AJ441" s="456"/>
      <c r="AK441" s="493"/>
      <c r="AL441" s="449">
        <f t="shared" si="151"/>
        <v>0</v>
      </c>
      <c r="AM441" s="452">
        <f t="shared" si="152"/>
        <v>0</v>
      </c>
      <c r="AN441" s="456"/>
      <c r="AO441" s="493"/>
      <c r="AP441" s="456">
        <v>0</v>
      </c>
      <c r="AQ441" s="493">
        <v>0</v>
      </c>
      <c r="AR441" s="456">
        <v>0</v>
      </c>
      <c r="AS441" s="493">
        <v>0</v>
      </c>
      <c r="AT441" s="456">
        <v>0</v>
      </c>
      <c r="AU441" s="493">
        <v>0</v>
      </c>
      <c r="AV441" s="449">
        <f t="shared" si="153"/>
        <v>0</v>
      </c>
      <c r="AW441" s="453">
        <f t="shared" si="154"/>
        <v>0</v>
      </c>
      <c r="AX441" s="451">
        <f t="shared" si="155"/>
        <v>0</v>
      </c>
      <c r="AY441" s="454">
        <f t="shared" si="156"/>
        <v>0</v>
      </c>
      <c r="AZ441" s="455">
        <f t="shared" si="157"/>
        <v>5454.4333333333334</v>
      </c>
      <c r="BA441" s="451">
        <f t="shared" si="158"/>
        <v>5229.8233333333337</v>
      </c>
    </row>
    <row r="442" spans="1:53">
      <c r="A442" s="817" t="s">
        <v>248</v>
      </c>
      <c r="B442" s="818" t="s">
        <v>954</v>
      </c>
      <c r="C442" s="820"/>
      <c r="D442" s="814">
        <v>218894</v>
      </c>
      <c r="E442" s="815">
        <v>8</v>
      </c>
      <c r="F442" s="491" t="s">
        <v>41</v>
      </c>
      <c r="G442" s="492"/>
      <c r="H442" s="456"/>
      <c r="I442" s="493"/>
      <c r="J442" s="456">
        <v>157015</v>
      </c>
      <c r="K442" s="493">
        <v>151197.64000000001</v>
      </c>
      <c r="L442" s="456">
        <v>70830</v>
      </c>
      <c r="M442" s="493">
        <v>59262.51</v>
      </c>
      <c r="N442" s="456">
        <v>161267</v>
      </c>
      <c r="O442" s="493">
        <v>149345.72999999998</v>
      </c>
      <c r="P442" s="449">
        <f t="shared" si="141"/>
        <v>389112</v>
      </c>
      <c r="Q442" s="450">
        <f t="shared" si="142"/>
        <v>12970.4</v>
      </c>
      <c r="R442" s="451">
        <f t="shared" si="143"/>
        <v>359805.88</v>
      </c>
      <c r="S442" s="452">
        <f t="shared" si="144"/>
        <v>11993.529333333334</v>
      </c>
      <c r="T442" s="456">
        <v>15313</v>
      </c>
      <c r="U442" s="493">
        <v>17691</v>
      </c>
      <c r="V442" s="449">
        <f t="shared" si="145"/>
        <v>389112</v>
      </c>
      <c r="W442" s="448">
        <f t="shared" si="146"/>
        <v>359805.88</v>
      </c>
      <c r="X442" s="456"/>
      <c r="Y442" s="493"/>
      <c r="Z442" s="456"/>
      <c r="AA442" s="493"/>
      <c r="AB442" s="456"/>
      <c r="AC442" s="493"/>
      <c r="AD442" s="456"/>
      <c r="AE442" s="493"/>
      <c r="AF442" s="449">
        <f t="shared" si="147"/>
        <v>0</v>
      </c>
      <c r="AG442" s="450">
        <f t="shared" si="148"/>
        <v>0</v>
      </c>
      <c r="AH442" s="451">
        <f t="shared" si="149"/>
        <v>0</v>
      </c>
      <c r="AI442" s="451">
        <f t="shared" si="150"/>
        <v>0</v>
      </c>
      <c r="AJ442" s="456"/>
      <c r="AK442" s="493"/>
      <c r="AL442" s="449">
        <f t="shared" si="151"/>
        <v>0</v>
      </c>
      <c r="AM442" s="452">
        <f t="shared" si="152"/>
        <v>0</v>
      </c>
      <c r="AN442" s="456"/>
      <c r="AO442" s="493"/>
      <c r="AP442" s="456">
        <v>0</v>
      </c>
      <c r="AQ442" s="493">
        <v>0</v>
      </c>
      <c r="AR442" s="456">
        <v>0</v>
      </c>
      <c r="AS442" s="493">
        <v>0</v>
      </c>
      <c r="AT442" s="456">
        <v>0</v>
      </c>
      <c r="AU442" s="493">
        <v>0</v>
      </c>
      <c r="AV442" s="449">
        <f t="shared" si="153"/>
        <v>0</v>
      </c>
      <c r="AW442" s="453">
        <f t="shared" si="154"/>
        <v>0</v>
      </c>
      <c r="AX442" s="451">
        <f t="shared" si="155"/>
        <v>0</v>
      </c>
      <c r="AY442" s="454">
        <f t="shared" si="156"/>
        <v>0</v>
      </c>
      <c r="AZ442" s="455">
        <f t="shared" si="157"/>
        <v>12970.4</v>
      </c>
      <c r="BA442" s="451">
        <f t="shared" si="158"/>
        <v>11993.529333333334</v>
      </c>
    </row>
    <row r="443" spans="1:53">
      <c r="A443" s="817" t="s">
        <v>248</v>
      </c>
      <c r="B443" s="662" t="s">
        <v>955</v>
      </c>
      <c r="C443" s="819"/>
      <c r="D443" s="814">
        <v>217615</v>
      </c>
      <c r="E443" s="815">
        <v>9</v>
      </c>
      <c r="F443" s="491" t="s">
        <v>41</v>
      </c>
      <c r="G443" s="492"/>
      <c r="H443" s="456"/>
      <c r="I443" s="493"/>
      <c r="J443" s="456">
        <v>23384</v>
      </c>
      <c r="K443" s="493">
        <v>21150.17</v>
      </c>
      <c r="L443" s="456">
        <v>9984</v>
      </c>
      <c r="M443" s="493">
        <v>8302.92</v>
      </c>
      <c r="N443" s="456">
        <v>23672</v>
      </c>
      <c r="O443" s="493">
        <v>22527.38</v>
      </c>
      <c r="P443" s="449">
        <f t="shared" si="141"/>
        <v>57040</v>
      </c>
      <c r="Q443" s="450">
        <f t="shared" si="142"/>
        <v>1901.3333333333333</v>
      </c>
      <c r="R443" s="451">
        <f t="shared" si="143"/>
        <v>51980.47</v>
      </c>
      <c r="S443" s="452">
        <f t="shared" si="144"/>
        <v>1732.6823333333334</v>
      </c>
      <c r="T443" s="456">
        <v>575</v>
      </c>
      <c r="U443" s="493">
        <v>569</v>
      </c>
      <c r="V443" s="449">
        <f t="shared" si="145"/>
        <v>57040</v>
      </c>
      <c r="W443" s="448">
        <f t="shared" si="146"/>
        <v>51980.47</v>
      </c>
      <c r="X443" s="456"/>
      <c r="Y443" s="493"/>
      <c r="Z443" s="456"/>
      <c r="AA443" s="493"/>
      <c r="AB443" s="456"/>
      <c r="AC443" s="493"/>
      <c r="AD443" s="456"/>
      <c r="AE443" s="493"/>
      <c r="AF443" s="449">
        <f t="shared" si="147"/>
        <v>0</v>
      </c>
      <c r="AG443" s="450">
        <f t="shared" si="148"/>
        <v>0</v>
      </c>
      <c r="AH443" s="451">
        <f t="shared" si="149"/>
        <v>0</v>
      </c>
      <c r="AI443" s="451">
        <f t="shared" si="150"/>
        <v>0</v>
      </c>
      <c r="AJ443" s="456"/>
      <c r="AK443" s="493"/>
      <c r="AL443" s="449">
        <f t="shared" si="151"/>
        <v>0</v>
      </c>
      <c r="AM443" s="452">
        <f t="shared" si="152"/>
        <v>0</v>
      </c>
      <c r="AN443" s="456"/>
      <c r="AO443" s="493"/>
      <c r="AP443" s="456">
        <v>0</v>
      </c>
      <c r="AQ443" s="493">
        <v>0</v>
      </c>
      <c r="AR443" s="456">
        <v>0</v>
      </c>
      <c r="AS443" s="493">
        <v>0</v>
      </c>
      <c r="AT443" s="456">
        <v>0</v>
      </c>
      <c r="AU443" s="493">
        <v>0</v>
      </c>
      <c r="AV443" s="449">
        <f t="shared" si="153"/>
        <v>0</v>
      </c>
      <c r="AW443" s="453">
        <f t="shared" si="154"/>
        <v>0</v>
      </c>
      <c r="AX443" s="451">
        <f t="shared" si="155"/>
        <v>0</v>
      </c>
      <c r="AY443" s="454">
        <f t="shared" si="156"/>
        <v>0</v>
      </c>
      <c r="AZ443" s="455">
        <f t="shared" si="157"/>
        <v>1901.3333333333333</v>
      </c>
      <c r="BA443" s="451">
        <f t="shared" si="158"/>
        <v>1732.6823333333334</v>
      </c>
    </row>
    <row r="444" spans="1:53">
      <c r="A444" s="817" t="s">
        <v>248</v>
      </c>
      <c r="B444" s="818" t="s">
        <v>956</v>
      </c>
      <c r="C444" s="666" t="s">
        <v>316</v>
      </c>
      <c r="D444" s="814">
        <v>218858</v>
      </c>
      <c r="E444" s="815">
        <v>9</v>
      </c>
      <c r="F444" s="491" t="s">
        <v>41</v>
      </c>
      <c r="G444" s="492"/>
      <c r="H444" s="456"/>
      <c r="I444" s="493"/>
      <c r="J444" s="456">
        <v>34858</v>
      </c>
      <c r="K444" s="493">
        <v>32469.7</v>
      </c>
      <c r="L444" s="456">
        <v>14190</v>
      </c>
      <c r="M444" s="493">
        <v>13541.67</v>
      </c>
      <c r="N444" s="456">
        <v>34668</v>
      </c>
      <c r="O444" s="493">
        <v>34476.5</v>
      </c>
      <c r="P444" s="449">
        <f t="shared" si="141"/>
        <v>83716</v>
      </c>
      <c r="Q444" s="450">
        <f t="shared" si="142"/>
        <v>2790.5333333333333</v>
      </c>
      <c r="R444" s="451">
        <f t="shared" si="143"/>
        <v>80487.87</v>
      </c>
      <c r="S444" s="452">
        <f t="shared" si="144"/>
        <v>2682.9289999999996</v>
      </c>
      <c r="T444" s="456">
        <v>5308</v>
      </c>
      <c r="U444" s="493">
        <v>6579</v>
      </c>
      <c r="V444" s="449">
        <f t="shared" si="145"/>
        <v>83716</v>
      </c>
      <c r="W444" s="448">
        <f t="shared" si="146"/>
        <v>80487.87</v>
      </c>
      <c r="X444" s="456"/>
      <c r="Y444" s="493"/>
      <c r="Z444" s="456"/>
      <c r="AA444" s="493"/>
      <c r="AB444" s="456"/>
      <c r="AC444" s="493"/>
      <c r="AD444" s="456"/>
      <c r="AE444" s="493"/>
      <c r="AF444" s="449">
        <f t="shared" si="147"/>
        <v>0</v>
      </c>
      <c r="AG444" s="450">
        <f t="shared" si="148"/>
        <v>0</v>
      </c>
      <c r="AH444" s="451">
        <f t="shared" si="149"/>
        <v>0</v>
      </c>
      <c r="AI444" s="451">
        <f t="shared" si="150"/>
        <v>0</v>
      </c>
      <c r="AJ444" s="456"/>
      <c r="AK444" s="493"/>
      <c r="AL444" s="449">
        <f t="shared" si="151"/>
        <v>0</v>
      </c>
      <c r="AM444" s="452">
        <f t="shared" si="152"/>
        <v>0</v>
      </c>
      <c r="AN444" s="456"/>
      <c r="AO444" s="493"/>
      <c r="AP444" s="456">
        <v>0</v>
      </c>
      <c r="AQ444" s="493">
        <v>0</v>
      </c>
      <c r="AR444" s="456">
        <v>0</v>
      </c>
      <c r="AS444" s="493">
        <v>0</v>
      </c>
      <c r="AT444" s="456">
        <v>0</v>
      </c>
      <c r="AU444" s="493">
        <v>0</v>
      </c>
      <c r="AV444" s="449">
        <f t="shared" si="153"/>
        <v>0</v>
      </c>
      <c r="AW444" s="453">
        <f t="shared" si="154"/>
        <v>0</v>
      </c>
      <c r="AX444" s="451">
        <f t="shared" si="155"/>
        <v>0</v>
      </c>
      <c r="AY444" s="454">
        <f t="shared" si="156"/>
        <v>0</v>
      </c>
      <c r="AZ444" s="455">
        <f t="shared" si="157"/>
        <v>2790.5333333333333</v>
      </c>
      <c r="BA444" s="451">
        <f t="shared" si="158"/>
        <v>2682.9289999999996</v>
      </c>
    </row>
    <row r="445" spans="1:53">
      <c r="A445" s="817" t="s">
        <v>248</v>
      </c>
      <c r="B445" s="818" t="s">
        <v>957</v>
      </c>
      <c r="C445" s="819"/>
      <c r="D445" s="814">
        <v>218487</v>
      </c>
      <c r="E445" s="815">
        <v>9</v>
      </c>
      <c r="F445" s="491" t="s">
        <v>41</v>
      </c>
      <c r="G445" s="492"/>
      <c r="H445" s="456"/>
      <c r="I445" s="493"/>
      <c r="J445" s="456">
        <v>24679</v>
      </c>
      <c r="K445" s="493">
        <v>26273.74</v>
      </c>
      <c r="L445" s="456">
        <v>9643</v>
      </c>
      <c r="M445" s="493">
        <v>9018.7999999999993</v>
      </c>
      <c r="N445" s="456">
        <v>30177</v>
      </c>
      <c r="O445" s="493">
        <v>27182.560000000001</v>
      </c>
      <c r="P445" s="449">
        <f t="shared" si="141"/>
        <v>64499</v>
      </c>
      <c r="Q445" s="450">
        <f t="shared" si="142"/>
        <v>2149.9666666666667</v>
      </c>
      <c r="R445" s="451">
        <f t="shared" si="143"/>
        <v>62475.100000000006</v>
      </c>
      <c r="S445" s="452">
        <f t="shared" si="144"/>
        <v>2082.5033333333336</v>
      </c>
      <c r="T445" s="456">
        <v>7318</v>
      </c>
      <c r="U445" s="493">
        <v>7028</v>
      </c>
      <c r="V445" s="449">
        <f t="shared" si="145"/>
        <v>64499</v>
      </c>
      <c r="W445" s="448">
        <f t="shared" si="146"/>
        <v>62475.100000000006</v>
      </c>
      <c r="X445" s="456"/>
      <c r="Y445" s="493"/>
      <c r="Z445" s="456"/>
      <c r="AA445" s="493"/>
      <c r="AB445" s="456"/>
      <c r="AC445" s="493"/>
      <c r="AD445" s="456"/>
      <c r="AE445" s="493"/>
      <c r="AF445" s="449">
        <f t="shared" si="147"/>
        <v>0</v>
      </c>
      <c r="AG445" s="450">
        <f t="shared" si="148"/>
        <v>0</v>
      </c>
      <c r="AH445" s="451">
        <f t="shared" si="149"/>
        <v>0</v>
      </c>
      <c r="AI445" s="451">
        <f t="shared" si="150"/>
        <v>0</v>
      </c>
      <c r="AJ445" s="456"/>
      <c r="AK445" s="493"/>
      <c r="AL445" s="449">
        <f t="shared" si="151"/>
        <v>0</v>
      </c>
      <c r="AM445" s="452">
        <f t="shared" si="152"/>
        <v>0</v>
      </c>
      <c r="AN445" s="456"/>
      <c r="AO445" s="493"/>
      <c r="AP445" s="456">
        <v>0</v>
      </c>
      <c r="AQ445" s="493">
        <v>0</v>
      </c>
      <c r="AR445" s="456">
        <v>0</v>
      </c>
      <c r="AS445" s="493">
        <v>0</v>
      </c>
      <c r="AT445" s="456">
        <v>0</v>
      </c>
      <c r="AU445" s="493">
        <v>0</v>
      </c>
      <c r="AV445" s="449">
        <f t="shared" si="153"/>
        <v>0</v>
      </c>
      <c r="AW445" s="453">
        <f t="shared" si="154"/>
        <v>0</v>
      </c>
      <c r="AX445" s="451">
        <f t="shared" si="155"/>
        <v>0</v>
      </c>
      <c r="AY445" s="454">
        <f t="shared" si="156"/>
        <v>0</v>
      </c>
      <c r="AZ445" s="455">
        <f t="shared" si="157"/>
        <v>2149.9666666666667</v>
      </c>
      <c r="BA445" s="451">
        <f t="shared" si="158"/>
        <v>2082.5033333333336</v>
      </c>
    </row>
    <row r="446" spans="1:53">
      <c r="A446" s="817" t="s">
        <v>248</v>
      </c>
      <c r="B446" s="665" t="s">
        <v>958</v>
      </c>
      <c r="C446" s="666"/>
      <c r="D446" s="814">
        <v>218830</v>
      </c>
      <c r="E446" s="815">
        <v>9</v>
      </c>
      <c r="F446" s="491" t="s">
        <v>41</v>
      </c>
      <c r="G446" s="492"/>
      <c r="H446" s="456"/>
      <c r="I446" s="493"/>
      <c r="J446" s="456">
        <v>51931</v>
      </c>
      <c r="K446" s="493">
        <v>48152.26</v>
      </c>
      <c r="L446" s="456">
        <v>16801</v>
      </c>
      <c r="M446" s="493">
        <v>15856.65</v>
      </c>
      <c r="N446" s="456">
        <v>55038</v>
      </c>
      <c r="O446" s="493">
        <v>48809.810000000005</v>
      </c>
      <c r="P446" s="449">
        <f t="shared" si="141"/>
        <v>123770</v>
      </c>
      <c r="Q446" s="450">
        <f t="shared" si="142"/>
        <v>4125.666666666667</v>
      </c>
      <c r="R446" s="451">
        <f t="shared" si="143"/>
        <v>112818.72</v>
      </c>
      <c r="S446" s="452">
        <f t="shared" si="144"/>
        <v>3760.6240000000003</v>
      </c>
      <c r="T446" s="456">
        <v>6310</v>
      </c>
      <c r="U446" s="493">
        <v>7202</v>
      </c>
      <c r="V446" s="449">
        <f t="shared" si="145"/>
        <v>123770</v>
      </c>
      <c r="W446" s="448">
        <f t="shared" si="146"/>
        <v>112818.72</v>
      </c>
      <c r="X446" s="456"/>
      <c r="Y446" s="493"/>
      <c r="Z446" s="456"/>
      <c r="AA446" s="493"/>
      <c r="AB446" s="456"/>
      <c r="AC446" s="493"/>
      <c r="AD446" s="456"/>
      <c r="AE446" s="493"/>
      <c r="AF446" s="449">
        <f t="shared" si="147"/>
        <v>0</v>
      </c>
      <c r="AG446" s="450">
        <f t="shared" si="148"/>
        <v>0</v>
      </c>
      <c r="AH446" s="451">
        <f t="shared" si="149"/>
        <v>0</v>
      </c>
      <c r="AI446" s="451">
        <f t="shared" si="150"/>
        <v>0</v>
      </c>
      <c r="AJ446" s="456"/>
      <c r="AK446" s="493"/>
      <c r="AL446" s="449">
        <f t="shared" si="151"/>
        <v>0</v>
      </c>
      <c r="AM446" s="452">
        <f t="shared" si="152"/>
        <v>0</v>
      </c>
      <c r="AN446" s="456"/>
      <c r="AO446" s="493"/>
      <c r="AP446" s="456">
        <v>0</v>
      </c>
      <c r="AQ446" s="493">
        <v>0</v>
      </c>
      <c r="AR446" s="456">
        <v>0</v>
      </c>
      <c r="AS446" s="493">
        <v>0</v>
      </c>
      <c r="AT446" s="456">
        <v>0</v>
      </c>
      <c r="AU446" s="493">
        <v>0</v>
      </c>
      <c r="AV446" s="449">
        <f t="shared" si="153"/>
        <v>0</v>
      </c>
      <c r="AW446" s="453">
        <f t="shared" si="154"/>
        <v>0</v>
      </c>
      <c r="AX446" s="451">
        <f t="shared" si="155"/>
        <v>0</v>
      </c>
      <c r="AY446" s="454">
        <f t="shared" si="156"/>
        <v>0</v>
      </c>
      <c r="AZ446" s="455">
        <f t="shared" si="157"/>
        <v>4125.666666666667</v>
      </c>
      <c r="BA446" s="451">
        <f t="shared" si="158"/>
        <v>3760.6240000000003</v>
      </c>
    </row>
    <row r="447" spans="1:53">
      <c r="A447" s="817" t="s">
        <v>248</v>
      </c>
      <c r="B447" s="665" t="s">
        <v>959</v>
      </c>
      <c r="C447" s="666"/>
      <c r="D447" s="814">
        <v>218991</v>
      </c>
      <c r="E447" s="815">
        <v>9</v>
      </c>
      <c r="F447" s="491" t="s">
        <v>41</v>
      </c>
      <c r="G447" s="492"/>
      <c r="H447" s="456"/>
      <c r="I447" s="493"/>
      <c r="J447" s="456">
        <v>51312</v>
      </c>
      <c r="K447" s="493">
        <v>47903.6</v>
      </c>
      <c r="L447" s="456">
        <v>19858</v>
      </c>
      <c r="M447" s="493">
        <v>17984</v>
      </c>
      <c r="N447" s="456">
        <v>54226</v>
      </c>
      <c r="O447" s="493">
        <v>49795.06</v>
      </c>
      <c r="P447" s="449">
        <f t="shared" si="141"/>
        <v>125396</v>
      </c>
      <c r="Q447" s="450">
        <f t="shared" si="142"/>
        <v>4179.8666666666668</v>
      </c>
      <c r="R447" s="451">
        <f t="shared" si="143"/>
        <v>115682.66</v>
      </c>
      <c r="S447" s="452">
        <f t="shared" si="144"/>
        <v>3856.088666666667</v>
      </c>
      <c r="T447" s="456">
        <v>1980</v>
      </c>
      <c r="U447" s="493">
        <v>2893</v>
      </c>
      <c r="V447" s="449">
        <f t="shared" si="145"/>
        <v>125396</v>
      </c>
      <c r="W447" s="448">
        <f t="shared" si="146"/>
        <v>115682.66</v>
      </c>
      <c r="X447" s="456"/>
      <c r="Y447" s="493"/>
      <c r="Z447" s="456"/>
      <c r="AA447" s="493"/>
      <c r="AB447" s="456"/>
      <c r="AC447" s="493"/>
      <c r="AD447" s="456"/>
      <c r="AE447" s="493"/>
      <c r="AF447" s="449">
        <f t="shared" si="147"/>
        <v>0</v>
      </c>
      <c r="AG447" s="450">
        <f t="shared" si="148"/>
        <v>0</v>
      </c>
      <c r="AH447" s="451">
        <f t="shared" si="149"/>
        <v>0</v>
      </c>
      <c r="AI447" s="451">
        <f t="shared" si="150"/>
        <v>0</v>
      </c>
      <c r="AJ447" s="456"/>
      <c r="AK447" s="493"/>
      <c r="AL447" s="449">
        <f t="shared" si="151"/>
        <v>0</v>
      </c>
      <c r="AM447" s="452">
        <f t="shared" si="152"/>
        <v>0</v>
      </c>
      <c r="AN447" s="456"/>
      <c r="AO447" s="493"/>
      <c r="AP447" s="456">
        <v>0</v>
      </c>
      <c r="AQ447" s="493">
        <v>0</v>
      </c>
      <c r="AR447" s="456">
        <v>0</v>
      </c>
      <c r="AS447" s="493">
        <v>0</v>
      </c>
      <c r="AT447" s="456">
        <v>0</v>
      </c>
      <c r="AU447" s="493">
        <v>0</v>
      </c>
      <c r="AV447" s="449">
        <f t="shared" si="153"/>
        <v>0</v>
      </c>
      <c r="AW447" s="453">
        <f t="shared" si="154"/>
        <v>0</v>
      </c>
      <c r="AX447" s="451">
        <f t="shared" si="155"/>
        <v>0</v>
      </c>
      <c r="AY447" s="454">
        <f t="shared" si="156"/>
        <v>0</v>
      </c>
      <c r="AZ447" s="455">
        <f t="shared" si="157"/>
        <v>4179.8666666666668</v>
      </c>
      <c r="BA447" s="451">
        <f t="shared" si="158"/>
        <v>3856.088666666667</v>
      </c>
    </row>
    <row r="448" spans="1:53">
      <c r="A448" s="817" t="s">
        <v>248</v>
      </c>
      <c r="B448" s="818" t="s">
        <v>960</v>
      </c>
      <c r="C448" s="819"/>
      <c r="D448" s="814">
        <v>217989</v>
      </c>
      <c r="E448" s="815">
        <v>10</v>
      </c>
      <c r="F448" s="491" t="s">
        <v>41</v>
      </c>
      <c r="G448" s="492"/>
      <c r="H448" s="456"/>
      <c r="I448" s="493"/>
      <c r="J448" s="456">
        <v>20958</v>
      </c>
      <c r="K448" s="493">
        <v>15952.09</v>
      </c>
      <c r="L448" s="456">
        <v>12127</v>
      </c>
      <c r="M448" s="493">
        <v>9961.75</v>
      </c>
      <c r="N448" s="456">
        <v>21222</v>
      </c>
      <c r="O448" s="493">
        <v>11733.73</v>
      </c>
      <c r="P448" s="449">
        <f t="shared" si="141"/>
        <v>54307</v>
      </c>
      <c r="Q448" s="450">
        <f t="shared" si="142"/>
        <v>1810.2333333333333</v>
      </c>
      <c r="R448" s="451">
        <f t="shared" si="143"/>
        <v>37647.57</v>
      </c>
      <c r="S448" s="452">
        <f t="shared" si="144"/>
        <v>1254.9190000000001</v>
      </c>
      <c r="T448" s="456"/>
      <c r="U448" s="493">
        <v>319</v>
      </c>
      <c r="V448" s="449">
        <f t="shared" si="145"/>
        <v>0</v>
      </c>
      <c r="W448" s="448">
        <f t="shared" si="146"/>
        <v>37647.57</v>
      </c>
      <c r="X448" s="456"/>
      <c r="Y448" s="493"/>
      <c r="Z448" s="456"/>
      <c r="AA448" s="493"/>
      <c r="AB448" s="456"/>
      <c r="AC448" s="493"/>
      <c r="AD448" s="456"/>
      <c r="AE448" s="493"/>
      <c r="AF448" s="449">
        <f t="shared" si="147"/>
        <v>0</v>
      </c>
      <c r="AG448" s="450">
        <f t="shared" si="148"/>
        <v>0</v>
      </c>
      <c r="AH448" s="451">
        <f t="shared" si="149"/>
        <v>0</v>
      </c>
      <c r="AI448" s="451">
        <f t="shared" si="150"/>
        <v>0</v>
      </c>
      <c r="AJ448" s="456"/>
      <c r="AK448" s="493"/>
      <c r="AL448" s="449">
        <f t="shared" si="151"/>
        <v>0</v>
      </c>
      <c r="AM448" s="452">
        <f t="shared" si="152"/>
        <v>0</v>
      </c>
      <c r="AN448" s="456"/>
      <c r="AO448" s="493"/>
      <c r="AP448" s="456">
        <v>0</v>
      </c>
      <c r="AQ448" s="493">
        <v>0</v>
      </c>
      <c r="AR448" s="456">
        <v>0</v>
      </c>
      <c r="AS448" s="493">
        <v>0</v>
      </c>
      <c r="AT448" s="456">
        <v>0</v>
      </c>
      <c r="AU448" s="493">
        <v>0</v>
      </c>
      <c r="AV448" s="449">
        <f t="shared" si="153"/>
        <v>0</v>
      </c>
      <c r="AW448" s="453">
        <f t="shared" si="154"/>
        <v>0</v>
      </c>
      <c r="AX448" s="451">
        <f t="shared" si="155"/>
        <v>0</v>
      </c>
      <c r="AY448" s="454">
        <f t="shared" si="156"/>
        <v>0</v>
      </c>
      <c r="AZ448" s="455">
        <f t="shared" si="157"/>
        <v>1810.2333333333333</v>
      </c>
      <c r="BA448" s="451">
        <f t="shared" si="158"/>
        <v>1254.9190000000001</v>
      </c>
    </row>
    <row r="449" spans="1:53">
      <c r="A449" s="817" t="s">
        <v>248</v>
      </c>
      <c r="B449" s="818" t="s">
        <v>961</v>
      </c>
      <c r="C449" s="819"/>
      <c r="D449" s="814">
        <v>217837</v>
      </c>
      <c r="E449" s="815">
        <v>10</v>
      </c>
      <c r="F449" s="491" t="s">
        <v>41</v>
      </c>
      <c r="G449" s="492"/>
      <c r="H449" s="456"/>
      <c r="I449" s="493"/>
      <c r="J449" s="456">
        <v>12003</v>
      </c>
      <c r="K449" s="493">
        <v>10611.990000000002</v>
      </c>
      <c r="L449" s="456">
        <v>5222</v>
      </c>
      <c r="M449" s="493">
        <v>5521.44</v>
      </c>
      <c r="N449" s="456">
        <v>12928</v>
      </c>
      <c r="O449" s="493">
        <v>13203.259999999998</v>
      </c>
      <c r="P449" s="449">
        <f t="shared" si="141"/>
        <v>30153</v>
      </c>
      <c r="Q449" s="450">
        <f t="shared" si="142"/>
        <v>1005.1</v>
      </c>
      <c r="R449" s="451">
        <f t="shared" si="143"/>
        <v>29336.69</v>
      </c>
      <c r="S449" s="452">
        <f t="shared" si="144"/>
        <v>977.88966666666659</v>
      </c>
      <c r="T449" s="456">
        <v>1060</v>
      </c>
      <c r="U449" s="493">
        <v>1466</v>
      </c>
      <c r="V449" s="449">
        <f t="shared" si="145"/>
        <v>30153</v>
      </c>
      <c r="W449" s="448">
        <f t="shared" si="146"/>
        <v>29336.69</v>
      </c>
      <c r="X449" s="456"/>
      <c r="Y449" s="493"/>
      <c r="Z449" s="456"/>
      <c r="AA449" s="493"/>
      <c r="AB449" s="456"/>
      <c r="AC449" s="493"/>
      <c r="AD449" s="456"/>
      <c r="AE449" s="493"/>
      <c r="AF449" s="449">
        <f t="shared" si="147"/>
        <v>0</v>
      </c>
      <c r="AG449" s="450">
        <f t="shared" si="148"/>
        <v>0</v>
      </c>
      <c r="AH449" s="451">
        <f t="shared" si="149"/>
        <v>0</v>
      </c>
      <c r="AI449" s="451">
        <f t="shared" si="150"/>
        <v>0</v>
      </c>
      <c r="AJ449" s="456"/>
      <c r="AK449" s="493"/>
      <c r="AL449" s="449">
        <f t="shared" si="151"/>
        <v>0</v>
      </c>
      <c r="AM449" s="452">
        <f t="shared" si="152"/>
        <v>0</v>
      </c>
      <c r="AN449" s="456"/>
      <c r="AO449" s="493"/>
      <c r="AP449" s="456">
        <v>0</v>
      </c>
      <c r="AQ449" s="493">
        <v>0</v>
      </c>
      <c r="AR449" s="456">
        <v>0</v>
      </c>
      <c r="AS449" s="493">
        <v>0</v>
      </c>
      <c r="AT449" s="456">
        <v>0</v>
      </c>
      <c r="AU449" s="493">
        <v>0</v>
      </c>
      <c r="AV449" s="449">
        <f t="shared" si="153"/>
        <v>0</v>
      </c>
      <c r="AW449" s="453">
        <f t="shared" si="154"/>
        <v>0</v>
      </c>
      <c r="AX449" s="451">
        <f t="shared" si="155"/>
        <v>0</v>
      </c>
      <c r="AY449" s="454">
        <f t="shared" si="156"/>
        <v>0</v>
      </c>
      <c r="AZ449" s="455">
        <f t="shared" si="157"/>
        <v>1005.1</v>
      </c>
      <c r="BA449" s="451">
        <f t="shared" si="158"/>
        <v>977.88966666666659</v>
      </c>
    </row>
    <row r="450" spans="1:53">
      <c r="A450" s="817" t="s">
        <v>248</v>
      </c>
      <c r="B450" s="818" t="s">
        <v>962</v>
      </c>
      <c r="C450" s="819"/>
      <c r="D450" s="814">
        <v>217712</v>
      </c>
      <c r="E450" s="815">
        <v>10</v>
      </c>
      <c r="F450" s="491" t="s">
        <v>41</v>
      </c>
      <c r="G450" s="492"/>
      <c r="H450" s="456"/>
      <c r="I450" s="493"/>
      <c r="J450" s="456">
        <v>20816</v>
      </c>
      <c r="K450" s="493">
        <v>21166.22</v>
      </c>
      <c r="L450" s="456">
        <v>9361</v>
      </c>
      <c r="M450" s="493">
        <v>9369.8799999999992</v>
      </c>
      <c r="N450" s="456">
        <v>24043</v>
      </c>
      <c r="O450" s="493">
        <v>21721.149999999998</v>
      </c>
      <c r="P450" s="449">
        <f t="shared" si="141"/>
        <v>54220</v>
      </c>
      <c r="Q450" s="450">
        <f t="shared" si="142"/>
        <v>1807.3333333333333</v>
      </c>
      <c r="R450" s="451">
        <f t="shared" si="143"/>
        <v>52257.25</v>
      </c>
      <c r="S450" s="452">
        <f t="shared" si="144"/>
        <v>1741.9083333333333</v>
      </c>
      <c r="T450" s="456">
        <v>3415</v>
      </c>
      <c r="U450" s="493">
        <v>4658</v>
      </c>
      <c r="V450" s="449">
        <f t="shared" si="145"/>
        <v>54220</v>
      </c>
      <c r="W450" s="448">
        <f t="shared" si="146"/>
        <v>52257.25</v>
      </c>
      <c r="X450" s="456"/>
      <c r="Y450" s="493"/>
      <c r="Z450" s="456"/>
      <c r="AA450" s="493"/>
      <c r="AB450" s="456"/>
      <c r="AC450" s="493"/>
      <c r="AD450" s="456"/>
      <c r="AE450" s="493"/>
      <c r="AF450" s="449">
        <f t="shared" si="147"/>
        <v>0</v>
      </c>
      <c r="AG450" s="450">
        <f t="shared" si="148"/>
        <v>0</v>
      </c>
      <c r="AH450" s="451">
        <f t="shared" si="149"/>
        <v>0</v>
      </c>
      <c r="AI450" s="451">
        <f t="shared" si="150"/>
        <v>0</v>
      </c>
      <c r="AJ450" s="456"/>
      <c r="AK450" s="493"/>
      <c r="AL450" s="449">
        <f t="shared" si="151"/>
        <v>0</v>
      </c>
      <c r="AM450" s="452">
        <f t="shared" si="152"/>
        <v>0</v>
      </c>
      <c r="AN450" s="456"/>
      <c r="AO450" s="493"/>
      <c r="AP450" s="456">
        <v>0</v>
      </c>
      <c r="AQ450" s="493">
        <v>0</v>
      </c>
      <c r="AR450" s="456">
        <v>0</v>
      </c>
      <c r="AS450" s="493">
        <v>0</v>
      </c>
      <c r="AT450" s="456">
        <v>0</v>
      </c>
      <c r="AU450" s="493">
        <v>0</v>
      </c>
      <c r="AV450" s="449">
        <f t="shared" si="153"/>
        <v>0</v>
      </c>
      <c r="AW450" s="453">
        <f t="shared" si="154"/>
        <v>0</v>
      </c>
      <c r="AX450" s="451">
        <f t="shared" si="155"/>
        <v>0</v>
      </c>
      <c r="AY450" s="454">
        <f t="shared" si="156"/>
        <v>0</v>
      </c>
      <c r="AZ450" s="455">
        <f t="shared" si="157"/>
        <v>1807.3333333333333</v>
      </c>
      <c r="BA450" s="451">
        <f t="shared" si="158"/>
        <v>1741.9083333333333</v>
      </c>
    </row>
    <row r="451" spans="1:53">
      <c r="A451" s="817" t="s">
        <v>248</v>
      </c>
      <c r="B451" s="818" t="s">
        <v>963</v>
      </c>
      <c r="C451" s="819"/>
      <c r="D451" s="814">
        <v>218672</v>
      </c>
      <c r="E451" s="815">
        <v>10</v>
      </c>
      <c r="F451" s="491" t="s">
        <v>41</v>
      </c>
      <c r="G451" s="492"/>
      <c r="H451" s="456"/>
      <c r="I451" s="493"/>
      <c r="J451" s="456">
        <v>15355</v>
      </c>
      <c r="K451" s="493">
        <v>13966</v>
      </c>
      <c r="L451" s="456">
        <v>1350</v>
      </c>
      <c r="M451" s="493">
        <v>1638</v>
      </c>
      <c r="N451" s="456">
        <v>17430</v>
      </c>
      <c r="O451" s="493">
        <v>17510</v>
      </c>
      <c r="P451" s="449">
        <f t="shared" si="141"/>
        <v>34135</v>
      </c>
      <c r="Q451" s="450">
        <f t="shared" si="142"/>
        <v>1137.8333333333333</v>
      </c>
      <c r="R451" s="451">
        <f t="shared" si="143"/>
        <v>33114</v>
      </c>
      <c r="S451" s="452">
        <f t="shared" si="144"/>
        <v>1103.8</v>
      </c>
      <c r="T451" s="456">
        <v>3999</v>
      </c>
      <c r="U451" s="493"/>
      <c r="V451" s="449">
        <f t="shared" si="145"/>
        <v>34135</v>
      </c>
      <c r="W451" s="448">
        <f t="shared" si="146"/>
        <v>0</v>
      </c>
      <c r="X451" s="456"/>
      <c r="Y451" s="493"/>
      <c r="Z451" s="456"/>
      <c r="AA451" s="493"/>
      <c r="AB451" s="456"/>
      <c r="AC451" s="493"/>
      <c r="AD451" s="456"/>
      <c r="AE451" s="493"/>
      <c r="AF451" s="449">
        <f t="shared" si="147"/>
        <v>0</v>
      </c>
      <c r="AG451" s="450">
        <f t="shared" si="148"/>
        <v>0</v>
      </c>
      <c r="AH451" s="451">
        <f t="shared" si="149"/>
        <v>0</v>
      </c>
      <c r="AI451" s="451">
        <f t="shared" si="150"/>
        <v>0</v>
      </c>
      <c r="AJ451" s="456"/>
      <c r="AK451" s="493"/>
      <c r="AL451" s="449">
        <f t="shared" si="151"/>
        <v>0</v>
      </c>
      <c r="AM451" s="452">
        <f t="shared" si="152"/>
        <v>0</v>
      </c>
      <c r="AN451" s="456"/>
      <c r="AO451" s="493"/>
      <c r="AP451" s="456">
        <v>0</v>
      </c>
      <c r="AQ451" s="493">
        <v>0</v>
      </c>
      <c r="AR451" s="456">
        <v>0</v>
      </c>
      <c r="AS451" s="493">
        <v>0</v>
      </c>
      <c r="AT451" s="456">
        <v>0</v>
      </c>
      <c r="AU451" s="493">
        <v>0</v>
      </c>
      <c r="AV451" s="449">
        <f t="shared" si="153"/>
        <v>0</v>
      </c>
      <c r="AW451" s="453">
        <f t="shared" si="154"/>
        <v>0</v>
      </c>
      <c r="AX451" s="451">
        <f t="shared" si="155"/>
        <v>0</v>
      </c>
      <c r="AY451" s="454">
        <f t="shared" si="156"/>
        <v>0</v>
      </c>
      <c r="AZ451" s="455">
        <f t="shared" si="157"/>
        <v>1137.8333333333333</v>
      </c>
      <c r="BA451" s="451">
        <f t="shared" si="158"/>
        <v>1103.8</v>
      </c>
    </row>
    <row r="452" spans="1:53">
      <c r="A452" s="817" t="s">
        <v>248</v>
      </c>
      <c r="B452" s="818" t="s">
        <v>964</v>
      </c>
      <c r="C452" s="819"/>
      <c r="D452" s="814">
        <v>218681</v>
      </c>
      <c r="E452" s="815">
        <v>10</v>
      </c>
      <c r="F452" s="491" t="s">
        <v>41</v>
      </c>
      <c r="G452" s="492"/>
      <c r="H452" s="456"/>
      <c r="I452" s="493"/>
      <c r="J452" s="456">
        <v>10712</v>
      </c>
      <c r="K452" s="493">
        <v>9445</v>
      </c>
      <c r="L452" s="456">
        <v>389</v>
      </c>
      <c r="M452" s="493">
        <v>380</v>
      </c>
      <c r="N452" s="456">
        <v>11304</v>
      </c>
      <c r="O452" s="493">
        <v>11179</v>
      </c>
      <c r="P452" s="449">
        <f t="shared" si="141"/>
        <v>22405</v>
      </c>
      <c r="Q452" s="450">
        <f t="shared" si="142"/>
        <v>746.83333333333337</v>
      </c>
      <c r="R452" s="451">
        <f t="shared" si="143"/>
        <v>21004</v>
      </c>
      <c r="S452" s="452">
        <f t="shared" si="144"/>
        <v>700.13333333333333</v>
      </c>
      <c r="T452" s="456">
        <v>1770</v>
      </c>
      <c r="U452" s="493"/>
      <c r="V452" s="449">
        <f t="shared" si="145"/>
        <v>22405</v>
      </c>
      <c r="W452" s="448">
        <f t="shared" si="146"/>
        <v>0</v>
      </c>
      <c r="X452" s="456"/>
      <c r="Y452" s="493"/>
      <c r="Z452" s="456"/>
      <c r="AA452" s="493"/>
      <c r="AB452" s="456"/>
      <c r="AC452" s="493"/>
      <c r="AD452" s="456"/>
      <c r="AE452" s="493"/>
      <c r="AF452" s="449">
        <f t="shared" si="147"/>
        <v>0</v>
      </c>
      <c r="AG452" s="450">
        <f t="shared" si="148"/>
        <v>0</v>
      </c>
      <c r="AH452" s="451">
        <f t="shared" si="149"/>
        <v>0</v>
      </c>
      <c r="AI452" s="451">
        <f t="shared" si="150"/>
        <v>0</v>
      </c>
      <c r="AJ452" s="456"/>
      <c r="AK452" s="493"/>
      <c r="AL452" s="449">
        <f t="shared" si="151"/>
        <v>0</v>
      </c>
      <c r="AM452" s="452">
        <f t="shared" si="152"/>
        <v>0</v>
      </c>
      <c r="AN452" s="456"/>
      <c r="AO452" s="493"/>
      <c r="AP452" s="456">
        <v>0</v>
      </c>
      <c r="AQ452" s="493">
        <v>0</v>
      </c>
      <c r="AR452" s="456">
        <v>0</v>
      </c>
      <c r="AS452" s="493">
        <v>0</v>
      </c>
      <c r="AT452" s="456">
        <v>0</v>
      </c>
      <c r="AU452" s="493">
        <v>0</v>
      </c>
      <c r="AV452" s="449">
        <f t="shared" si="153"/>
        <v>0</v>
      </c>
      <c r="AW452" s="453">
        <f t="shared" si="154"/>
        <v>0</v>
      </c>
      <c r="AX452" s="451">
        <f t="shared" si="155"/>
        <v>0</v>
      </c>
      <c r="AY452" s="454">
        <f t="shared" si="156"/>
        <v>0</v>
      </c>
      <c r="AZ452" s="455">
        <f t="shared" si="157"/>
        <v>746.83333333333337</v>
      </c>
      <c r="BA452" s="451">
        <f t="shared" si="158"/>
        <v>700.13333333333333</v>
      </c>
    </row>
    <row r="453" spans="1:53">
      <c r="A453" s="817" t="s">
        <v>248</v>
      </c>
      <c r="B453" s="818" t="s">
        <v>965</v>
      </c>
      <c r="C453" s="819"/>
      <c r="D453" s="814">
        <v>218690</v>
      </c>
      <c r="E453" s="815">
        <v>10</v>
      </c>
      <c r="F453" s="491" t="s">
        <v>41</v>
      </c>
      <c r="G453" s="492"/>
      <c r="H453" s="456"/>
      <c r="I453" s="493"/>
      <c r="J453" s="456">
        <v>8986</v>
      </c>
      <c r="K453" s="493">
        <v>9054</v>
      </c>
      <c r="L453" s="456">
        <v>1029</v>
      </c>
      <c r="M453" s="493">
        <v>1218</v>
      </c>
      <c r="N453" s="456">
        <v>10284</v>
      </c>
      <c r="O453" s="493">
        <v>9825</v>
      </c>
      <c r="P453" s="449">
        <f t="shared" si="141"/>
        <v>20299</v>
      </c>
      <c r="Q453" s="450">
        <f t="shared" si="142"/>
        <v>676.63333333333333</v>
      </c>
      <c r="R453" s="451">
        <f t="shared" si="143"/>
        <v>20097</v>
      </c>
      <c r="S453" s="452">
        <f t="shared" si="144"/>
        <v>669.9</v>
      </c>
      <c r="T453" s="456">
        <v>861</v>
      </c>
      <c r="U453" s="493"/>
      <c r="V453" s="449">
        <f t="shared" si="145"/>
        <v>20299</v>
      </c>
      <c r="W453" s="448">
        <f t="shared" si="146"/>
        <v>0</v>
      </c>
      <c r="X453" s="456"/>
      <c r="Y453" s="493"/>
      <c r="Z453" s="456"/>
      <c r="AA453" s="493"/>
      <c r="AB453" s="456"/>
      <c r="AC453" s="493"/>
      <c r="AD453" s="456"/>
      <c r="AE453" s="493"/>
      <c r="AF453" s="449">
        <f t="shared" si="147"/>
        <v>0</v>
      </c>
      <c r="AG453" s="450">
        <f t="shared" si="148"/>
        <v>0</v>
      </c>
      <c r="AH453" s="451">
        <f t="shared" si="149"/>
        <v>0</v>
      </c>
      <c r="AI453" s="451">
        <f t="shared" si="150"/>
        <v>0</v>
      </c>
      <c r="AJ453" s="456"/>
      <c r="AK453" s="493"/>
      <c r="AL453" s="449">
        <f t="shared" si="151"/>
        <v>0</v>
      </c>
      <c r="AM453" s="452">
        <f t="shared" si="152"/>
        <v>0</v>
      </c>
      <c r="AN453" s="456"/>
      <c r="AO453" s="493"/>
      <c r="AP453" s="456">
        <v>0</v>
      </c>
      <c r="AQ453" s="493">
        <v>0</v>
      </c>
      <c r="AR453" s="456">
        <v>0</v>
      </c>
      <c r="AS453" s="493">
        <v>0</v>
      </c>
      <c r="AT453" s="456">
        <v>0</v>
      </c>
      <c r="AU453" s="493">
        <v>0</v>
      </c>
      <c r="AV453" s="449">
        <f t="shared" si="153"/>
        <v>0</v>
      </c>
      <c r="AW453" s="453">
        <f t="shared" si="154"/>
        <v>0</v>
      </c>
      <c r="AX453" s="451">
        <f t="shared" si="155"/>
        <v>0</v>
      </c>
      <c r="AY453" s="454">
        <f t="shared" si="156"/>
        <v>0</v>
      </c>
      <c r="AZ453" s="455">
        <f t="shared" si="157"/>
        <v>676.63333333333333</v>
      </c>
      <c r="BA453" s="451">
        <f t="shared" si="158"/>
        <v>669.9</v>
      </c>
    </row>
    <row r="454" spans="1:53">
      <c r="A454" s="817" t="s">
        <v>248</v>
      </c>
      <c r="B454" s="818" t="s">
        <v>966</v>
      </c>
      <c r="C454" s="819"/>
      <c r="D454" s="814">
        <v>218706</v>
      </c>
      <c r="E454" s="815">
        <v>10</v>
      </c>
      <c r="F454" s="491" t="s">
        <v>41</v>
      </c>
      <c r="G454" s="492"/>
      <c r="H454" s="456"/>
      <c r="I454" s="493"/>
      <c r="J454" s="456">
        <v>5648</v>
      </c>
      <c r="K454" s="493">
        <v>5366</v>
      </c>
      <c r="L454" s="456">
        <v>218</v>
      </c>
      <c r="M454" s="493">
        <v>153</v>
      </c>
      <c r="N454" s="456">
        <v>6200</v>
      </c>
      <c r="O454" s="493">
        <v>5003</v>
      </c>
      <c r="P454" s="449">
        <f t="shared" si="141"/>
        <v>12066</v>
      </c>
      <c r="Q454" s="450">
        <f t="shared" si="142"/>
        <v>402.2</v>
      </c>
      <c r="R454" s="451">
        <f t="shared" si="143"/>
        <v>10522</v>
      </c>
      <c r="S454" s="452">
        <f t="shared" si="144"/>
        <v>350.73333333333335</v>
      </c>
      <c r="T454" s="456">
        <v>2397</v>
      </c>
      <c r="U454" s="493"/>
      <c r="V454" s="449">
        <f t="shared" si="145"/>
        <v>12066</v>
      </c>
      <c r="W454" s="448">
        <f t="shared" si="146"/>
        <v>0</v>
      </c>
      <c r="X454" s="456"/>
      <c r="Y454" s="493"/>
      <c r="Z454" s="456"/>
      <c r="AA454" s="493"/>
      <c r="AB454" s="456"/>
      <c r="AC454" s="493"/>
      <c r="AD454" s="456"/>
      <c r="AE454" s="493"/>
      <c r="AF454" s="449">
        <f t="shared" si="147"/>
        <v>0</v>
      </c>
      <c r="AG454" s="450">
        <f t="shared" si="148"/>
        <v>0</v>
      </c>
      <c r="AH454" s="451">
        <f t="shared" si="149"/>
        <v>0</v>
      </c>
      <c r="AI454" s="451">
        <f t="shared" si="150"/>
        <v>0</v>
      </c>
      <c r="AJ454" s="456"/>
      <c r="AK454" s="493"/>
      <c r="AL454" s="449">
        <f t="shared" si="151"/>
        <v>0</v>
      </c>
      <c r="AM454" s="452">
        <f t="shared" si="152"/>
        <v>0</v>
      </c>
      <c r="AN454" s="456"/>
      <c r="AO454" s="493"/>
      <c r="AP454" s="456">
        <v>0</v>
      </c>
      <c r="AQ454" s="493">
        <v>0</v>
      </c>
      <c r="AR454" s="456">
        <v>0</v>
      </c>
      <c r="AS454" s="493">
        <v>0</v>
      </c>
      <c r="AT454" s="456">
        <v>0</v>
      </c>
      <c r="AU454" s="493">
        <v>0</v>
      </c>
      <c r="AV454" s="449">
        <f t="shared" si="153"/>
        <v>0</v>
      </c>
      <c r="AW454" s="453">
        <f t="shared" si="154"/>
        <v>0</v>
      </c>
      <c r="AX454" s="451">
        <f t="shared" si="155"/>
        <v>0</v>
      </c>
      <c r="AY454" s="454">
        <f t="shared" si="156"/>
        <v>0</v>
      </c>
      <c r="AZ454" s="455">
        <f t="shared" si="157"/>
        <v>402.2</v>
      </c>
      <c r="BA454" s="451">
        <f t="shared" si="158"/>
        <v>350.73333333333335</v>
      </c>
    </row>
    <row r="455" spans="1:53">
      <c r="A455" s="817" t="s">
        <v>248</v>
      </c>
      <c r="B455" s="818" t="s">
        <v>967</v>
      </c>
      <c r="C455" s="819"/>
      <c r="D455" s="814">
        <v>218955</v>
      </c>
      <c r="E455" s="815">
        <v>10</v>
      </c>
      <c r="F455" s="491" t="s">
        <v>41</v>
      </c>
      <c r="G455" s="492"/>
      <c r="H455" s="456"/>
      <c r="I455" s="493"/>
      <c r="J455" s="456">
        <v>6376</v>
      </c>
      <c r="K455" s="493">
        <v>5733.1399999999994</v>
      </c>
      <c r="L455" s="456">
        <v>2281</v>
      </c>
      <c r="M455" s="493">
        <v>2722.52</v>
      </c>
      <c r="N455" s="456">
        <v>6333</v>
      </c>
      <c r="O455" s="493">
        <v>6093.0199999999995</v>
      </c>
      <c r="P455" s="449">
        <f t="shared" si="141"/>
        <v>14990</v>
      </c>
      <c r="Q455" s="450">
        <f t="shared" si="142"/>
        <v>499.66666666666669</v>
      </c>
      <c r="R455" s="451">
        <f t="shared" si="143"/>
        <v>14548.68</v>
      </c>
      <c r="S455" s="452">
        <f t="shared" si="144"/>
        <v>484.95600000000002</v>
      </c>
      <c r="T455" s="456">
        <v>474</v>
      </c>
      <c r="U455" s="493"/>
      <c r="V455" s="449">
        <f t="shared" si="145"/>
        <v>14990</v>
      </c>
      <c r="W455" s="448">
        <f t="shared" si="146"/>
        <v>0</v>
      </c>
      <c r="X455" s="456"/>
      <c r="Y455" s="493"/>
      <c r="Z455" s="456"/>
      <c r="AA455" s="493"/>
      <c r="AB455" s="456"/>
      <c r="AC455" s="493"/>
      <c r="AD455" s="456"/>
      <c r="AE455" s="493"/>
      <c r="AF455" s="449">
        <f t="shared" si="147"/>
        <v>0</v>
      </c>
      <c r="AG455" s="450">
        <f t="shared" si="148"/>
        <v>0</v>
      </c>
      <c r="AH455" s="451">
        <f t="shared" si="149"/>
        <v>0</v>
      </c>
      <c r="AI455" s="451">
        <f t="shared" si="150"/>
        <v>0</v>
      </c>
      <c r="AJ455" s="456"/>
      <c r="AK455" s="493"/>
      <c r="AL455" s="449">
        <f t="shared" si="151"/>
        <v>0</v>
      </c>
      <c r="AM455" s="452">
        <f t="shared" si="152"/>
        <v>0</v>
      </c>
      <c r="AN455" s="456"/>
      <c r="AO455" s="493"/>
      <c r="AP455" s="456">
        <v>0</v>
      </c>
      <c r="AQ455" s="493">
        <v>0</v>
      </c>
      <c r="AR455" s="456">
        <v>0</v>
      </c>
      <c r="AS455" s="493"/>
      <c r="AT455" s="456">
        <v>0</v>
      </c>
      <c r="AU455" s="493">
        <v>0</v>
      </c>
      <c r="AV455" s="449">
        <f t="shared" si="153"/>
        <v>0</v>
      </c>
      <c r="AW455" s="453">
        <f t="shared" si="154"/>
        <v>0</v>
      </c>
      <c r="AX455" s="451">
        <f t="shared" si="155"/>
        <v>0</v>
      </c>
      <c r="AY455" s="454">
        <f t="shared" si="156"/>
        <v>0</v>
      </c>
      <c r="AZ455" s="455">
        <f t="shared" si="157"/>
        <v>499.66666666666669</v>
      </c>
      <c r="BA455" s="451">
        <f t="shared" si="158"/>
        <v>484.95600000000002</v>
      </c>
    </row>
    <row r="456" spans="1:53">
      <c r="A456" s="600" t="s">
        <v>237</v>
      </c>
      <c r="B456" s="601" t="s">
        <v>409</v>
      </c>
      <c r="C456" s="610"/>
      <c r="D456" s="603">
        <v>220862</v>
      </c>
      <c r="E456" s="604">
        <v>1</v>
      </c>
      <c r="F456" s="491" t="s">
        <v>41</v>
      </c>
      <c r="G456" s="492" t="s">
        <v>41</v>
      </c>
      <c r="H456" s="456"/>
      <c r="I456" s="493"/>
      <c r="J456" s="456">
        <v>191419</v>
      </c>
      <c r="K456" s="493">
        <v>192627</v>
      </c>
      <c r="L456" s="456">
        <v>23420</v>
      </c>
      <c r="M456" s="493">
        <v>24783</v>
      </c>
      <c r="N456" s="456">
        <v>209005</v>
      </c>
      <c r="O456" s="493">
        <v>203102</v>
      </c>
      <c r="P456" s="449">
        <f t="shared" ref="P456:P519" si="159">SUM(H456,J456,L456,N456)</f>
        <v>423844</v>
      </c>
      <c r="Q456" s="450">
        <f t="shared" ref="Q456:Q519" si="160">+P456/30</f>
        <v>14128.133333333333</v>
      </c>
      <c r="R456" s="451">
        <f t="shared" ref="R456:R519" si="161">SUM(I456,K456,M456,O456)</f>
        <v>420512</v>
      </c>
      <c r="S456" s="452">
        <f t="shared" ref="S456:S519" si="162">+R456/30</f>
        <v>14017.066666666668</v>
      </c>
      <c r="T456" s="456"/>
      <c r="U456" s="493">
        <v>7128</v>
      </c>
      <c r="V456" s="449">
        <f t="shared" ref="V456:V519" si="163">IF(ISBLANK(T456),0,P456)</f>
        <v>0</v>
      </c>
      <c r="W456" s="448">
        <f t="shared" ref="W456:W519" si="164">IF(ISBLANK(U456),0,R456)</f>
        <v>420512</v>
      </c>
      <c r="X456" s="456"/>
      <c r="Y456" s="493"/>
      <c r="Z456" s="456"/>
      <c r="AA456" s="493"/>
      <c r="AB456" s="456"/>
      <c r="AC456" s="493"/>
      <c r="AD456" s="456"/>
      <c r="AE456" s="493"/>
      <c r="AF456" s="449">
        <f t="shared" ref="AF456:AF519" si="165">SUM(X456,Z456,AB456,AD456)</f>
        <v>0</v>
      </c>
      <c r="AG456" s="450">
        <f t="shared" ref="AG456:AG519" si="166">+AF456/900</f>
        <v>0</v>
      </c>
      <c r="AH456" s="451">
        <f t="shared" ref="AH456:AH519" si="167">SUM(Y456,AA456,AC456,AE456)</f>
        <v>0</v>
      </c>
      <c r="AI456" s="451">
        <f t="shared" ref="AI456:AI519" si="168">+AH456/900</f>
        <v>0</v>
      </c>
      <c r="AJ456" s="456"/>
      <c r="AK456" s="493"/>
      <c r="AL456" s="449">
        <f t="shared" ref="AL456:AL519" si="169">IF(ISBLANK(AJ456),0,AF456)</f>
        <v>0</v>
      </c>
      <c r="AM456" s="452">
        <f t="shared" ref="AM456:AM519" si="170">IF(ISBLANK(AK456),0,AH456)</f>
        <v>0</v>
      </c>
      <c r="AN456" s="456"/>
      <c r="AO456" s="493"/>
      <c r="AP456" s="456">
        <v>31755</v>
      </c>
      <c r="AQ456" s="493">
        <v>29857</v>
      </c>
      <c r="AR456" s="456">
        <v>7193</v>
      </c>
      <c r="AS456" s="493">
        <v>6677</v>
      </c>
      <c r="AT456" s="456">
        <v>31439</v>
      </c>
      <c r="AU456" s="493">
        <v>30863</v>
      </c>
      <c r="AV456" s="449">
        <f t="shared" ref="AV456:AV519" si="171">SUM(AN456,AP456,AR456,AT456)</f>
        <v>70387</v>
      </c>
      <c r="AW456" s="453">
        <f t="shared" ref="AW456:AW519" si="172">+AV456/24</f>
        <v>2932.7916666666665</v>
      </c>
      <c r="AX456" s="451">
        <f t="shared" ref="AX456:AX519" si="173">SUM(AO456,AQ456,AS456,AU456)</f>
        <v>67397</v>
      </c>
      <c r="AY456" s="454">
        <f t="shared" ref="AY456:AY519" si="174">+AX456/24</f>
        <v>2808.2083333333335</v>
      </c>
      <c r="AZ456" s="455">
        <f t="shared" ref="AZ456:AZ519" si="175">SUM(Q456,AG456,AW456)</f>
        <v>17060.924999999999</v>
      </c>
      <c r="BA456" s="451">
        <f t="shared" ref="BA456:BA519" si="176">SUM(S456,AI456,AY456)</f>
        <v>16825.275000000001</v>
      </c>
    </row>
    <row r="457" spans="1:53">
      <c r="A457" s="600" t="s">
        <v>237</v>
      </c>
      <c r="B457" s="601" t="s">
        <v>410</v>
      </c>
      <c r="C457" s="610"/>
      <c r="D457" s="603">
        <v>221759</v>
      </c>
      <c r="E457" s="604">
        <v>1</v>
      </c>
      <c r="F457" s="491" t="s">
        <v>41</v>
      </c>
      <c r="G457" s="492" t="s">
        <v>41</v>
      </c>
      <c r="H457" s="456"/>
      <c r="I457" s="493"/>
      <c r="J457" s="456">
        <v>268392</v>
      </c>
      <c r="K457" s="493">
        <v>273543</v>
      </c>
      <c r="L457" s="456">
        <v>31634</v>
      </c>
      <c r="M457" s="493">
        <v>32679</v>
      </c>
      <c r="N457" s="456">
        <v>292368</v>
      </c>
      <c r="O457" s="493">
        <v>298997</v>
      </c>
      <c r="P457" s="449">
        <f t="shared" si="159"/>
        <v>592394</v>
      </c>
      <c r="Q457" s="450">
        <f t="shared" si="160"/>
        <v>19746.466666666667</v>
      </c>
      <c r="R457" s="451">
        <f t="shared" si="161"/>
        <v>605219</v>
      </c>
      <c r="S457" s="452">
        <f t="shared" si="162"/>
        <v>20173.966666666667</v>
      </c>
      <c r="T457" s="456"/>
      <c r="U457" s="493">
        <v>108</v>
      </c>
      <c r="V457" s="449">
        <f t="shared" si="163"/>
        <v>0</v>
      </c>
      <c r="W457" s="448">
        <f t="shared" si="164"/>
        <v>605219</v>
      </c>
      <c r="X457" s="456"/>
      <c r="Y457" s="493"/>
      <c r="Z457" s="456"/>
      <c r="AA457" s="493"/>
      <c r="AB457" s="456"/>
      <c r="AC457" s="493"/>
      <c r="AD457" s="456"/>
      <c r="AE457" s="493"/>
      <c r="AF457" s="449">
        <f t="shared" si="165"/>
        <v>0</v>
      </c>
      <c r="AG457" s="450">
        <f t="shared" si="166"/>
        <v>0</v>
      </c>
      <c r="AH457" s="451">
        <f t="shared" si="167"/>
        <v>0</v>
      </c>
      <c r="AI457" s="451">
        <f t="shared" si="168"/>
        <v>0</v>
      </c>
      <c r="AJ457" s="456"/>
      <c r="AK457" s="493"/>
      <c r="AL457" s="449">
        <f t="shared" si="169"/>
        <v>0</v>
      </c>
      <c r="AM457" s="452">
        <f t="shared" si="170"/>
        <v>0</v>
      </c>
      <c r="AN457" s="456"/>
      <c r="AO457" s="493"/>
      <c r="AP457" s="456">
        <v>48526</v>
      </c>
      <c r="AQ457" s="493">
        <v>46459</v>
      </c>
      <c r="AR457" s="456">
        <v>16307</v>
      </c>
      <c r="AS457" s="493">
        <v>16849</v>
      </c>
      <c r="AT457" s="456">
        <v>50478</v>
      </c>
      <c r="AU457" s="493">
        <v>51216</v>
      </c>
      <c r="AV457" s="449">
        <f t="shared" si="171"/>
        <v>115311</v>
      </c>
      <c r="AW457" s="453">
        <f t="shared" si="172"/>
        <v>4804.625</v>
      </c>
      <c r="AX457" s="451">
        <f t="shared" si="173"/>
        <v>114524</v>
      </c>
      <c r="AY457" s="454">
        <f t="shared" si="174"/>
        <v>4771.833333333333</v>
      </c>
      <c r="AZ457" s="455">
        <f t="shared" si="175"/>
        <v>24551.091666666667</v>
      </c>
      <c r="BA457" s="451">
        <f t="shared" si="176"/>
        <v>24945.8</v>
      </c>
    </row>
    <row r="458" spans="1:53">
      <c r="A458" s="600" t="s">
        <v>237</v>
      </c>
      <c r="B458" s="605" t="s">
        <v>411</v>
      </c>
      <c r="C458" s="611"/>
      <c r="D458" s="603">
        <v>221838</v>
      </c>
      <c r="E458" s="604">
        <v>2</v>
      </c>
      <c r="F458" s="491" t="s">
        <v>41</v>
      </c>
      <c r="G458" s="492" t="s">
        <v>41</v>
      </c>
      <c r="H458" s="456"/>
      <c r="I458" s="493"/>
      <c r="J458" s="456">
        <v>81240</v>
      </c>
      <c r="K458" s="493">
        <v>84198</v>
      </c>
      <c r="L458" s="456">
        <v>12465</v>
      </c>
      <c r="M458" s="493">
        <v>13081</v>
      </c>
      <c r="N458" s="456">
        <v>92622</v>
      </c>
      <c r="O458" s="493">
        <v>96959</v>
      </c>
      <c r="P458" s="449">
        <f t="shared" si="159"/>
        <v>186327</v>
      </c>
      <c r="Q458" s="450">
        <f t="shared" si="160"/>
        <v>6210.9</v>
      </c>
      <c r="R458" s="451">
        <f t="shared" si="161"/>
        <v>194238</v>
      </c>
      <c r="S458" s="452">
        <f t="shared" si="162"/>
        <v>6474.6</v>
      </c>
      <c r="T458" s="456"/>
      <c r="U458" s="493"/>
      <c r="V458" s="449">
        <f t="shared" si="163"/>
        <v>0</v>
      </c>
      <c r="W458" s="448">
        <f t="shared" si="164"/>
        <v>0</v>
      </c>
      <c r="X458" s="456"/>
      <c r="Y458" s="493"/>
      <c r="Z458" s="456"/>
      <c r="AA458" s="493"/>
      <c r="AB458" s="456"/>
      <c r="AC458" s="493"/>
      <c r="AD458" s="456"/>
      <c r="AE458" s="493"/>
      <c r="AF458" s="449">
        <f t="shared" si="165"/>
        <v>0</v>
      </c>
      <c r="AG458" s="450">
        <f t="shared" si="166"/>
        <v>0</v>
      </c>
      <c r="AH458" s="451">
        <f t="shared" si="167"/>
        <v>0</v>
      </c>
      <c r="AI458" s="451">
        <f t="shared" si="168"/>
        <v>0</v>
      </c>
      <c r="AJ458" s="456"/>
      <c r="AK458" s="493"/>
      <c r="AL458" s="449">
        <f t="shared" si="169"/>
        <v>0</v>
      </c>
      <c r="AM458" s="452">
        <f t="shared" si="170"/>
        <v>0</v>
      </c>
      <c r="AN458" s="456"/>
      <c r="AO458" s="493"/>
      <c r="AP458" s="456">
        <v>14958</v>
      </c>
      <c r="AQ458" s="493">
        <v>14252</v>
      </c>
      <c r="AR458" s="456">
        <v>5934</v>
      </c>
      <c r="AS458" s="493">
        <v>5814</v>
      </c>
      <c r="AT458" s="456">
        <v>14555</v>
      </c>
      <c r="AU458" s="493">
        <v>14102</v>
      </c>
      <c r="AV458" s="449">
        <f t="shared" si="171"/>
        <v>35447</v>
      </c>
      <c r="AW458" s="453">
        <f t="shared" si="172"/>
        <v>1476.9583333333333</v>
      </c>
      <c r="AX458" s="451">
        <f t="shared" si="173"/>
        <v>34168</v>
      </c>
      <c r="AY458" s="454">
        <f t="shared" si="174"/>
        <v>1423.6666666666667</v>
      </c>
      <c r="AZ458" s="455">
        <f t="shared" si="175"/>
        <v>7687.8583333333327</v>
      </c>
      <c r="BA458" s="451">
        <f t="shared" si="176"/>
        <v>7898.2666666666673</v>
      </c>
    </row>
    <row r="459" spans="1:53">
      <c r="A459" s="600" t="s">
        <v>237</v>
      </c>
      <c r="B459" s="605" t="s">
        <v>412</v>
      </c>
      <c r="C459" s="610"/>
      <c r="D459" s="603">
        <v>219602</v>
      </c>
      <c r="E459" s="604">
        <v>3</v>
      </c>
      <c r="F459" s="491" t="s">
        <v>41</v>
      </c>
      <c r="G459" s="492" t="s">
        <v>41</v>
      </c>
      <c r="H459" s="456"/>
      <c r="I459" s="493"/>
      <c r="J459" s="456">
        <v>109556</v>
      </c>
      <c r="K459" s="493">
        <v>101310</v>
      </c>
      <c r="L459" s="456">
        <v>13887</v>
      </c>
      <c r="M459" s="493">
        <v>19062</v>
      </c>
      <c r="N459" s="456">
        <v>115327</v>
      </c>
      <c r="O459" s="493">
        <v>114466</v>
      </c>
      <c r="P459" s="449">
        <f t="shared" si="159"/>
        <v>238770</v>
      </c>
      <c r="Q459" s="450">
        <f t="shared" si="160"/>
        <v>7959</v>
      </c>
      <c r="R459" s="451">
        <f t="shared" si="161"/>
        <v>234838</v>
      </c>
      <c r="S459" s="452">
        <f t="shared" si="162"/>
        <v>7827.9333333333334</v>
      </c>
      <c r="T459" s="456">
        <v>2141</v>
      </c>
      <c r="U459" s="493">
        <v>2464</v>
      </c>
      <c r="V459" s="449">
        <f t="shared" si="163"/>
        <v>238770</v>
      </c>
      <c r="W459" s="448">
        <f t="shared" si="164"/>
        <v>234838</v>
      </c>
      <c r="X459" s="456"/>
      <c r="Y459" s="493"/>
      <c r="Z459" s="456"/>
      <c r="AA459" s="493"/>
      <c r="AB459" s="456"/>
      <c r="AC459" s="493"/>
      <c r="AD459" s="456"/>
      <c r="AE459" s="493"/>
      <c r="AF459" s="449">
        <f t="shared" si="165"/>
        <v>0</v>
      </c>
      <c r="AG459" s="450">
        <f t="shared" si="166"/>
        <v>0</v>
      </c>
      <c r="AH459" s="451">
        <f t="shared" si="167"/>
        <v>0</v>
      </c>
      <c r="AI459" s="451">
        <f t="shared" si="168"/>
        <v>0</v>
      </c>
      <c r="AJ459" s="456"/>
      <c r="AK459" s="493"/>
      <c r="AL459" s="449">
        <f t="shared" si="169"/>
        <v>0</v>
      </c>
      <c r="AM459" s="452">
        <f t="shared" si="170"/>
        <v>0</v>
      </c>
      <c r="AN459" s="456"/>
      <c r="AO459" s="493"/>
      <c r="AP459" s="456">
        <v>6092</v>
      </c>
      <c r="AQ459" s="493">
        <v>5924</v>
      </c>
      <c r="AR459" s="456">
        <v>2267</v>
      </c>
      <c r="AS459" s="493">
        <v>3007</v>
      </c>
      <c r="AT459" s="456">
        <v>6635</v>
      </c>
      <c r="AU459" s="493">
        <v>6589</v>
      </c>
      <c r="AV459" s="449">
        <f t="shared" si="171"/>
        <v>14994</v>
      </c>
      <c r="AW459" s="453">
        <f t="shared" si="172"/>
        <v>624.75</v>
      </c>
      <c r="AX459" s="451">
        <f t="shared" si="173"/>
        <v>15520</v>
      </c>
      <c r="AY459" s="454">
        <f t="shared" si="174"/>
        <v>646.66666666666663</v>
      </c>
      <c r="AZ459" s="455">
        <f t="shared" si="175"/>
        <v>8583.75</v>
      </c>
      <c r="BA459" s="451">
        <f t="shared" si="176"/>
        <v>8474.6</v>
      </c>
    </row>
    <row r="460" spans="1:53">
      <c r="A460" s="600" t="s">
        <v>237</v>
      </c>
      <c r="B460" s="601" t="s">
        <v>413</v>
      </c>
      <c r="C460" s="611" t="s">
        <v>458</v>
      </c>
      <c r="D460" s="603">
        <v>220075</v>
      </c>
      <c r="E460" s="612">
        <v>2</v>
      </c>
      <c r="F460" s="491" t="s">
        <v>41</v>
      </c>
      <c r="G460" s="492" t="s">
        <v>41</v>
      </c>
      <c r="H460" s="456"/>
      <c r="I460" s="493"/>
      <c r="J460" s="456">
        <v>141466</v>
      </c>
      <c r="K460" s="493">
        <v>139935</v>
      </c>
      <c r="L460" s="456">
        <v>21176</v>
      </c>
      <c r="M460" s="493">
        <v>21399</v>
      </c>
      <c r="N460" s="456">
        <v>151600</v>
      </c>
      <c r="O460" s="493">
        <v>151606</v>
      </c>
      <c r="P460" s="449">
        <f t="shared" si="159"/>
        <v>314242</v>
      </c>
      <c r="Q460" s="450">
        <f t="shared" si="160"/>
        <v>10474.733333333334</v>
      </c>
      <c r="R460" s="451">
        <f t="shared" si="161"/>
        <v>312940</v>
      </c>
      <c r="S460" s="452">
        <f t="shared" si="162"/>
        <v>10431.333333333334</v>
      </c>
      <c r="T460" s="456">
        <v>1950</v>
      </c>
      <c r="U460" s="493">
        <v>1999</v>
      </c>
      <c r="V460" s="449">
        <f t="shared" si="163"/>
        <v>314242</v>
      </c>
      <c r="W460" s="448">
        <f t="shared" si="164"/>
        <v>312940</v>
      </c>
      <c r="X460" s="456"/>
      <c r="Y460" s="493"/>
      <c r="Z460" s="456"/>
      <c r="AA460" s="493"/>
      <c r="AB460" s="456"/>
      <c r="AC460" s="493"/>
      <c r="AD460" s="456"/>
      <c r="AE460" s="493"/>
      <c r="AF460" s="449">
        <f t="shared" si="165"/>
        <v>0</v>
      </c>
      <c r="AG460" s="450">
        <f t="shared" si="166"/>
        <v>0</v>
      </c>
      <c r="AH460" s="451">
        <f t="shared" si="167"/>
        <v>0</v>
      </c>
      <c r="AI460" s="451">
        <f t="shared" si="168"/>
        <v>0</v>
      </c>
      <c r="AJ460" s="456"/>
      <c r="AK460" s="493"/>
      <c r="AL460" s="449">
        <f t="shared" si="169"/>
        <v>0</v>
      </c>
      <c r="AM460" s="452">
        <f t="shared" si="170"/>
        <v>0</v>
      </c>
      <c r="AN460" s="456"/>
      <c r="AO460" s="493"/>
      <c r="AP460" s="456">
        <v>18292</v>
      </c>
      <c r="AQ460" s="493">
        <v>18358</v>
      </c>
      <c r="AR460" s="456">
        <v>8161</v>
      </c>
      <c r="AS460" s="493">
        <v>8662</v>
      </c>
      <c r="AT460" s="456">
        <v>18914</v>
      </c>
      <c r="AU460" s="493">
        <v>19601</v>
      </c>
      <c r="AV460" s="449">
        <f t="shared" si="171"/>
        <v>45367</v>
      </c>
      <c r="AW460" s="453">
        <f t="shared" si="172"/>
        <v>1890.2916666666667</v>
      </c>
      <c r="AX460" s="451">
        <f t="shared" si="173"/>
        <v>46621</v>
      </c>
      <c r="AY460" s="454">
        <f t="shared" si="174"/>
        <v>1942.5416666666667</v>
      </c>
      <c r="AZ460" s="455">
        <f t="shared" si="175"/>
        <v>12365.025</v>
      </c>
      <c r="BA460" s="451">
        <f t="shared" si="176"/>
        <v>12373.875</v>
      </c>
    </row>
    <row r="461" spans="1:53">
      <c r="A461" s="600" t="s">
        <v>237</v>
      </c>
      <c r="B461" s="601" t="s">
        <v>414</v>
      </c>
      <c r="C461" s="610" t="s">
        <v>459</v>
      </c>
      <c r="D461" s="603">
        <v>220978</v>
      </c>
      <c r="E461" s="604">
        <v>3</v>
      </c>
      <c r="F461" s="491" t="s">
        <v>41</v>
      </c>
      <c r="G461" s="492" t="s">
        <v>41</v>
      </c>
      <c r="H461" s="456"/>
      <c r="I461" s="493"/>
      <c r="J461" s="456">
        <v>241239</v>
      </c>
      <c r="K461" s="493">
        <v>238846</v>
      </c>
      <c r="L461" s="456">
        <v>40504</v>
      </c>
      <c r="M461" s="493">
        <v>38654</v>
      </c>
      <c r="N461" s="456">
        <v>260590</v>
      </c>
      <c r="O461" s="493">
        <v>255381</v>
      </c>
      <c r="P461" s="449">
        <f t="shared" si="159"/>
        <v>542333</v>
      </c>
      <c r="Q461" s="450">
        <f t="shared" si="160"/>
        <v>18077.766666666666</v>
      </c>
      <c r="R461" s="451">
        <f t="shared" si="161"/>
        <v>532881</v>
      </c>
      <c r="S461" s="452">
        <f t="shared" si="162"/>
        <v>17762.7</v>
      </c>
      <c r="T461" s="456">
        <v>1295</v>
      </c>
      <c r="U461" s="493">
        <v>2604</v>
      </c>
      <c r="V461" s="449">
        <f t="shared" si="163"/>
        <v>542333</v>
      </c>
      <c r="W461" s="448">
        <f t="shared" si="164"/>
        <v>532881</v>
      </c>
      <c r="X461" s="456"/>
      <c r="Y461" s="493"/>
      <c r="Z461" s="456"/>
      <c r="AA461" s="493"/>
      <c r="AB461" s="456"/>
      <c r="AC461" s="493"/>
      <c r="AD461" s="456"/>
      <c r="AE461" s="493"/>
      <c r="AF461" s="449">
        <f t="shared" si="165"/>
        <v>0</v>
      </c>
      <c r="AG461" s="450">
        <f t="shared" si="166"/>
        <v>0</v>
      </c>
      <c r="AH461" s="451">
        <f t="shared" si="167"/>
        <v>0</v>
      </c>
      <c r="AI461" s="451">
        <f t="shared" si="168"/>
        <v>0</v>
      </c>
      <c r="AJ461" s="456"/>
      <c r="AK461" s="493"/>
      <c r="AL461" s="449">
        <f t="shared" si="169"/>
        <v>0</v>
      </c>
      <c r="AM461" s="452">
        <f t="shared" si="170"/>
        <v>0</v>
      </c>
      <c r="AN461" s="456"/>
      <c r="AO461" s="493"/>
      <c r="AP461" s="456">
        <v>17677</v>
      </c>
      <c r="AQ461" s="493">
        <v>16255</v>
      </c>
      <c r="AR461" s="456">
        <v>8066</v>
      </c>
      <c r="AS461" s="493">
        <v>7934</v>
      </c>
      <c r="AT461" s="456">
        <v>16967</v>
      </c>
      <c r="AU461" s="493">
        <v>16040</v>
      </c>
      <c r="AV461" s="449">
        <f t="shared" si="171"/>
        <v>42710</v>
      </c>
      <c r="AW461" s="453">
        <f t="shared" si="172"/>
        <v>1779.5833333333333</v>
      </c>
      <c r="AX461" s="451">
        <f t="shared" si="173"/>
        <v>40229</v>
      </c>
      <c r="AY461" s="454">
        <f t="shared" si="174"/>
        <v>1676.2083333333333</v>
      </c>
      <c r="AZ461" s="455">
        <f t="shared" si="175"/>
        <v>19857.349999999999</v>
      </c>
      <c r="BA461" s="451">
        <f t="shared" si="176"/>
        <v>19438.908333333333</v>
      </c>
    </row>
    <row r="462" spans="1:53">
      <c r="A462" s="600" t="s">
        <v>237</v>
      </c>
      <c r="B462" s="601" t="s">
        <v>415</v>
      </c>
      <c r="C462" s="610"/>
      <c r="D462" s="603">
        <v>221847</v>
      </c>
      <c r="E462" s="604">
        <v>3</v>
      </c>
      <c r="F462" s="491" t="s">
        <v>41</v>
      </c>
      <c r="G462" s="492" t="s">
        <v>41</v>
      </c>
      <c r="H462" s="456"/>
      <c r="I462" s="493"/>
      <c r="J462" s="456">
        <v>127995</v>
      </c>
      <c r="K462" s="493">
        <v>128227</v>
      </c>
      <c r="L462" s="456">
        <v>14996</v>
      </c>
      <c r="M462" s="493">
        <v>15869</v>
      </c>
      <c r="N462" s="456">
        <v>141017</v>
      </c>
      <c r="O462" s="493">
        <v>134398</v>
      </c>
      <c r="P462" s="449">
        <f t="shared" si="159"/>
        <v>284008</v>
      </c>
      <c r="Q462" s="450">
        <f t="shared" si="160"/>
        <v>9466.9333333333325</v>
      </c>
      <c r="R462" s="451">
        <f t="shared" si="161"/>
        <v>278494</v>
      </c>
      <c r="S462" s="452">
        <f t="shared" si="162"/>
        <v>9283.1333333333332</v>
      </c>
      <c r="T462" s="456">
        <v>364</v>
      </c>
      <c r="U462" s="493">
        <v>540</v>
      </c>
      <c r="V462" s="449">
        <f t="shared" si="163"/>
        <v>284008</v>
      </c>
      <c r="W462" s="448">
        <f t="shared" si="164"/>
        <v>278494</v>
      </c>
      <c r="X462" s="456"/>
      <c r="Y462" s="493"/>
      <c r="Z462" s="456"/>
      <c r="AA462" s="493"/>
      <c r="AB462" s="456"/>
      <c r="AC462" s="493"/>
      <c r="AD462" s="456"/>
      <c r="AE462" s="493"/>
      <c r="AF462" s="449">
        <f t="shared" si="165"/>
        <v>0</v>
      </c>
      <c r="AG462" s="450">
        <f t="shared" si="166"/>
        <v>0</v>
      </c>
      <c r="AH462" s="451">
        <f t="shared" si="167"/>
        <v>0</v>
      </c>
      <c r="AI462" s="451">
        <f t="shared" si="168"/>
        <v>0</v>
      </c>
      <c r="AJ462" s="456"/>
      <c r="AK462" s="493"/>
      <c r="AL462" s="449">
        <f t="shared" si="169"/>
        <v>0</v>
      </c>
      <c r="AM462" s="452">
        <f t="shared" si="170"/>
        <v>0</v>
      </c>
      <c r="AN462" s="456"/>
      <c r="AO462" s="493"/>
      <c r="AP462" s="456">
        <v>6963</v>
      </c>
      <c r="AQ462" s="493">
        <v>6803</v>
      </c>
      <c r="AR462" s="456">
        <v>2775</v>
      </c>
      <c r="AS462" s="493">
        <v>3087</v>
      </c>
      <c r="AT462" s="456">
        <v>6985</v>
      </c>
      <c r="AU462" s="493">
        <v>7305</v>
      </c>
      <c r="AV462" s="449">
        <f t="shared" si="171"/>
        <v>16723</v>
      </c>
      <c r="AW462" s="453">
        <f t="shared" si="172"/>
        <v>696.79166666666663</v>
      </c>
      <c r="AX462" s="451">
        <f t="shared" si="173"/>
        <v>17195</v>
      </c>
      <c r="AY462" s="454">
        <f t="shared" si="174"/>
        <v>716.45833333333337</v>
      </c>
      <c r="AZ462" s="455">
        <f t="shared" si="175"/>
        <v>10163.724999999999</v>
      </c>
      <c r="BA462" s="451">
        <f t="shared" si="176"/>
        <v>9999.5916666666672</v>
      </c>
    </row>
    <row r="463" spans="1:53">
      <c r="A463" s="600" t="s">
        <v>237</v>
      </c>
      <c r="B463" s="601" t="s">
        <v>416</v>
      </c>
      <c r="C463" s="610"/>
      <c r="D463" s="603">
        <v>221740</v>
      </c>
      <c r="E463" s="604">
        <v>3</v>
      </c>
      <c r="F463" s="491" t="s">
        <v>41</v>
      </c>
      <c r="G463" s="492" t="s">
        <v>41</v>
      </c>
      <c r="H463" s="456"/>
      <c r="I463" s="493"/>
      <c r="J463" s="456">
        <v>124060</v>
      </c>
      <c r="K463" s="493">
        <v>122831</v>
      </c>
      <c r="L463" s="456">
        <v>18420</v>
      </c>
      <c r="M463" s="493">
        <v>17827</v>
      </c>
      <c r="N463" s="456">
        <v>136903</v>
      </c>
      <c r="O463" s="493">
        <v>134957</v>
      </c>
      <c r="P463" s="449">
        <f t="shared" si="159"/>
        <v>279383</v>
      </c>
      <c r="Q463" s="450">
        <f t="shared" si="160"/>
        <v>9312.7666666666664</v>
      </c>
      <c r="R463" s="451">
        <f t="shared" si="161"/>
        <v>275615</v>
      </c>
      <c r="S463" s="452">
        <f t="shared" si="162"/>
        <v>9187.1666666666661</v>
      </c>
      <c r="T463" s="456">
        <v>120</v>
      </c>
      <c r="U463" s="493">
        <v>128</v>
      </c>
      <c r="V463" s="449">
        <f t="shared" si="163"/>
        <v>279383</v>
      </c>
      <c r="W463" s="448">
        <f t="shared" si="164"/>
        <v>275615</v>
      </c>
      <c r="X463" s="456"/>
      <c r="Y463" s="493"/>
      <c r="Z463" s="456"/>
      <c r="AA463" s="493"/>
      <c r="AB463" s="456"/>
      <c r="AC463" s="493"/>
      <c r="AD463" s="456"/>
      <c r="AE463" s="493"/>
      <c r="AF463" s="449">
        <f t="shared" si="165"/>
        <v>0</v>
      </c>
      <c r="AG463" s="450">
        <f t="shared" si="166"/>
        <v>0</v>
      </c>
      <c r="AH463" s="451">
        <f t="shared" si="167"/>
        <v>0</v>
      </c>
      <c r="AI463" s="451">
        <f t="shared" si="168"/>
        <v>0</v>
      </c>
      <c r="AJ463" s="456"/>
      <c r="AK463" s="493"/>
      <c r="AL463" s="449">
        <f t="shared" si="169"/>
        <v>0</v>
      </c>
      <c r="AM463" s="452">
        <f t="shared" si="170"/>
        <v>0</v>
      </c>
      <c r="AN463" s="456"/>
      <c r="AO463" s="493"/>
      <c r="AP463" s="456">
        <v>10064</v>
      </c>
      <c r="AQ463" s="493">
        <v>10023</v>
      </c>
      <c r="AR463" s="456">
        <v>5014</v>
      </c>
      <c r="AS463" s="493">
        <v>4847</v>
      </c>
      <c r="AT463" s="456">
        <v>10828</v>
      </c>
      <c r="AU463" s="493">
        <v>10665</v>
      </c>
      <c r="AV463" s="449">
        <f t="shared" si="171"/>
        <v>25906</v>
      </c>
      <c r="AW463" s="453">
        <f t="shared" si="172"/>
        <v>1079.4166666666667</v>
      </c>
      <c r="AX463" s="451">
        <f t="shared" si="173"/>
        <v>25535</v>
      </c>
      <c r="AY463" s="454">
        <f t="shared" si="174"/>
        <v>1063.9583333333333</v>
      </c>
      <c r="AZ463" s="455">
        <f t="shared" si="175"/>
        <v>10392.183333333332</v>
      </c>
      <c r="BA463" s="451">
        <f t="shared" si="176"/>
        <v>10251.125</v>
      </c>
    </row>
    <row r="464" spans="1:53">
      <c r="A464" s="600" t="s">
        <v>237</v>
      </c>
      <c r="B464" s="601" t="s">
        <v>417</v>
      </c>
      <c r="C464" s="610"/>
      <c r="D464" s="603">
        <v>221768</v>
      </c>
      <c r="E464" s="604">
        <v>5</v>
      </c>
      <c r="F464" s="491" t="s">
        <v>41</v>
      </c>
      <c r="G464" s="492" t="s">
        <v>41</v>
      </c>
      <c r="H464" s="456"/>
      <c r="I464" s="493"/>
      <c r="J464" s="456">
        <v>86480</v>
      </c>
      <c r="K464" s="493">
        <v>83116</v>
      </c>
      <c r="L464" s="456">
        <v>12133</v>
      </c>
      <c r="M464" s="493">
        <v>10779</v>
      </c>
      <c r="N464" s="456">
        <v>91424</v>
      </c>
      <c r="O464" s="493">
        <v>86953</v>
      </c>
      <c r="P464" s="449">
        <f t="shared" si="159"/>
        <v>190037</v>
      </c>
      <c r="Q464" s="450">
        <f t="shared" si="160"/>
        <v>6334.5666666666666</v>
      </c>
      <c r="R464" s="451">
        <f t="shared" si="161"/>
        <v>180848</v>
      </c>
      <c r="S464" s="452">
        <f t="shared" si="162"/>
        <v>6028.2666666666664</v>
      </c>
      <c r="T464" s="456">
        <v>2316</v>
      </c>
      <c r="U464" s="493">
        <v>2288</v>
      </c>
      <c r="V464" s="449">
        <f t="shared" si="163"/>
        <v>190037</v>
      </c>
      <c r="W464" s="448">
        <f t="shared" si="164"/>
        <v>180848</v>
      </c>
      <c r="X464" s="456"/>
      <c r="Y464" s="493"/>
      <c r="Z464" s="456"/>
      <c r="AA464" s="493"/>
      <c r="AB464" s="456"/>
      <c r="AC464" s="493"/>
      <c r="AD464" s="456"/>
      <c r="AE464" s="493"/>
      <c r="AF464" s="449">
        <f t="shared" si="165"/>
        <v>0</v>
      </c>
      <c r="AG464" s="450">
        <f t="shared" si="166"/>
        <v>0</v>
      </c>
      <c r="AH464" s="451">
        <f t="shared" si="167"/>
        <v>0</v>
      </c>
      <c r="AI464" s="451">
        <f t="shared" si="168"/>
        <v>0</v>
      </c>
      <c r="AJ464" s="456"/>
      <c r="AK464" s="493"/>
      <c r="AL464" s="449">
        <f t="shared" si="169"/>
        <v>0</v>
      </c>
      <c r="AM464" s="452">
        <f t="shared" si="170"/>
        <v>0</v>
      </c>
      <c r="AN464" s="456"/>
      <c r="AO464" s="493"/>
      <c r="AP464" s="456">
        <v>2175</v>
      </c>
      <c r="AQ464" s="493">
        <v>2024</v>
      </c>
      <c r="AR464" s="456">
        <v>1576</v>
      </c>
      <c r="AS464" s="493">
        <v>1582</v>
      </c>
      <c r="AT464" s="456">
        <v>2135</v>
      </c>
      <c r="AU464" s="493">
        <v>2307</v>
      </c>
      <c r="AV464" s="449">
        <f t="shared" si="171"/>
        <v>5886</v>
      </c>
      <c r="AW464" s="453">
        <f t="shared" si="172"/>
        <v>245.25</v>
      </c>
      <c r="AX464" s="451">
        <f t="shared" si="173"/>
        <v>5913</v>
      </c>
      <c r="AY464" s="454">
        <f t="shared" si="174"/>
        <v>246.375</v>
      </c>
      <c r="AZ464" s="455">
        <f t="shared" si="175"/>
        <v>6579.8166666666666</v>
      </c>
      <c r="BA464" s="451">
        <f t="shared" si="176"/>
        <v>6274.6416666666664</v>
      </c>
    </row>
    <row r="465" spans="1:53">
      <c r="A465" s="600" t="s">
        <v>237</v>
      </c>
      <c r="B465" s="601" t="s">
        <v>418</v>
      </c>
      <c r="C465" s="613"/>
      <c r="D465" s="606">
        <v>219824</v>
      </c>
      <c r="E465" s="607">
        <v>8</v>
      </c>
      <c r="F465" s="491" t="s">
        <v>41</v>
      </c>
      <c r="G465" s="492" t="s">
        <v>41</v>
      </c>
      <c r="H465" s="456"/>
      <c r="I465" s="493"/>
      <c r="J465" s="456">
        <v>83019</v>
      </c>
      <c r="K465" s="493">
        <v>79447</v>
      </c>
      <c r="L465" s="456">
        <v>14298</v>
      </c>
      <c r="M465" s="493">
        <v>15908</v>
      </c>
      <c r="N465" s="456">
        <v>88509</v>
      </c>
      <c r="O465" s="493">
        <v>92845</v>
      </c>
      <c r="P465" s="449">
        <f t="shared" si="159"/>
        <v>185826</v>
      </c>
      <c r="Q465" s="450">
        <f t="shared" si="160"/>
        <v>6194.2</v>
      </c>
      <c r="R465" s="451">
        <f t="shared" si="161"/>
        <v>188200</v>
      </c>
      <c r="S465" s="452">
        <f t="shared" si="162"/>
        <v>6273.333333333333</v>
      </c>
      <c r="T465" s="456">
        <v>13787</v>
      </c>
      <c r="U465" s="493">
        <v>13905</v>
      </c>
      <c r="V465" s="449">
        <f t="shared" si="163"/>
        <v>185826</v>
      </c>
      <c r="W465" s="448">
        <f t="shared" si="164"/>
        <v>188200</v>
      </c>
      <c r="X465" s="456"/>
      <c r="Y465" s="493"/>
      <c r="Z465" s="456"/>
      <c r="AA465" s="493"/>
      <c r="AB465" s="456"/>
      <c r="AC465" s="493"/>
      <c r="AD465" s="456"/>
      <c r="AE465" s="493"/>
      <c r="AF465" s="449">
        <f t="shared" si="165"/>
        <v>0</v>
      </c>
      <c r="AG465" s="450">
        <f t="shared" si="166"/>
        <v>0</v>
      </c>
      <c r="AH465" s="451">
        <f t="shared" si="167"/>
        <v>0</v>
      </c>
      <c r="AI465" s="451">
        <f t="shared" si="168"/>
        <v>0</v>
      </c>
      <c r="AJ465" s="456"/>
      <c r="AK465" s="493"/>
      <c r="AL465" s="449">
        <f t="shared" si="169"/>
        <v>0</v>
      </c>
      <c r="AM465" s="452">
        <f t="shared" si="170"/>
        <v>0</v>
      </c>
      <c r="AN465" s="456"/>
      <c r="AO465" s="493"/>
      <c r="AP465" s="456"/>
      <c r="AQ465" s="493"/>
      <c r="AR465" s="456"/>
      <c r="AS465" s="493"/>
      <c r="AT465" s="456"/>
      <c r="AU465" s="493"/>
      <c r="AV465" s="449">
        <f t="shared" si="171"/>
        <v>0</v>
      </c>
      <c r="AW465" s="453">
        <f t="shared" si="172"/>
        <v>0</v>
      </c>
      <c r="AX465" s="451">
        <f t="shared" si="173"/>
        <v>0</v>
      </c>
      <c r="AY465" s="454">
        <f t="shared" si="174"/>
        <v>0</v>
      </c>
      <c r="AZ465" s="455">
        <f t="shared" si="175"/>
        <v>6194.2</v>
      </c>
      <c r="BA465" s="451">
        <f t="shared" si="176"/>
        <v>6273.333333333333</v>
      </c>
    </row>
    <row r="466" spans="1:53">
      <c r="A466" s="600" t="s">
        <v>237</v>
      </c>
      <c r="B466" s="605" t="s">
        <v>419</v>
      </c>
      <c r="C466" s="611"/>
      <c r="D466" s="606">
        <v>221184</v>
      </c>
      <c r="E466" s="604">
        <v>8</v>
      </c>
      <c r="F466" s="491" t="s">
        <v>41</v>
      </c>
      <c r="G466" s="492" t="s">
        <v>41</v>
      </c>
      <c r="H466" s="456"/>
      <c r="I466" s="493"/>
      <c r="J466" s="456">
        <v>84021</v>
      </c>
      <c r="K466" s="493">
        <v>86836</v>
      </c>
      <c r="L466" s="456">
        <v>19352</v>
      </c>
      <c r="M466" s="493">
        <v>18103</v>
      </c>
      <c r="N466" s="456">
        <v>87106</v>
      </c>
      <c r="O466" s="493">
        <v>94077</v>
      </c>
      <c r="P466" s="449">
        <f t="shared" si="159"/>
        <v>190479</v>
      </c>
      <c r="Q466" s="450">
        <f t="shared" si="160"/>
        <v>6349.3</v>
      </c>
      <c r="R466" s="451">
        <f t="shared" si="161"/>
        <v>199016</v>
      </c>
      <c r="S466" s="452">
        <f t="shared" si="162"/>
        <v>6633.8666666666668</v>
      </c>
      <c r="T466" s="456">
        <v>8193</v>
      </c>
      <c r="U466" s="493">
        <v>9553</v>
      </c>
      <c r="V466" s="449">
        <f t="shared" si="163"/>
        <v>190479</v>
      </c>
      <c r="W466" s="448">
        <f t="shared" si="164"/>
        <v>199016</v>
      </c>
      <c r="X466" s="456"/>
      <c r="Y466" s="493"/>
      <c r="Z466" s="456"/>
      <c r="AA466" s="493"/>
      <c r="AB466" s="456"/>
      <c r="AC466" s="493"/>
      <c r="AD466" s="456"/>
      <c r="AE466" s="493"/>
      <c r="AF466" s="449">
        <f t="shared" si="165"/>
        <v>0</v>
      </c>
      <c r="AG466" s="450">
        <f t="shared" si="166"/>
        <v>0</v>
      </c>
      <c r="AH466" s="451">
        <f t="shared" si="167"/>
        <v>0</v>
      </c>
      <c r="AI466" s="451">
        <f t="shared" si="168"/>
        <v>0</v>
      </c>
      <c r="AJ466" s="456"/>
      <c r="AK466" s="493"/>
      <c r="AL466" s="449">
        <f t="shared" si="169"/>
        <v>0</v>
      </c>
      <c r="AM466" s="452">
        <f t="shared" si="170"/>
        <v>0</v>
      </c>
      <c r="AN466" s="456"/>
      <c r="AO466" s="493"/>
      <c r="AP466" s="456"/>
      <c r="AQ466" s="493"/>
      <c r="AR466" s="456"/>
      <c r="AS466" s="493"/>
      <c r="AT466" s="456"/>
      <c r="AU466" s="493"/>
      <c r="AV466" s="449">
        <f t="shared" si="171"/>
        <v>0</v>
      </c>
      <c r="AW466" s="453">
        <f t="shared" si="172"/>
        <v>0</v>
      </c>
      <c r="AX466" s="451">
        <f t="shared" si="173"/>
        <v>0</v>
      </c>
      <c r="AY466" s="454">
        <f t="shared" si="174"/>
        <v>0</v>
      </c>
      <c r="AZ466" s="455">
        <f t="shared" si="175"/>
        <v>6349.3</v>
      </c>
      <c r="BA466" s="451">
        <f t="shared" si="176"/>
        <v>6633.8666666666668</v>
      </c>
    </row>
    <row r="467" spans="1:53">
      <c r="A467" s="600" t="s">
        <v>237</v>
      </c>
      <c r="B467" s="601" t="s">
        <v>420</v>
      </c>
      <c r="C467" s="613"/>
      <c r="D467" s="606">
        <v>221643</v>
      </c>
      <c r="E467" s="607">
        <v>8</v>
      </c>
      <c r="F467" s="491" t="s">
        <v>41</v>
      </c>
      <c r="G467" s="492" t="s">
        <v>41</v>
      </c>
      <c r="H467" s="456"/>
      <c r="I467" s="493"/>
      <c r="J467" s="456">
        <v>92968</v>
      </c>
      <c r="K467" s="493">
        <v>89377</v>
      </c>
      <c r="L467" s="456">
        <v>19300</v>
      </c>
      <c r="M467" s="493">
        <v>18073</v>
      </c>
      <c r="N467" s="456">
        <v>99656</v>
      </c>
      <c r="O467" s="493">
        <v>101324</v>
      </c>
      <c r="P467" s="449">
        <f t="shared" si="159"/>
        <v>211924</v>
      </c>
      <c r="Q467" s="450">
        <f t="shared" si="160"/>
        <v>7064.1333333333332</v>
      </c>
      <c r="R467" s="451">
        <f t="shared" si="161"/>
        <v>208774</v>
      </c>
      <c r="S467" s="452">
        <f t="shared" si="162"/>
        <v>6959.1333333333332</v>
      </c>
      <c r="T467" s="456">
        <v>9087</v>
      </c>
      <c r="U467" s="493">
        <v>9438</v>
      </c>
      <c r="V467" s="449">
        <f t="shared" si="163"/>
        <v>211924</v>
      </c>
      <c r="W467" s="448">
        <f t="shared" si="164"/>
        <v>208774</v>
      </c>
      <c r="X467" s="456"/>
      <c r="Y467" s="493"/>
      <c r="Z467" s="456"/>
      <c r="AA467" s="493"/>
      <c r="AB467" s="456"/>
      <c r="AC467" s="493"/>
      <c r="AD467" s="456"/>
      <c r="AE467" s="493"/>
      <c r="AF467" s="449">
        <f t="shared" si="165"/>
        <v>0</v>
      </c>
      <c r="AG467" s="450">
        <f t="shared" si="166"/>
        <v>0</v>
      </c>
      <c r="AH467" s="451">
        <f t="shared" si="167"/>
        <v>0</v>
      </c>
      <c r="AI467" s="451">
        <f t="shared" si="168"/>
        <v>0</v>
      </c>
      <c r="AJ467" s="456"/>
      <c r="AK467" s="493"/>
      <c r="AL467" s="449">
        <f t="shared" si="169"/>
        <v>0</v>
      </c>
      <c r="AM467" s="452">
        <f t="shared" si="170"/>
        <v>0</v>
      </c>
      <c r="AN467" s="456"/>
      <c r="AO467" s="493"/>
      <c r="AP467" s="456"/>
      <c r="AQ467" s="493"/>
      <c r="AR467" s="456"/>
      <c r="AS467" s="493"/>
      <c r="AT467" s="456"/>
      <c r="AU467" s="493"/>
      <c r="AV467" s="449">
        <f t="shared" si="171"/>
        <v>0</v>
      </c>
      <c r="AW467" s="453">
        <f t="shared" si="172"/>
        <v>0</v>
      </c>
      <c r="AX467" s="451">
        <f t="shared" si="173"/>
        <v>0</v>
      </c>
      <c r="AY467" s="454">
        <f t="shared" si="174"/>
        <v>0</v>
      </c>
      <c r="AZ467" s="455">
        <f t="shared" si="175"/>
        <v>7064.1333333333332</v>
      </c>
      <c r="BA467" s="451">
        <f t="shared" si="176"/>
        <v>6959.1333333333332</v>
      </c>
    </row>
    <row r="468" spans="1:53">
      <c r="A468" s="600" t="s">
        <v>237</v>
      </c>
      <c r="B468" s="601" t="s">
        <v>421</v>
      </c>
      <c r="C468" s="613"/>
      <c r="D468" s="606">
        <v>221485</v>
      </c>
      <c r="E468" s="607">
        <v>8</v>
      </c>
      <c r="F468" s="491" t="s">
        <v>41</v>
      </c>
      <c r="G468" s="492" t="s">
        <v>41</v>
      </c>
      <c r="H468" s="456"/>
      <c r="I468" s="493"/>
      <c r="J468" s="456">
        <v>88247</v>
      </c>
      <c r="K468" s="493">
        <v>83787</v>
      </c>
      <c r="L468" s="456">
        <v>23886</v>
      </c>
      <c r="M468" s="493">
        <v>20364</v>
      </c>
      <c r="N468" s="456">
        <v>95321</v>
      </c>
      <c r="O468" s="493">
        <v>92531</v>
      </c>
      <c r="P468" s="449">
        <f t="shared" si="159"/>
        <v>207454</v>
      </c>
      <c r="Q468" s="450">
        <f t="shared" si="160"/>
        <v>6915.1333333333332</v>
      </c>
      <c r="R468" s="451">
        <f t="shared" si="161"/>
        <v>196682</v>
      </c>
      <c r="S468" s="452">
        <f t="shared" si="162"/>
        <v>6556.0666666666666</v>
      </c>
      <c r="T468" s="456">
        <v>2599</v>
      </c>
      <c r="U468" s="493">
        <v>3609</v>
      </c>
      <c r="V468" s="449">
        <f t="shared" si="163"/>
        <v>207454</v>
      </c>
      <c r="W468" s="448">
        <f t="shared" si="164"/>
        <v>196682</v>
      </c>
      <c r="X468" s="456"/>
      <c r="Y468" s="493"/>
      <c r="Z468" s="456"/>
      <c r="AA468" s="493"/>
      <c r="AB468" s="456"/>
      <c r="AC468" s="493"/>
      <c r="AD468" s="456"/>
      <c r="AE468" s="493"/>
      <c r="AF468" s="449">
        <f t="shared" si="165"/>
        <v>0</v>
      </c>
      <c r="AG468" s="450">
        <f t="shared" si="166"/>
        <v>0</v>
      </c>
      <c r="AH468" s="451">
        <f t="shared" si="167"/>
        <v>0</v>
      </c>
      <c r="AI468" s="451">
        <f t="shared" si="168"/>
        <v>0</v>
      </c>
      <c r="AJ468" s="456"/>
      <c r="AK468" s="493"/>
      <c r="AL468" s="449">
        <f t="shared" si="169"/>
        <v>0</v>
      </c>
      <c r="AM468" s="452">
        <f t="shared" si="170"/>
        <v>0</v>
      </c>
      <c r="AN468" s="456"/>
      <c r="AO468" s="493"/>
      <c r="AP468" s="456"/>
      <c r="AQ468" s="493"/>
      <c r="AR468" s="456"/>
      <c r="AS468" s="493"/>
      <c r="AT468" s="456"/>
      <c r="AU468" s="493"/>
      <c r="AV468" s="449">
        <f t="shared" si="171"/>
        <v>0</v>
      </c>
      <c r="AW468" s="453">
        <f t="shared" si="172"/>
        <v>0</v>
      </c>
      <c r="AX468" s="451">
        <f t="shared" si="173"/>
        <v>0</v>
      </c>
      <c r="AY468" s="454">
        <f t="shared" si="174"/>
        <v>0</v>
      </c>
      <c r="AZ468" s="455">
        <f t="shared" si="175"/>
        <v>6915.1333333333332</v>
      </c>
      <c r="BA468" s="451">
        <f t="shared" si="176"/>
        <v>6556.0666666666666</v>
      </c>
    </row>
    <row r="469" spans="1:53">
      <c r="A469" s="600" t="s">
        <v>237</v>
      </c>
      <c r="B469" s="605" t="s">
        <v>422</v>
      </c>
      <c r="C469" s="611"/>
      <c r="D469" s="606">
        <v>222053</v>
      </c>
      <c r="E469" s="604">
        <v>8</v>
      </c>
      <c r="F469" s="491" t="s">
        <v>41</v>
      </c>
      <c r="G469" s="492" t="s">
        <v>41</v>
      </c>
      <c r="H469" s="456"/>
      <c r="I469" s="493"/>
      <c r="J469" s="456">
        <v>65794</v>
      </c>
      <c r="K469" s="493">
        <v>63344</v>
      </c>
      <c r="L469" s="456">
        <v>15850</v>
      </c>
      <c r="M469" s="493">
        <v>13654</v>
      </c>
      <c r="N469" s="456">
        <v>71204</v>
      </c>
      <c r="O469" s="493">
        <v>81089</v>
      </c>
      <c r="P469" s="449">
        <f t="shared" si="159"/>
        <v>152848</v>
      </c>
      <c r="Q469" s="450">
        <f t="shared" si="160"/>
        <v>5094.9333333333334</v>
      </c>
      <c r="R469" s="451">
        <f t="shared" si="161"/>
        <v>158087</v>
      </c>
      <c r="S469" s="452">
        <f t="shared" si="162"/>
        <v>5269.5666666666666</v>
      </c>
      <c r="T469" s="456">
        <v>13620</v>
      </c>
      <c r="U469" s="493">
        <v>13767</v>
      </c>
      <c r="V469" s="449">
        <f t="shared" si="163"/>
        <v>152848</v>
      </c>
      <c r="W469" s="448">
        <f t="shared" si="164"/>
        <v>158087</v>
      </c>
      <c r="X469" s="456"/>
      <c r="Y469" s="493"/>
      <c r="Z469" s="456"/>
      <c r="AA469" s="493"/>
      <c r="AB469" s="456"/>
      <c r="AC469" s="493"/>
      <c r="AD469" s="456"/>
      <c r="AE469" s="493"/>
      <c r="AF469" s="449">
        <f t="shared" si="165"/>
        <v>0</v>
      </c>
      <c r="AG469" s="450">
        <f t="shared" si="166"/>
        <v>0</v>
      </c>
      <c r="AH469" s="451">
        <f t="shared" si="167"/>
        <v>0</v>
      </c>
      <c r="AI469" s="451">
        <f t="shared" si="168"/>
        <v>0</v>
      </c>
      <c r="AJ469" s="456"/>
      <c r="AK469" s="493"/>
      <c r="AL469" s="449">
        <f t="shared" si="169"/>
        <v>0</v>
      </c>
      <c r="AM469" s="452">
        <f t="shared" si="170"/>
        <v>0</v>
      </c>
      <c r="AN469" s="456"/>
      <c r="AO469" s="493"/>
      <c r="AP469" s="456"/>
      <c r="AQ469" s="493"/>
      <c r="AR469" s="456"/>
      <c r="AS469" s="493"/>
      <c r="AT469" s="456"/>
      <c r="AU469" s="493"/>
      <c r="AV469" s="449">
        <f t="shared" si="171"/>
        <v>0</v>
      </c>
      <c r="AW469" s="453">
        <f t="shared" si="172"/>
        <v>0</v>
      </c>
      <c r="AX469" s="451">
        <f t="shared" si="173"/>
        <v>0</v>
      </c>
      <c r="AY469" s="454">
        <f t="shared" si="174"/>
        <v>0</v>
      </c>
      <c r="AZ469" s="455">
        <f t="shared" si="175"/>
        <v>5094.9333333333334</v>
      </c>
      <c r="BA469" s="451">
        <f t="shared" si="176"/>
        <v>5269.5666666666666</v>
      </c>
    </row>
    <row r="470" spans="1:53">
      <c r="A470" s="600" t="s">
        <v>237</v>
      </c>
      <c r="B470" s="601" t="s">
        <v>423</v>
      </c>
      <c r="C470" s="613"/>
      <c r="D470" s="606">
        <v>219879</v>
      </c>
      <c r="E470" s="607">
        <v>9</v>
      </c>
      <c r="F470" s="491" t="s">
        <v>41</v>
      </c>
      <c r="G470" s="492" t="s">
        <v>41</v>
      </c>
      <c r="H470" s="456"/>
      <c r="I470" s="493"/>
      <c r="J470" s="456">
        <v>31147</v>
      </c>
      <c r="K470" s="493">
        <v>29911</v>
      </c>
      <c r="L470" s="456">
        <v>4346</v>
      </c>
      <c r="M470" s="493">
        <v>4294</v>
      </c>
      <c r="N470" s="456">
        <v>34733</v>
      </c>
      <c r="O470" s="493">
        <v>36188</v>
      </c>
      <c r="P470" s="449">
        <f t="shared" si="159"/>
        <v>70226</v>
      </c>
      <c r="Q470" s="450">
        <f t="shared" si="160"/>
        <v>2340.8666666666668</v>
      </c>
      <c r="R470" s="451">
        <f t="shared" si="161"/>
        <v>70393</v>
      </c>
      <c r="S470" s="452">
        <f t="shared" si="162"/>
        <v>2346.4333333333334</v>
      </c>
      <c r="T470" s="456">
        <v>5795</v>
      </c>
      <c r="U470" s="493">
        <v>7066</v>
      </c>
      <c r="V470" s="449">
        <f t="shared" si="163"/>
        <v>70226</v>
      </c>
      <c r="W470" s="448">
        <f t="shared" si="164"/>
        <v>70393</v>
      </c>
      <c r="X470" s="456"/>
      <c r="Y470" s="493"/>
      <c r="Z470" s="456"/>
      <c r="AA470" s="493"/>
      <c r="AB470" s="456"/>
      <c r="AC470" s="493"/>
      <c r="AD470" s="456"/>
      <c r="AE470" s="493"/>
      <c r="AF470" s="449">
        <f t="shared" si="165"/>
        <v>0</v>
      </c>
      <c r="AG470" s="450">
        <f t="shared" si="166"/>
        <v>0</v>
      </c>
      <c r="AH470" s="451">
        <f t="shared" si="167"/>
        <v>0</v>
      </c>
      <c r="AI470" s="451">
        <f t="shared" si="168"/>
        <v>0</v>
      </c>
      <c r="AJ470" s="456"/>
      <c r="AK470" s="493"/>
      <c r="AL470" s="449">
        <f t="shared" si="169"/>
        <v>0</v>
      </c>
      <c r="AM470" s="452">
        <f t="shared" si="170"/>
        <v>0</v>
      </c>
      <c r="AN470" s="456"/>
      <c r="AO470" s="493"/>
      <c r="AP470" s="456"/>
      <c r="AQ470" s="493"/>
      <c r="AR470" s="456"/>
      <c r="AS470" s="493"/>
      <c r="AT470" s="456"/>
      <c r="AU470" s="493"/>
      <c r="AV470" s="449">
        <f t="shared" si="171"/>
        <v>0</v>
      </c>
      <c r="AW470" s="453">
        <f t="shared" si="172"/>
        <v>0</v>
      </c>
      <c r="AX470" s="451">
        <f t="shared" si="173"/>
        <v>0</v>
      </c>
      <c r="AY470" s="454">
        <f t="shared" si="174"/>
        <v>0</v>
      </c>
      <c r="AZ470" s="455">
        <f t="shared" si="175"/>
        <v>2340.8666666666668</v>
      </c>
      <c r="BA470" s="451">
        <f t="shared" si="176"/>
        <v>2346.4333333333334</v>
      </c>
    </row>
    <row r="471" spans="1:53">
      <c r="A471" s="600" t="s">
        <v>237</v>
      </c>
      <c r="B471" s="601" t="s">
        <v>424</v>
      </c>
      <c r="C471" s="613"/>
      <c r="D471" s="606">
        <v>219888</v>
      </c>
      <c r="E471" s="607">
        <v>9</v>
      </c>
      <c r="F471" s="491" t="s">
        <v>41</v>
      </c>
      <c r="G471" s="492" t="s">
        <v>41</v>
      </c>
      <c r="H471" s="456"/>
      <c r="I471" s="493"/>
      <c r="J471" s="456">
        <v>44774</v>
      </c>
      <c r="K471" s="493">
        <v>43166</v>
      </c>
      <c r="L471" s="456">
        <v>9362</v>
      </c>
      <c r="M471" s="493">
        <v>7964</v>
      </c>
      <c r="N471" s="456">
        <v>48949</v>
      </c>
      <c r="O471" s="493">
        <v>54512</v>
      </c>
      <c r="P471" s="449">
        <f t="shared" si="159"/>
        <v>103085</v>
      </c>
      <c r="Q471" s="450">
        <f t="shared" si="160"/>
        <v>3436.1666666666665</v>
      </c>
      <c r="R471" s="451">
        <f t="shared" si="161"/>
        <v>105642</v>
      </c>
      <c r="S471" s="452">
        <f t="shared" si="162"/>
        <v>3521.4</v>
      </c>
      <c r="T471" s="456">
        <v>6710</v>
      </c>
      <c r="U471" s="493">
        <v>6980</v>
      </c>
      <c r="V471" s="449">
        <f t="shared" si="163"/>
        <v>103085</v>
      </c>
      <c r="W471" s="448">
        <f t="shared" si="164"/>
        <v>105642</v>
      </c>
      <c r="X471" s="456"/>
      <c r="Y471" s="493"/>
      <c r="Z471" s="456"/>
      <c r="AA471" s="493"/>
      <c r="AB471" s="456"/>
      <c r="AC471" s="493"/>
      <c r="AD471" s="456"/>
      <c r="AE471" s="493"/>
      <c r="AF471" s="449">
        <f t="shared" si="165"/>
        <v>0</v>
      </c>
      <c r="AG471" s="450">
        <f t="shared" si="166"/>
        <v>0</v>
      </c>
      <c r="AH471" s="451">
        <f t="shared" si="167"/>
        <v>0</v>
      </c>
      <c r="AI471" s="451">
        <f t="shared" si="168"/>
        <v>0</v>
      </c>
      <c r="AJ471" s="456"/>
      <c r="AK471" s="493"/>
      <c r="AL471" s="449">
        <f t="shared" si="169"/>
        <v>0</v>
      </c>
      <c r="AM471" s="452">
        <f t="shared" si="170"/>
        <v>0</v>
      </c>
      <c r="AN471" s="456"/>
      <c r="AO471" s="493"/>
      <c r="AP471" s="456"/>
      <c r="AQ471" s="493"/>
      <c r="AR471" s="456"/>
      <c r="AS471" s="493"/>
      <c r="AT471" s="456"/>
      <c r="AU471" s="493"/>
      <c r="AV471" s="449">
        <f t="shared" si="171"/>
        <v>0</v>
      </c>
      <c r="AW471" s="453">
        <f t="shared" si="172"/>
        <v>0</v>
      </c>
      <c r="AX471" s="451">
        <f t="shared" si="173"/>
        <v>0</v>
      </c>
      <c r="AY471" s="454">
        <f t="shared" si="174"/>
        <v>0</v>
      </c>
      <c r="AZ471" s="455">
        <f t="shared" si="175"/>
        <v>3436.1666666666665</v>
      </c>
      <c r="BA471" s="451">
        <f t="shared" si="176"/>
        <v>3521.4</v>
      </c>
    </row>
    <row r="472" spans="1:53">
      <c r="A472" s="600" t="s">
        <v>237</v>
      </c>
      <c r="B472" s="605" t="s">
        <v>425</v>
      </c>
      <c r="C472" s="602" t="s">
        <v>316</v>
      </c>
      <c r="D472" s="606">
        <v>220057</v>
      </c>
      <c r="E472" s="604">
        <v>9</v>
      </c>
      <c r="F472" s="491" t="s">
        <v>41</v>
      </c>
      <c r="G472" s="492" t="s">
        <v>41</v>
      </c>
      <c r="H472" s="456"/>
      <c r="I472" s="493"/>
      <c r="J472" s="456">
        <v>24505</v>
      </c>
      <c r="K472" s="493">
        <v>21837</v>
      </c>
      <c r="L472" s="456">
        <v>2950</v>
      </c>
      <c r="M472" s="493">
        <v>2539</v>
      </c>
      <c r="N472" s="456">
        <v>25169</v>
      </c>
      <c r="O472" s="493">
        <v>25353</v>
      </c>
      <c r="P472" s="449">
        <f t="shared" si="159"/>
        <v>52624</v>
      </c>
      <c r="Q472" s="450">
        <f t="shared" si="160"/>
        <v>1754.1333333333334</v>
      </c>
      <c r="R472" s="451">
        <f t="shared" si="161"/>
        <v>49729</v>
      </c>
      <c r="S472" s="452">
        <f t="shared" si="162"/>
        <v>1657.6333333333334</v>
      </c>
      <c r="T472" s="456">
        <v>7310</v>
      </c>
      <c r="U472" s="493">
        <v>7262</v>
      </c>
      <c r="V472" s="449">
        <f t="shared" si="163"/>
        <v>52624</v>
      </c>
      <c r="W472" s="448">
        <f t="shared" si="164"/>
        <v>49729</v>
      </c>
      <c r="X472" s="456"/>
      <c r="Y472" s="493"/>
      <c r="Z472" s="456"/>
      <c r="AA472" s="493"/>
      <c r="AB472" s="456"/>
      <c r="AC472" s="493"/>
      <c r="AD472" s="456"/>
      <c r="AE472" s="493"/>
      <c r="AF472" s="449">
        <f t="shared" si="165"/>
        <v>0</v>
      </c>
      <c r="AG472" s="450">
        <f t="shared" si="166"/>
        <v>0</v>
      </c>
      <c r="AH472" s="451">
        <f t="shared" si="167"/>
        <v>0</v>
      </c>
      <c r="AI472" s="451">
        <f t="shared" si="168"/>
        <v>0</v>
      </c>
      <c r="AJ472" s="456"/>
      <c r="AK472" s="493"/>
      <c r="AL472" s="449">
        <f t="shared" si="169"/>
        <v>0</v>
      </c>
      <c r="AM472" s="452">
        <f t="shared" si="170"/>
        <v>0</v>
      </c>
      <c r="AN472" s="456"/>
      <c r="AO472" s="493"/>
      <c r="AP472" s="456"/>
      <c r="AQ472" s="493"/>
      <c r="AR472" s="456"/>
      <c r="AS472" s="493"/>
      <c r="AT472" s="456"/>
      <c r="AU472" s="493"/>
      <c r="AV472" s="449">
        <f t="shared" si="171"/>
        <v>0</v>
      </c>
      <c r="AW472" s="453">
        <f t="shared" si="172"/>
        <v>0</v>
      </c>
      <c r="AX472" s="451">
        <f t="shared" si="173"/>
        <v>0</v>
      </c>
      <c r="AY472" s="454">
        <f t="shared" si="174"/>
        <v>0</v>
      </c>
      <c r="AZ472" s="455">
        <f t="shared" si="175"/>
        <v>1754.1333333333334</v>
      </c>
      <c r="BA472" s="451">
        <f t="shared" si="176"/>
        <v>1657.6333333333334</v>
      </c>
    </row>
    <row r="473" spans="1:53">
      <c r="A473" s="600" t="s">
        <v>237</v>
      </c>
      <c r="B473" s="601" t="s">
        <v>426</v>
      </c>
      <c r="C473" s="613"/>
      <c r="D473" s="606">
        <v>220400</v>
      </c>
      <c r="E473" s="607">
        <v>9</v>
      </c>
      <c r="F473" s="491" t="s">
        <v>41</v>
      </c>
      <c r="G473" s="492" t="s">
        <v>41</v>
      </c>
      <c r="H473" s="456"/>
      <c r="I473" s="493"/>
      <c r="J473" s="456">
        <v>36310</v>
      </c>
      <c r="K473" s="493">
        <v>37729</v>
      </c>
      <c r="L473" s="456">
        <v>6771</v>
      </c>
      <c r="M473" s="493">
        <v>6240</v>
      </c>
      <c r="N473" s="456">
        <v>42382</v>
      </c>
      <c r="O473" s="493">
        <v>43604</v>
      </c>
      <c r="P473" s="449">
        <f t="shared" si="159"/>
        <v>85463</v>
      </c>
      <c r="Q473" s="450">
        <f t="shared" si="160"/>
        <v>2848.7666666666669</v>
      </c>
      <c r="R473" s="451">
        <f t="shared" si="161"/>
        <v>87573</v>
      </c>
      <c r="S473" s="452">
        <f t="shared" si="162"/>
        <v>2919.1</v>
      </c>
      <c r="T473" s="456">
        <v>11036</v>
      </c>
      <c r="U473" s="493">
        <v>13486</v>
      </c>
      <c r="V473" s="449">
        <f t="shared" si="163"/>
        <v>85463</v>
      </c>
      <c r="W473" s="448">
        <f t="shared" si="164"/>
        <v>87573</v>
      </c>
      <c r="X473" s="456"/>
      <c r="Y473" s="493"/>
      <c r="Z473" s="456"/>
      <c r="AA473" s="493"/>
      <c r="AB473" s="456"/>
      <c r="AC473" s="493"/>
      <c r="AD473" s="456"/>
      <c r="AE473" s="493"/>
      <c r="AF473" s="449">
        <f t="shared" si="165"/>
        <v>0</v>
      </c>
      <c r="AG473" s="450">
        <f t="shared" si="166"/>
        <v>0</v>
      </c>
      <c r="AH473" s="451">
        <f t="shared" si="167"/>
        <v>0</v>
      </c>
      <c r="AI473" s="451">
        <f t="shared" si="168"/>
        <v>0</v>
      </c>
      <c r="AJ473" s="456"/>
      <c r="AK473" s="493"/>
      <c r="AL473" s="449">
        <f t="shared" si="169"/>
        <v>0</v>
      </c>
      <c r="AM473" s="452">
        <f t="shared" si="170"/>
        <v>0</v>
      </c>
      <c r="AN473" s="456"/>
      <c r="AO473" s="493"/>
      <c r="AP473" s="456"/>
      <c r="AQ473" s="493"/>
      <c r="AR473" s="456"/>
      <c r="AS473" s="493"/>
      <c r="AT473" s="456"/>
      <c r="AU473" s="493"/>
      <c r="AV473" s="449">
        <f t="shared" si="171"/>
        <v>0</v>
      </c>
      <c r="AW473" s="453">
        <f t="shared" si="172"/>
        <v>0</v>
      </c>
      <c r="AX473" s="451">
        <f t="shared" si="173"/>
        <v>0</v>
      </c>
      <c r="AY473" s="454">
        <f t="shared" si="174"/>
        <v>0</v>
      </c>
      <c r="AZ473" s="455">
        <f t="shared" si="175"/>
        <v>2848.7666666666669</v>
      </c>
      <c r="BA473" s="451">
        <f t="shared" si="176"/>
        <v>2919.1</v>
      </c>
    </row>
    <row r="474" spans="1:53">
      <c r="A474" s="600" t="s">
        <v>237</v>
      </c>
      <c r="B474" s="601" t="s">
        <v>427</v>
      </c>
      <c r="C474" s="613"/>
      <c r="D474" s="606">
        <v>221096</v>
      </c>
      <c r="E474" s="607">
        <v>9</v>
      </c>
      <c r="F474" s="491" t="s">
        <v>41</v>
      </c>
      <c r="G474" s="492" t="s">
        <v>41</v>
      </c>
      <c r="H474" s="456"/>
      <c r="I474" s="493"/>
      <c r="J474" s="456">
        <v>38941</v>
      </c>
      <c r="K474" s="493">
        <v>39996</v>
      </c>
      <c r="L474" s="456">
        <v>7643</v>
      </c>
      <c r="M474" s="493">
        <v>7103</v>
      </c>
      <c r="N474" s="456">
        <v>44764</v>
      </c>
      <c r="O474" s="493">
        <v>54809</v>
      </c>
      <c r="P474" s="449">
        <f t="shared" si="159"/>
        <v>91348</v>
      </c>
      <c r="Q474" s="450">
        <f t="shared" si="160"/>
        <v>3044.9333333333334</v>
      </c>
      <c r="R474" s="451">
        <f t="shared" si="161"/>
        <v>101908</v>
      </c>
      <c r="S474" s="452">
        <f t="shared" si="162"/>
        <v>3396.9333333333334</v>
      </c>
      <c r="T474" s="456">
        <v>7905</v>
      </c>
      <c r="U474" s="493">
        <v>6777</v>
      </c>
      <c r="V474" s="449">
        <f t="shared" si="163"/>
        <v>91348</v>
      </c>
      <c r="W474" s="448">
        <f t="shared" si="164"/>
        <v>101908</v>
      </c>
      <c r="X474" s="456"/>
      <c r="Y474" s="493"/>
      <c r="Z474" s="456"/>
      <c r="AA474" s="493"/>
      <c r="AB474" s="456"/>
      <c r="AC474" s="493"/>
      <c r="AD474" s="456"/>
      <c r="AE474" s="493"/>
      <c r="AF474" s="449">
        <f t="shared" si="165"/>
        <v>0</v>
      </c>
      <c r="AG474" s="450">
        <f t="shared" si="166"/>
        <v>0</v>
      </c>
      <c r="AH474" s="451">
        <f t="shared" si="167"/>
        <v>0</v>
      </c>
      <c r="AI474" s="451">
        <f t="shared" si="168"/>
        <v>0</v>
      </c>
      <c r="AJ474" s="456"/>
      <c r="AK474" s="493"/>
      <c r="AL474" s="449">
        <f t="shared" si="169"/>
        <v>0</v>
      </c>
      <c r="AM474" s="452">
        <f t="shared" si="170"/>
        <v>0</v>
      </c>
      <c r="AN474" s="456"/>
      <c r="AO474" s="493"/>
      <c r="AP474" s="456"/>
      <c r="AQ474" s="493"/>
      <c r="AR474" s="456"/>
      <c r="AS474" s="493"/>
      <c r="AT474" s="456"/>
      <c r="AU474" s="493"/>
      <c r="AV474" s="449">
        <f t="shared" si="171"/>
        <v>0</v>
      </c>
      <c r="AW474" s="453">
        <f t="shared" si="172"/>
        <v>0</v>
      </c>
      <c r="AX474" s="451">
        <f t="shared" si="173"/>
        <v>0</v>
      </c>
      <c r="AY474" s="454">
        <f t="shared" si="174"/>
        <v>0</v>
      </c>
      <c r="AZ474" s="455">
        <f t="shared" si="175"/>
        <v>3044.9333333333334</v>
      </c>
      <c r="BA474" s="451">
        <f t="shared" si="176"/>
        <v>3396.9333333333334</v>
      </c>
    </row>
    <row r="475" spans="1:53">
      <c r="A475" s="600" t="s">
        <v>237</v>
      </c>
      <c r="B475" s="601" t="s">
        <v>428</v>
      </c>
      <c r="C475" s="613"/>
      <c r="D475" s="606">
        <v>221908</v>
      </c>
      <c r="E475" s="607">
        <v>9</v>
      </c>
      <c r="F475" s="491" t="s">
        <v>41</v>
      </c>
      <c r="G475" s="492" t="s">
        <v>41</v>
      </c>
      <c r="H475" s="456"/>
      <c r="I475" s="493"/>
      <c r="J475" s="456">
        <v>51856</v>
      </c>
      <c r="K475" s="493">
        <v>51666</v>
      </c>
      <c r="L475" s="456">
        <v>8047</v>
      </c>
      <c r="M475" s="493">
        <v>7290</v>
      </c>
      <c r="N475" s="456">
        <v>58320</v>
      </c>
      <c r="O475" s="493">
        <v>63229</v>
      </c>
      <c r="P475" s="449">
        <f t="shared" si="159"/>
        <v>118223</v>
      </c>
      <c r="Q475" s="450">
        <f t="shared" si="160"/>
        <v>3940.7666666666669</v>
      </c>
      <c r="R475" s="451">
        <f t="shared" si="161"/>
        <v>122185</v>
      </c>
      <c r="S475" s="452">
        <f t="shared" si="162"/>
        <v>4072.8333333333335</v>
      </c>
      <c r="T475" s="456">
        <v>7213</v>
      </c>
      <c r="U475" s="493">
        <v>7262</v>
      </c>
      <c r="V475" s="449">
        <f t="shared" si="163"/>
        <v>118223</v>
      </c>
      <c r="W475" s="448">
        <f t="shared" si="164"/>
        <v>122185</v>
      </c>
      <c r="X475" s="456"/>
      <c r="Y475" s="493"/>
      <c r="Z475" s="456"/>
      <c r="AA475" s="493"/>
      <c r="AB475" s="456"/>
      <c r="AC475" s="493"/>
      <c r="AD475" s="456"/>
      <c r="AE475" s="493"/>
      <c r="AF475" s="449">
        <f t="shared" si="165"/>
        <v>0</v>
      </c>
      <c r="AG475" s="450">
        <f t="shared" si="166"/>
        <v>0</v>
      </c>
      <c r="AH475" s="451">
        <f t="shared" si="167"/>
        <v>0</v>
      </c>
      <c r="AI475" s="451">
        <f t="shared" si="168"/>
        <v>0</v>
      </c>
      <c r="AJ475" s="456"/>
      <c r="AK475" s="493"/>
      <c r="AL475" s="449">
        <f t="shared" si="169"/>
        <v>0</v>
      </c>
      <c r="AM475" s="452">
        <f t="shared" si="170"/>
        <v>0</v>
      </c>
      <c r="AN475" s="456"/>
      <c r="AO475" s="493"/>
      <c r="AP475" s="456"/>
      <c r="AQ475" s="493"/>
      <c r="AR475" s="456"/>
      <c r="AS475" s="493"/>
      <c r="AT475" s="456"/>
      <c r="AU475" s="493"/>
      <c r="AV475" s="449">
        <f t="shared" si="171"/>
        <v>0</v>
      </c>
      <c r="AW475" s="453">
        <f t="shared" si="172"/>
        <v>0</v>
      </c>
      <c r="AX475" s="451">
        <f t="shared" si="173"/>
        <v>0</v>
      </c>
      <c r="AY475" s="454">
        <f t="shared" si="174"/>
        <v>0</v>
      </c>
      <c r="AZ475" s="455">
        <f t="shared" si="175"/>
        <v>3940.7666666666669</v>
      </c>
      <c r="BA475" s="451">
        <f t="shared" si="176"/>
        <v>4072.8333333333335</v>
      </c>
    </row>
    <row r="476" spans="1:53">
      <c r="A476" s="608" t="s">
        <v>237</v>
      </c>
      <c r="B476" s="601" t="s">
        <v>429</v>
      </c>
      <c r="C476" s="613"/>
      <c r="D476" s="606">
        <v>221397</v>
      </c>
      <c r="E476" s="607">
        <v>9</v>
      </c>
      <c r="F476" s="491" t="s">
        <v>41</v>
      </c>
      <c r="G476" s="492" t="s">
        <v>41</v>
      </c>
      <c r="H476" s="456"/>
      <c r="I476" s="493"/>
      <c r="J476" s="456">
        <v>52645</v>
      </c>
      <c r="K476" s="493">
        <v>50149</v>
      </c>
      <c r="L476" s="456">
        <v>7552</v>
      </c>
      <c r="M476" s="493">
        <v>6787</v>
      </c>
      <c r="N476" s="456">
        <v>56648</v>
      </c>
      <c r="O476" s="493">
        <v>58360</v>
      </c>
      <c r="P476" s="449">
        <f t="shared" si="159"/>
        <v>116845</v>
      </c>
      <c r="Q476" s="450">
        <f t="shared" si="160"/>
        <v>3894.8333333333335</v>
      </c>
      <c r="R476" s="451">
        <f t="shared" si="161"/>
        <v>115296</v>
      </c>
      <c r="S476" s="452">
        <f t="shared" si="162"/>
        <v>3843.2</v>
      </c>
      <c r="T476" s="456">
        <v>10042</v>
      </c>
      <c r="U476" s="493">
        <v>11131</v>
      </c>
      <c r="V476" s="449">
        <f t="shared" si="163"/>
        <v>116845</v>
      </c>
      <c r="W476" s="448">
        <f t="shared" si="164"/>
        <v>115296</v>
      </c>
      <c r="X476" s="456"/>
      <c r="Y476" s="493"/>
      <c r="Z476" s="456"/>
      <c r="AA476" s="493"/>
      <c r="AB476" s="456"/>
      <c r="AC476" s="493"/>
      <c r="AD476" s="456"/>
      <c r="AE476" s="493"/>
      <c r="AF476" s="449">
        <f t="shared" si="165"/>
        <v>0</v>
      </c>
      <c r="AG476" s="450">
        <f t="shared" si="166"/>
        <v>0</v>
      </c>
      <c r="AH476" s="451">
        <f t="shared" si="167"/>
        <v>0</v>
      </c>
      <c r="AI476" s="451">
        <f t="shared" si="168"/>
        <v>0</v>
      </c>
      <c r="AJ476" s="456"/>
      <c r="AK476" s="493"/>
      <c r="AL476" s="449">
        <f t="shared" si="169"/>
        <v>0</v>
      </c>
      <c r="AM476" s="452">
        <f t="shared" si="170"/>
        <v>0</v>
      </c>
      <c r="AN476" s="456"/>
      <c r="AO476" s="493"/>
      <c r="AP476" s="456"/>
      <c r="AQ476" s="493"/>
      <c r="AR476" s="456"/>
      <c r="AS476" s="493"/>
      <c r="AT476" s="456"/>
      <c r="AU476" s="493"/>
      <c r="AV476" s="449">
        <f t="shared" si="171"/>
        <v>0</v>
      </c>
      <c r="AW476" s="453">
        <f t="shared" si="172"/>
        <v>0</v>
      </c>
      <c r="AX476" s="451">
        <f t="shared" si="173"/>
        <v>0</v>
      </c>
      <c r="AY476" s="454">
        <f t="shared" si="174"/>
        <v>0</v>
      </c>
      <c r="AZ476" s="455">
        <f t="shared" si="175"/>
        <v>3894.8333333333335</v>
      </c>
      <c r="BA476" s="451">
        <f t="shared" si="176"/>
        <v>3843.2</v>
      </c>
    </row>
    <row r="477" spans="1:53">
      <c r="A477" s="608" t="s">
        <v>237</v>
      </c>
      <c r="B477" s="601" t="s">
        <v>430</v>
      </c>
      <c r="C477" s="610"/>
      <c r="D477" s="606">
        <v>222062</v>
      </c>
      <c r="E477" s="607">
        <v>9</v>
      </c>
      <c r="F477" s="491" t="s">
        <v>41</v>
      </c>
      <c r="G477" s="492" t="s">
        <v>41</v>
      </c>
      <c r="H477" s="456"/>
      <c r="I477" s="493"/>
      <c r="J477" s="456">
        <v>53724</v>
      </c>
      <c r="K477" s="493">
        <v>51572</v>
      </c>
      <c r="L477" s="456">
        <v>6051</v>
      </c>
      <c r="M477" s="493">
        <v>6286</v>
      </c>
      <c r="N477" s="456">
        <v>60115</v>
      </c>
      <c r="O477" s="493">
        <v>61114</v>
      </c>
      <c r="P477" s="449">
        <f t="shared" si="159"/>
        <v>119890</v>
      </c>
      <c r="Q477" s="450">
        <f t="shared" si="160"/>
        <v>3996.3333333333335</v>
      </c>
      <c r="R477" s="451">
        <f t="shared" si="161"/>
        <v>118972</v>
      </c>
      <c r="S477" s="452">
        <f t="shared" si="162"/>
        <v>3965.7333333333331</v>
      </c>
      <c r="T477" s="456">
        <v>11453</v>
      </c>
      <c r="U477" s="493">
        <v>11616</v>
      </c>
      <c r="V477" s="449">
        <f t="shared" si="163"/>
        <v>119890</v>
      </c>
      <c r="W477" s="448">
        <f t="shared" si="164"/>
        <v>118972</v>
      </c>
      <c r="X477" s="456"/>
      <c r="Y477" s="493"/>
      <c r="Z477" s="456"/>
      <c r="AA477" s="493"/>
      <c r="AB477" s="456"/>
      <c r="AC477" s="493"/>
      <c r="AD477" s="456"/>
      <c r="AE477" s="493"/>
      <c r="AF477" s="449">
        <f t="shared" si="165"/>
        <v>0</v>
      </c>
      <c r="AG477" s="450">
        <f t="shared" si="166"/>
        <v>0</v>
      </c>
      <c r="AH477" s="451">
        <f t="shared" si="167"/>
        <v>0</v>
      </c>
      <c r="AI477" s="451">
        <f t="shared" si="168"/>
        <v>0</v>
      </c>
      <c r="AJ477" s="456"/>
      <c r="AK477" s="493"/>
      <c r="AL477" s="449">
        <f t="shared" si="169"/>
        <v>0</v>
      </c>
      <c r="AM477" s="452">
        <f t="shared" si="170"/>
        <v>0</v>
      </c>
      <c r="AN477" s="456"/>
      <c r="AO477" s="493"/>
      <c r="AP477" s="456"/>
      <c r="AQ477" s="493"/>
      <c r="AR477" s="456"/>
      <c r="AS477" s="493"/>
      <c r="AT477" s="456"/>
      <c r="AU477" s="493"/>
      <c r="AV477" s="449">
        <f t="shared" si="171"/>
        <v>0</v>
      </c>
      <c r="AW477" s="453">
        <f t="shared" si="172"/>
        <v>0</v>
      </c>
      <c r="AX477" s="451">
        <f t="shared" si="173"/>
        <v>0</v>
      </c>
      <c r="AY477" s="454">
        <f t="shared" si="174"/>
        <v>0</v>
      </c>
      <c r="AZ477" s="455">
        <f t="shared" si="175"/>
        <v>3996.3333333333335</v>
      </c>
      <c r="BA477" s="451">
        <f t="shared" si="176"/>
        <v>3965.7333333333331</v>
      </c>
    </row>
    <row r="478" spans="1:53">
      <c r="A478" s="608" t="s">
        <v>237</v>
      </c>
      <c r="B478" s="605" t="s">
        <v>431</v>
      </c>
      <c r="C478" s="611"/>
      <c r="D478" s="606" t="s">
        <v>460</v>
      </c>
      <c r="E478" s="607">
        <v>12</v>
      </c>
      <c r="F478" s="491" t="s">
        <v>41</v>
      </c>
      <c r="G478" s="492" t="s">
        <v>41</v>
      </c>
      <c r="H478" s="456"/>
      <c r="I478" s="493"/>
      <c r="J478" s="456"/>
      <c r="K478" s="493"/>
      <c r="L478" s="456"/>
      <c r="M478" s="493"/>
      <c r="N478" s="456"/>
      <c r="O478" s="493"/>
      <c r="P478" s="449">
        <f t="shared" si="159"/>
        <v>0</v>
      </c>
      <c r="Q478" s="450">
        <f t="shared" si="160"/>
        <v>0</v>
      </c>
      <c r="R478" s="451">
        <f t="shared" si="161"/>
        <v>0</v>
      </c>
      <c r="S478" s="452">
        <f t="shared" si="162"/>
        <v>0</v>
      </c>
      <c r="T478" s="456"/>
      <c r="U478" s="493"/>
      <c r="V478" s="449">
        <f t="shared" si="163"/>
        <v>0</v>
      </c>
      <c r="W478" s="448">
        <f t="shared" si="164"/>
        <v>0</v>
      </c>
      <c r="X478" s="456"/>
      <c r="Y478" s="493"/>
      <c r="Z478" s="456">
        <v>348514</v>
      </c>
      <c r="AA478" s="493">
        <v>319892</v>
      </c>
      <c r="AB478" s="456">
        <v>230817</v>
      </c>
      <c r="AC478" s="493">
        <v>210880</v>
      </c>
      <c r="AD478" s="456">
        <v>339531</v>
      </c>
      <c r="AE478" s="493">
        <v>372862</v>
      </c>
      <c r="AF478" s="449">
        <f t="shared" si="165"/>
        <v>918862</v>
      </c>
      <c r="AG478" s="450">
        <f t="shared" si="166"/>
        <v>1020.9577777777778</v>
      </c>
      <c r="AH478" s="451">
        <f t="shared" si="167"/>
        <v>903634</v>
      </c>
      <c r="AI478" s="451">
        <f t="shared" si="168"/>
        <v>1004.0377777777778</v>
      </c>
      <c r="AJ478" s="456"/>
      <c r="AK478" s="493"/>
      <c r="AL478" s="449">
        <f t="shared" si="169"/>
        <v>0</v>
      </c>
      <c r="AM478" s="452">
        <f t="shared" si="170"/>
        <v>0</v>
      </c>
      <c r="AN478" s="456"/>
      <c r="AO478" s="493"/>
      <c r="AP478" s="456"/>
      <c r="AQ478" s="493"/>
      <c r="AR478" s="456"/>
      <c r="AS478" s="493"/>
      <c r="AT478" s="456"/>
      <c r="AU478" s="493"/>
      <c r="AV478" s="449">
        <f t="shared" si="171"/>
        <v>0</v>
      </c>
      <c r="AW478" s="453">
        <f t="shared" si="172"/>
        <v>0</v>
      </c>
      <c r="AX478" s="451">
        <f t="shared" si="173"/>
        <v>0</v>
      </c>
      <c r="AY478" s="454">
        <f t="shared" si="174"/>
        <v>0</v>
      </c>
      <c r="AZ478" s="455">
        <f t="shared" si="175"/>
        <v>1020.9577777777778</v>
      </c>
      <c r="BA478" s="451">
        <f t="shared" si="176"/>
        <v>1004.0377777777778</v>
      </c>
    </row>
    <row r="479" spans="1:53">
      <c r="A479" s="608" t="s">
        <v>237</v>
      </c>
      <c r="B479" s="609" t="s">
        <v>432</v>
      </c>
      <c r="C479" s="613"/>
      <c r="D479" s="606">
        <v>219596</v>
      </c>
      <c r="E479" s="607">
        <v>13</v>
      </c>
      <c r="F479" s="491" t="s">
        <v>41</v>
      </c>
      <c r="G479" s="492" t="s">
        <v>41</v>
      </c>
      <c r="H479" s="456"/>
      <c r="I479" s="493"/>
      <c r="J479" s="456"/>
      <c r="K479" s="493"/>
      <c r="L479" s="456"/>
      <c r="M479" s="493"/>
      <c r="N479" s="456"/>
      <c r="O479" s="493"/>
      <c r="P479" s="449">
        <f t="shared" si="159"/>
        <v>0</v>
      </c>
      <c r="Q479" s="450">
        <f t="shared" si="160"/>
        <v>0</v>
      </c>
      <c r="R479" s="451">
        <f t="shared" si="161"/>
        <v>0</v>
      </c>
      <c r="S479" s="452">
        <f t="shared" si="162"/>
        <v>0</v>
      </c>
      <c r="T479" s="456"/>
      <c r="U479" s="493"/>
      <c r="V479" s="449">
        <f t="shared" si="163"/>
        <v>0</v>
      </c>
      <c r="W479" s="448">
        <f t="shared" si="164"/>
        <v>0</v>
      </c>
      <c r="X479" s="456"/>
      <c r="Y479" s="493"/>
      <c r="Z479" s="456">
        <v>76579</v>
      </c>
      <c r="AA479" s="493">
        <v>78992</v>
      </c>
      <c r="AB479" s="456">
        <v>70468</v>
      </c>
      <c r="AC479" s="493">
        <v>71840</v>
      </c>
      <c r="AD479" s="456">
        <v>88839</v>
      </c>
      <c r="AE479" s="493">
        <v>95749</v>
      </c>
      <c r="AF479" s="449">
        <f t="shared" si="165"/>
        <v>235886</v>
      </c>
      <c r="AG479" s="450">
        <f t="shared" si="166"/>
        <v>262.09555555555556</v>
      </c>
      <c r="AH479" s="451">
        <f t="shared" si="167"/>
        <v>246581</v>
      </c>
      <c r="AI479" s="451">
        <f t="shared" si="168"/>
        <v>273.97888888888889</v>
      </c>
      <c r="AJ479" s="456"/>
      <c r="AK479" s="493"/>
      <c r="AL479" s="449">
        <f t="shared" si="169"/>
        <v>0</v>
      </c>
      <c r="AM479" s="452">
        <f t="shared" si="170"/>
        <v>0</v>
      </c>
      <c r="AN479" s="456"/>
      <c r="AO479" s="493"/>
      <c r="AP479" s="456"/>
      <c r="AQ479" s="493"/>
      <c r="AR479" s="456"/>
      <c r="AS479" s="493"/>
      <c r="AT479" s="456"/>
      <c r="AU479" s="493"/>
      <c r="AV479" s="449">
        <f t="shared" si="171"/>
        <v>0</v>
      </c>
      <c r="AW479" s="453">
        <f t="shared" si="172"/>
        <v>0</v>
      </c>
      <c r="AX479" s="451">
        <f t="shared" si="173"/>
        <v>0</v>
      </c>
      <c r="AY479" s="454">
        <f t="shared" si="174"/>
        <v>0</v>
      </c>
      <c r="AZ479" s="455">
        <f t="shared" si="175"/>
        <v>262.09555555555556</v>
      </c>
      <c r="BA479" s="451">
        <f t="shared" si="176"/>
        <v>273.97888888888889</v>
      </c>
    </row>
    <row r="480" spans="1:53">
      <c r="A480" s="608" t="s">
        <v>237</v>
      </c>
      <c r="B480" s="609" t="s">
        <v>433</v>
      </c>
      <c r="C480" s="613"/>
      <c r="D480" s="606">
        <v>219921</v>
      </c>
      <c r="E480" s="607">
        <v>13</v>
      </c>
      <c r="F480" s="491" t="s">
        <v>41</v>
      </c>
      <c r="G480" s="492" t="s">
        <v>41</v>
      </c>
      <c r="H480" s="456"/>
      <c r="I480" s="493"/>
      <c r="J480" s="456"/>
      <c r="K480" s="493"/>
      <c r="L480" s="456"/>
      <c r="M480" s="493"/>
      <c r="N480" s="456"/>
      <c r="O480" s="493"/>
      <c r="P480" s="449">
        <f t="shared" si="159"/>
        <v>0</v>
      </c>
      <c r="Q480" s="450">
        <f t="shared" si="160"/>
        <v>0</v>
      </c>
      <c r="R480" s="451">
        <f t="shared" si="161"/>
        <v>0</v>
      </c>
      <c r="S480" s="452">
        <f t="shared" si="162"/>
        <v>0</v>
      </c>
      <c r="T480" s="456"/>
      <c r="U480" s="493"/>
      <c r="V480" s="449">
        <f t="shared" si="163"/>
        <v>0</v>
      </c>
      <c r="W480" s="448">
        <f t="shared" si="164"/>
        <v>0</v>
      </c>
      <c r="X480" s="456"/>
      <c r="Y480" s="493"/>
      <c r="Z480" s="456">
        <v>56756</v>
      </c>
      <c r="AA480" s="493">
        <v>60186</v>
      </c>
      <c r="AB480" s="456">
        <v>50268</v>
      </c>
      <c r="AC480" s="493">
        <v>56544</v>
      </c>
      <c r="AD480" s="456">
        <v>64259</v>
      </c>
      <c r="AE480" s="493">
        <v>70259</v>
      </c>
      <c r="AF480" s="449">
        <f t="shared" si="165"/>
        <v>171283</v>
      </c>
      <c r="AG480" s="450">
        <f t="shared" si="166"/>
        <v>190.31444444444443</v>
      </c>
      <c r="AH480" s="451">
        <f t="shared" si="167"/>
        <v>186989</v>
      </c>
      <c r="AI480" s="451">
        <f t="shared" si="168"/>
        <v>207.76555555555555</v>
      </c>
      <c r="AJ480" s="456"/>
      <c r="AK480" s="493"/>
      <c r="AL480" s="449">
        <f t="shared" si="169"/>
        <v>0</v>
      </c>
      <c r="AM480" s="452">
        <f t="shared" si="170"/>
        <v>0</v>
      </c>
      <c r="AN480" s="456"/>
      <c r="AO480" s="493"/>
      <c r="AP480" s="456"/>
      <c r="AQ480" s="493"/>
      <c r="AR480" s="456"/>
      <c r="AS480" s="493"/>
      <c r="AT480" s="456"/>
      <c r="AU480" s="493"/>
      <c r="AV480" s="449">
        <f t="shared" si="171"/>
        <v>0</v>
      </c>
      <c r="AW480" s="453">
        <f t="shared" si="172"/>
        <v>0</v>
      </c>
      <c r="AX480" s="451">
        <f t="shared" si="173"/>
        <v>0</v>
      </c>
      <c r="AY480" s="454">
        <f t="shared" si="174"/>
        <v>0</v>
      </c>
      <c r="AZ480" s="455">
        <f t="shared" si="175"/>
        <v>190.31444444444443</v>
      </c>
      <c r="BA480" s="451">
        <f t="shared" si="176"/>
        <v>207.76555555555555</v>
      </c>
    </row>
    <row r="481" spans="1:53">
      <c r="A481" s="608" t="s">
        <v>237</v>
      </c>
      <c r="B481" s="609" t="s">
        <v>434</v>
      </c>
      <c r="C481" s="613"/>
      <c r="D481" s="606">
        <v>221591</v>
      </c>
      <c r="E481" s="607">
        <v>13</v>
      </c>
      <c r="F481" s="491" t="s">
        <v>41</v>
      </c>
      <c r="G481" s="492" t="s">
        <v>41</v>
      </c>
      <c r="H481" s="456"/>
      <c r="I481" s="493"/>
      <c r="J481" s="456"/>
      <c r="K481" s="493"/>
      <c r="L481" s="456"/>
      <c r="M481" s="493"/>
      <c r="N481" s="456"/>
      <c r="O481" s="493"/>
      <c r="P481" s="449">
        <f t="shared" si="159"/>
        <v>0</v>
      </c>
      <c r="Q481" s="450">
        <f t="shared" si="160"/>
        <v>0</v>
      </c>
      <c r="R481" s="451">
        <f t="shared" si="161"/>
        <v>0</v>
      </c>
      <c r="S481" s="452">
        <f t="shared" si="162"/>
        <v>0</v>
      </c>
      <c r="T481" s="456"/>
      <c r="U481" s="493"/>
      <c r="V481" s="449">
        <f t="shared" si="163"/>
        <v>0</v>
      </c>
      <c r="W481" s="448">
        <f t="shared" si="164"/>
        <v>0</v>
      </c>
      <c r="X481" s="456"/>
      <c r="Y481" s="493"/>
      <c r="Z481" s="456">
        <v>106511</v>
      </c>
      <c r="AA481" s="493">
        <v>109441</v>
      </c>
      <c r="AB481" s="456">
        <v>103121</v>
      </c>
      <c r="AC481" s="493">
        <v>98774</v>
      </c>
      <c r="AD481" s="456">
        <v>106442</v>
      </c>
      <c r="AE481" s="493">
        <v>129933</v>
      </c>
      <c r="AF481" s="449">
        <f t="shared" si="165"/>
        <v>316074</v>
      </c>
      <c r="AG481" s="450">
        <f t="shared" si="166"/>
        <v>351.19333333333333</v>
      </c>
      <c r="AH481" s="451">
        <f t="shared" si="167"/>
        <v>338148</v>
      </c>
      <c r="AI481" s="451">
        <f t="shared" si="168"/>
        <v>375.72</v>
      </c>
      <c r="AJ481" s="456"/>
      <c r="AK481" s="493"/>
      <c r="AL481" s="449">
        <f t="shared" si="169"/>
        <v>0</v>
      </c>
      <c r="AM481" s="452">
        <f t="shared" si="170"/>
        <v>0</v>
      </c>
      <c r="AN481" s="456"/>
      <c r="AO481" s="493"/>
      <c r="AP481" s="456"/>
      <c r="AQ481" s="493"/>
      <c r="AR481" s="456"/>
      <c r="AS481" s="493"/>
      <c r="AT481" s="456"/>
      <c r="AU481" s="493"/>
      <c r="AV481" s="449">
        <f t="shared" si="171"/>
        <v>0</v>
      </c>
      <c r="AW481" s="453">
        <f t="shared" si="172"/>
        <v>0</v>
      </c>
      <c r="AX481" s="451">
        <f t="shared" si="173"/>
        <v>0</v>
      </c>
      <c r="AY481" s="454">
        <f t="shared" si="174"/>
        <v>0</v>
      </c>
      <c r="AZ481" s="455">
        <f t="shared" si="175"/>
        <v>351.19333333333333</v>
      </c>
      <c r="BA481" s="451">
        <f t="shared" si="176"/>
        <v>375.72</v>
      </c>
    </row>
    <row r="482" spans="1:53">
      <c r="A482" s="608" t="s">
        <v>237</v>
      </c>
      <c r="B482" s="609" t="s">
        <v>435</v>
      </c>
      <c r="C482" s="613"/>
      <c r="D482" s="606">
        <v>221430</v>
      </c>
      <c r="E482" s="607">
        <v>13</v>
      </c>
      <c r="F482" s="491" t="s">
        <v>41</v>
      </c>
      <c r="G482" s="492" t="s">
        <v>41</v>
      </c>
      <c r="H482" s="456"/>
      <c r="I482" s="493"/>
      <c r="J482" s="456"/>
      <c r="K482" s="493"/>
      <c r="L482" s="456"/>
      <c r="M482" s="493"/>
      <c r="N482" s="456"/>
      <c r="O482" s="493"/>
      <c r="P482" s="449">
        <f t="shared" si="159"/>
        <v>0</v>
      </c>
      <c r="Q482" s="450">
        <f t="shared" si="160"/>
        <v>0</v>
      </c>
      <c r="R482" s="451">
        <f t="shared" si="161"/>
        <v>0</v>
      </c>
      <c r="S482" s="452">
        <f t="shared" si="162"/>
        <v>0</v>
      </c>
      <c r="T482" s="456"/>
      <c r="U482" s="493"/>
      <c r="V482" s="449">
        <f t="shared" si="163"/>
        <v>0</v>
      </c>
      <c r="W482" s="448">
        <f t="shared" si="164"/>
        <v>0</v>
      </c>
      <c r="X482" s="456"/>
      <c r="Y482" s="493"/>
      <c r="Z482" s="456">
        <v>69532</v>
      </c>
      <c r="AA482" s="493">
        <v>70765</v>
      </c>
      <c r="AB482" s="456">
        <v>61114</v>
      </c>
      <c r="AC482" s="493">
        <v>51983</v>
      </c>
      <c r="AD482" s="456">
        <v>78187</v>
      </c>
      <c r="AE482" s="493">
        <v>78836</v>
      </c>
      <c r="AF482" s="449">
        <f t="shared" si="165"/>
        <v>208833</v>
      </c>
      <c r="AG482" s="450">
        <f t="shared" si="166"/>
        <v>232.03666666666666</v>
      </c>
      <c r="AH482" s="451">
        <f t="shared" si="167"/>
        <v>201584</v>
      </c>
      <c r="AI482" s="451">
        <f t="shared" si="168"/>
        <v>223.98222222222222</v>
      </c>
      <c r="AJ482" s="456"/>
      <c r="AK482" s="493"/>
      <c r="AL482" s="449">
        <f t="shared" si="169"/>
        <v>0</v>
      </c>
      <c r="AM482" s="452">
        <f t="shared" si="170"/>
        <v>0</v>
      </c>
      <c r="AN482" s="456"/>
      <c r="AO482" s="493"/>
      <c r="AP482" s="456"/>
      <c r="AQ482" s="493"/>
      <c r="AR482" s="456"/>
      <c r="AS482" s="493"/>
      <c r="AT482" s="456"/>
      <c r="AU482" s="493"/>
      <c r="AV482" s="449">
        <f t="shared" si="171"/>
        <v>0</v>
      </c>
      <c r="AW482" s="453">
        <f t="shared" si="172"/>
        <v>0</v>
      </c>
      <c r="AX482" s="451">
        <f t="shared" si="173"/>
        <v>0</v>
      </c>
      <c r="AY482" s="454">
        <f t="shared" si="174"/>
        <v>0</v>
      </c>
      <c r="AZ482" s="455">
        <f t="shared" si="175"/>
        <v>232.03666666666666</v>
      </c>
      <c r="BA482" s="451">
        <f t="shared" si="176"/>
        <v>223.98222222222222</v>
      </c>
    </row>
    <row r="483" spans="1:53">
      <c r="A483" s="608" t="s">
        <v>237</v>
      </c>
      <c r="B483" s="609" t="s">
        <v>436</v>
      </c>
      <c r="C483" s="613"/>
      <c r="D483" s="606">
        <v>219994</v>
      </c>
      <c r="E483" s="607">
        <v>13</v>
      </c>
      <c r="F483" s="491" t="s">
        <v>41</v>
      </c>
      <c r="G483" s="492" t="s">
        <v>41</v>
      </c>
      <c r="H483" s="456"/>
      <c r="I483" s="493"/>
      <c r="J483" s="456"/>
      <c r="K483" s="493"/>
      <c r="L483" s="456"/>
      <c r="M483" s="493"/>
      <c r="N483" s="456"/>
      <c r="O483" s="493"/>
      <c r="P483" s="449">
        <f t="shared" si="159"/>
        <v>0</v>
      </c>
      <c r="Q483" s="450">
        <f t="shared" si="160"/>
        <v>0</v>
      </c>
      <c r="R483" s="451">
        <f t="shared" si="161"/>
        <v>0</v>
      </c>
      <c r="S483" s="452">
        <f t="shared" si="162"/>
        <v>0</v>
      </c>
      <c r="T483" s="456"/>
      <c r="U483" s="493"/>
      <c r="V483" s="449">
        <f t="shared" si="163"/>
        <v>0</v>
      </c>
      <c r="W483" s="448">
        <f t="shared" si="164"/>
        <v>0</v>
      </c>
      <c r="X483" s="456"/>
      <c r="Y483" s="493"/>
      <c r="Z483" s="456">
        <v>168449</v>
      </c>
      <c r="AA483" s="493">
        <v>151165</v>
      </c>
      <c r="AB483" s="456">
        <v>156865</v>
      </c>
      <c r="AC483" s="493">
        <v>148972</v>
      </c>
      <c r="AD483" s="456">
        <v>162378</v>
      </c>
      <c r="AE483" s="493">
        <v>188440</v>
      </c>
      <c r="AF483" s="449">
        <f t="shared" si="165"/>
        <v>487692</v>
      </c>
      <c r="AG483" s="450">
        <f t="shared" si="166"/>
        <v>541.88</v>
      </c>
      <c r="AH483" s="451">
        <f t="shared" si="167"/>
        <v>488577</v>
      </c>
      <c r="AI483" s="451">
        <f t="shared" si="168"/>
        <v>542.86333333333334</v>
      </c>
      <c r="AJ483" s="456"/>
      <c r="AK483" s="493"/>
      <c r="AL483" s="449">
        <f t="shared" si="169"/>
        <v>0</v>
      </c>
      <c r="AM483" s="452">
        <f t="shared" si="170"/>
        <v>0</v>
      </c>
      <c r="AN483" s="456"/>
      <c r="AO483" s="493"/>
      <c r="AP483" s="456"/>
      <c r="AQ483" s="493"/>
      <c r="AR483" s="456"/>
      <c r="AS483" s="493"/>
      <c r="AT483" s="456"/>
      <c r="AU483" s="493"/>
      <c r="AV483" s="449">
        <f t="shared" si="171"/>
        <v>0</v>
      </c>
      <c r="AW483" s="453">
        <f t="shared" si="172"/>
        <v>0</v>
      </c>
      <c r="AX483" s="451">
        <f t="shared" si="173"/>
        <v>0</v>
      </c>
      <c r="AY483" s="454">
        <f t="shared" si="174"/>
        <v>0</v>
      </c>
      <c r="AZ483" s="455">
        <f t="shared" si="175"/>
        <v>541.88</v>
      </c>
      <c r="BA483" s="451">
        <f t="shared" si="176"/>
        <v>542.86333333333334</v>
      </c>
    </row>
    <row r="484" spans="1:53">
      <c r="A484" s="608" t="s">
        <v>237</v>
      </c>
      <c r="B484" s="609" t="s">
        <v>437</v>
      </c>
      <c r="C484" s="613"/>
      <c r="D484" s="606">
        <v>220127</v>
      </c>
      <c r="E484" s="607">
        <v>13</v>
      </c>
      <c r="F484" s="491" t="s">
        <v>41</v>
      </c>
      <c r="G484" s="492" t="s">
        <v>41</v>
      </c>
      <c r="H484" s="456"/>
      <c r="I484" s="493"/>
      <c r="J484" s="456"/>
      <c r="K484" s="493"/>
      <c r="L484" s="456"/>
      <c r="M484" s="493"/>
      <c r="N484" s="456"/>
      <c r="O484" s="493"/>
      <c r="P484" s="449">
        <f t="shared" si="159"/>
        <v>0</v>
      </c>
      <c r="Q484" s="450">
        <f t="shared" si="160"/>
        <v>0</v>
      </c>
      <c r="R484" s="451">
        <f t="shared" si="161"/>
        <v>0</v>
      </c>
      <c r="S484" s="452">
        <f t="shared" si="162"/>
        <v>0</v>
      </c>
      <c r="T484" s="456"/>
      <c r="U484" s="493"/>
      <c r="V484" s="449">
        <f t="shared" si="163"/>
        <v>0</v>
      </c>
      <c r="W484" s="448">
        <f t="shared" si="164"/>
        <v>0</v>
      </c>
      <c r="X484" s="456"/>
      <c r="Y484" s="493"/>
      <c r="Z484" s="456">
        <v>158989</v>
      </c>
      <c r="AA484" s="493">
        <v>151376</v>
      </c>
      <c r="AB484" s="456">
        <v>143524</v>
      </c>
      <c r="AC484" s="493">
        <v>140568</v>
      </c>
      <c r="AD484" s="456">
        <v>161301</v>
      </c>
      <c r="AE484" s="493">
        <v>175705</v>
      </c>
      <c r="AF484" s="449">
        <f t="shared" si="165"/>
        <v>463814</v>
      </c>
      <c r="AG484" s="450">
        <f t="shared" si="166"/>
        <v>515.34888888888884</v>
      </c>
      <c r="AH484" s="451">
        <f t="shared" si="167"/>
        <v>467649</v>
      </c>
      <c r="AI484" s="451">
        <f t="shared" si="168"/>
        <v>519.61</v>
      </c>
      <c r="AJ484" s="456"/>
      <c r="AK484" s="493"/>
      <c r="AL484" s="449">
        <f t="shared" si="169"/>
        <v>0</v>
      </c>
      <c r="AM484" s="452">
        <f t="shared" si="170"/>
        <v>0</v>
      </c>
      <c r="AN484" s="456"/>
      <c r="AO484" s="493"/>
      <c r="AP484" s="456"/>
      <c r="AQ484" s="493"/>
      <c r="AR484" s="456"/>
      <c r="AS484" s="493"/>
      <c r="AT484" s="456"/>
      <c r="AU484" s="493"/>
      <c r="AV484" s="449">
        <f t="shared" si="171"/>
        <v>0</v>
      </c>
      <c r="AW484" s="453">
        <f t="shared" si="172"/>
        <v>0</v>
      </c>
      <c r="AX484" s="451">
        <f t="shared" si="173"/>
        <v>0</v>
      </c>
      <c r="AY484" s="454">
        <f t="shared" si="174"/>
        <v>0</v>
      </c>
      <c r="AZ484" s="455">
        <f t="shared" si="175"/>
        <v>515.34888888888884</v>
      </c>
      <c r="BA484" s="451">
        <f t="shared" si="176"/>
        <v>519.61</v>
      </c>
    </row>
    <row r="485" spans="1:53">
      <c r="A485" s="608" t="s">
        <v>237</v>
      </c>
      <c r="B485" s="609" t="s">
        <v>438</v>
      </c>
      <c r="C485" s="613"/>
      <c r="D485" s="606">
        <v>220251</v>
      </c>
      <c r="E485" s="607">
        <v>13</v>
      </c>
      <c r="F485" s="491" t="s">
        <v>41</v>
      </c>
      <c r="G485" s="492" t="s">
        <v>41</v>
      </c>
      <c r="H485" s="456"/>
      <c r="I485" s="493"/>
      <c r="J485" s="456"/>
      <c r="K485" s="493"/>
      <c r="L485" s="456"/>
      <c r="M485" s="493"/>
      <c r="N485" s="456"/>
      <c r="O485" s="493"/>
      <c r="P485" s="449">
        <f t="shared" si="159"/>
        <v>0</v>
      </c>
      <c r="Q485" s="450">
        <f t="shared" si="160"/>
        <v>0</v>
      </c>
      <c r="R485" s="451">
        <f t="shared" si="161"/>
        <v>0</v>
      </c>
      <c r="S485" s="452">
        <f t="shared" si="162"/>
        <v>0</v>
      </c>
      <c r="T485" s="456"/>
      <c r="U485" s="493"/>
      <c r="V485" s="449">
        <f t="shared" si="163"/>
        <v>0</v>
      </c>
      <c r="W485" s="448">
        <f t="shared" si="164"/>
        <v>0</v>
      </c>
      <c r="X485" s="456"/>
      <c r="Y485" s="493"/>
      <c r="Z485" s="456">
        <v>68973</v>
      </c>
      <c r="AA485" s="493">
        <v>76476</v>
      </c>
      <c r="AB485" s="456">
        <v>76642</v>
      </c>
      <c r="AC485" s="493">
        <v>68715</v>
      </c>
      <c r="AD485" s="456">
        <v>81816</v>
      </c>
      <c r="AE485" s="493">
        <v>81445</v>
      </c>
      <c r="AF485" s="449">
        <f t="shared" si="165"/>
        <v>227431</v>
      </c>
      <c r="AG485" s="450">
        <f t="shared" si="166"/>
        <v>252.70111111111112</v>
      </c>
      <c r="AH485" s="451">
        <f t="shared" si="167"/>
        <v>226636</v>
      </c>
      <c r="AI485" s="451">
        <f t="shared" si="168"/>
        <v>251.81777777777779</v>
      </c>
      <c r="AJ485" s="456"/>
      <c r="AK485" s="493"/>
      <c r="AL485" s="449">
        <f t="shared" si="169"/>
        <v>0</v>
      </c>
      <c r="AM485" s="452">
        <f t="shared" si="170"/>
        <v>0</v>
      </c>
      <c r="AN485" s="456"/>
      <c r="AO485" s="493"/>
      <c r="AP485" s="456"/>
      <c r="AQ485" s="493"/>
      <c r="AR485" s="456"/>
      <c r="AS485" s="493"/>
      <c r="AT485" s="456"/>
      <c r="AU485" s="493"/>
      <c r="AV485" s="449">
        <f t="shared" si="171"/>
        <v>0</v>
      </c>
      <c r="AW485" s="453">
        <f t="shared" si="172"/>
        <v>0</v>
      </c>
      <c r="AX485" s="451">
        <f t="shared" si="173"/>
        <v>0</v>
      </c>
      <c r="AY485" s="454">
        <f t="shared" si="174"/>
        <v>0</v>
      </c>
      <c r="AZ485" s="455">
        <f t="shared" si="175"/>
        <v>252.70111111111112</v>
      </c>
      <c r="BA485" s="451">
        <f t="shared" si="176"/>
        <v>251.81777777777779</v>
      </c>
    </row>
    <row r="486" spans="1:53">
      <c r="A486" s="608" t="s">
        <v>237</v>
      </c>
      <c r="B486" s="609" t="s">
        <v>439</v>
      </c>
      <c r="C486" s="613"/>
      <c r="D486" s="606">
        <v>220279</v>
      </c>
      <c r="E486" s="607">
        <v>13</v>
      </c>
      <c r="F486" s="491" t="s">
        <v>41</v>
      </c>
      <c r="G486" s="492" t="s">
        <v>41</v>
      </c>
      <c r="H486" s="456"/>
      <c r="I486" s="493"/>
      <c r="J486" s="456"/>
      <c r="K486" s="493"/>
      <c r="L486" s="456"/>
      <c r="M486" s="493"/>
      <c r="N486" s="456"/>
      <c r="O486" s="493"/>
      <c r="P486" s="449">
        <f t="shared" si="159"/>
        <v>0</v>
      </c>
      <c r="Q486" s="450">
        <f t="shared" si="160"/>
        <v>0</v>
      </c>
      <c r="R486" s="451">
        <f t="shared" si="161"/>
        <v>0</v>
      </c>
      <c r="S486" s="452">
        <f t="shared" si="162"/>
        <v>0</v>
      </c>
      <c r="T486" s="456"/>
      <c r="U486" s="493"/>
      <c r="V486" s="449">
        <f t="shared" si="163"/>
        <v>0</v>
      </c>
      <c r="W486" s="448">
        <f t="shared" si="164"/>
        <v>0</v>
      </c>
      <c r="X486" s="456"/>
      <c r="Y486" s="493"/>
      <c r="Z486" s="456">
        <v>108512</v>
      </c>
      <c r="AA486" s="493">
        <v>110276</v>
      </c>
      <c r="AB486" s="456">
        <v>64737</v>
      </c>
      <c r="AC486" s="493">
        <v>70558</v>
      </c>
      <c r="AD486" s="456">
        <v>130340</v>
      </c>
      <c r="AE486" s="493">
        <v>137194</v>
      </c>
      <c r="AF486" s="449">
        <f t="shared" si="165"/>
        <v>303589</v>
      </c>
      <c r="AG486" s="450">
        <f t="shared" si="166"/>
        <v>337.32111111111112</v>
      </c>
      <c r="AH486" s="451">
        <f t="shared" si="167"/>
        <v>318028</v>
      </c>
      <c r="AI486" s="451">
        <f t="shared" si="168"/>
        <v>353.36444444444442</v>
      </c>
      <c r="AJ486" s="456"/>
      <c r="AK486" s="493"/>
      <c r="AL486" s="449">
        <f t="shared" si="169"/>
        <v>0</v>
      </c>
      <c r="AM486" s="452">
        <f t="shared" si="170"/>
        <v>0</v>
      </c>
      <c r="AN486" s="456"/>
      <c r="AO486" s="493"/>
      <c r="AP486" s="456"/>
      <c r="AQ486" s="493"/>
      <c r="AR486" s="456"/>
      <c r="AS486" s="493"/>
      <c r="AT486" s="456"/>
      <c r="AU486" s="493"/>
      <c r="AV486" s="449">
        <f t="shared" si="171"/>
        <v>0</v>
      </c>
      <c r="AW486" s="453">
        <f t="shared" si="172"/>
        <v>0</v>
      </c>
      <c r="AX486" s="451">
        <f t="shared" si="173"/>
        <v>0</v>
      </c>
      <c r="AY486" s="454">
        <f t="shared" si="174"/>
        <v>0</v>
      </c>
      <c r="AZ486" s="455">
        <f t="shared" si="175"/>
        <v>337.32111111111112</v>
      </c>
      <c r="BA486" s="451">
        <f t="shared" si="176"/>
        <v>353.36444444444442</v>
      </c>
    </row>
    <row r="487" spans="1:53">
      <c r="A487" s="608" t="s">
        <v>237</v>
      </c>
      <c r="B487" s="609" t="s">
        <v>440</v>
      </c>
      <c r="C487" s="613"/>
      <c r="D487" s="606">
        <v>220321</v>
      </c>
      <c r="E487" s="607">
        <v>13</v>
      </c>
      <c r="F487" s="491" t="s">
        <v>41</v>
      </c>
      <c r="G487" s="492" t="s">
        <v>41</v>
      </c>
      <c r="H487" s="456"/>
      <c r="I487" s="493"/>
      <c r="J487" s="456"/>
      <c r="K487" s="493"/>
      <c r="L487" s="456"/>
      <c r="M487" s="493"/>
      <c r="N487" s="456"/>
      <c r="O487" s="493"/>
      <c r="P487" s="449">
        <f t="shared" si="159"/>
        <v>0</v>
      </c>
      <c r="Q487" s="450">
        <f t="shared" si="160"/>
        <v>0</v>
      </c>
      <c r="R487" s="451">
        <f t="shared" si="161"/>
        <v>0</v>
      </c>
      <c r="S487" s="452">
        <f t="shared" si="162"/>
        <v>0</v>
      </c>
      <c r="T487" s="456"/>
      <c r="U487" s="493"/>
      <c r="V487" s="449">
        <f t="shared" si="163"/>
        <v>0</v>
      </c>
      <c r="W487" s="448">
        <f t="shared" si="164"/>
        <v>0</v>
      </c>
      <c r="X487" s="456"/>
      <c r="Y487" s="493"/>
      <c r="Z487" s="456">
        <v>112509</v>
      </c>
      <c r="AA487" s="493">
        <v>104746</v>
      </c>
      <c r="AB487" s="456">
        <v>97226</v>
      </c>
      <c r="AC487" s="493">
        <v>87638</v>
      </c>
      <c r="AD487" s="456">
        <v>103543</v>
      </c>
      <c r="AE487" s="493">
        <v>135286</v>
      </c>
      <c r="AF487" s="449">
        <f t="shared" si="165"/>
        <v>313278</v>
      </c>
      <c r="AG487" s="450">
        <f t="shared" si="166"/>
        <v>348.08666666666664</v>
      </c>
      <c r="AH487" s="451">
        <f t="shared" si="167"/>
        <v>327670</v>
      </c>
      <c r="AI487" s="451">
        <f t="shared" si="168"/>
        <v>364.07777777777778</v>
      </c>
      <c r="AJ487" s="456"/>
      <c r="AK487" s="493"/>
      <c r="AL487" s="449">
        <f t="shared" si="169"/>
        <v>0</v>
      </c>
      <c r="AM487" s="452">
        <f t="shared" si="170"/>
        <v>0</v>
      </c>
      <c r="AN487" s="456"/>
      <c r="AO487" s="493"/>
      <c r="AP487" s="456"/>
      <c r="AQ487" s="493"/>
      <c r="AR487" s="456"/>
      <c r="AS487" s="493"/>
      <c r="AT487" s="456"/>
      <c r="AU487" s="493"/>
      <c r="AV487" s="449">
        <f t="shared" si="171"/>
        <v>0</v>
      </c>
      <c r="AW487" s="453">
        <f t="shared" si="172"/>
        <v>0</v>
      </c>
      <c r="AX487" s="451">
        <f t="shared" si="173"/>
        <v>0</v>
      </c>
      <c r="AY487" s="454">
        <f t="shared" si="174"/>
        <v>0</v>
      </c>
      <c r="AZ487" s="455">
        <f t="shared" si="175"/>
        <v>348.08666666666664</v>
      </c>
      <c r="BA487" s="451">
        <f t="shared" si="176"/>
        <v>364.07777777777778</v>
      </c>
    </row>
    <row r="488" spans="1:53">
      <c r="A488" s="608" t="s">
        <v>237</v>
      </c>
      <c r="B488" s="609" t="s">
        <v>441</v>
      </c>
      <c r="C488" s="613"/>
      <c r="D488" s="606">
        <v>220394</v>
      </c>
      <c r="E488" s="607">
        <v>13</v>
      </c>
      <c r="F488" s="491" t="s">
        <v>41</v>
      </c>
      <c r="G488" s="492" t="s">
        <v>41</v>
      </c>
      <c r="H488" s="456"/>
      <c r="I488" s="493"/>
      <c r="J488" s="456"/>
      <c r="K488" s="493"/>
      <c r="L488" s="456"/>
      <c r="M488" s="493"/>
      <c r="N488" s="456"/>
      <c r="O488" s="493"/>
      <c r="P488" s="449">
        <f t="shared" si="159"/>
        <v>0</v>
      </c>
      <c r="Q488" s="450">
        <f t="shared" si="160"/>
        <v>0</v>
      </c>
      <c r="R488" s="451">
        <f t="shared" si="161"/>
        <v>0</v>
      </c>
      <c r="S488" s="452">
        <f t="shared" si="162"/>
        <v>0</v>
      </c>
      <c r="T488" s="456"/>
      <c r="U488" s="493"/>
      <c r="V488" s="449">
        <f t="shared" si="163"/>
        <v>0</v>
      </c>
      <c r="W488" s="448">
        <f t="shared" si="164"/>
        <v>0</v>
      </c>
      <c r="X488" s="456"/>
      <c r="Y488" s="493"/>
      <c r="Z488" s="456">
        <v>58471</v>
      </c>
      <c r="AA488" s="493">
        <v>57066</v>
      </c>
      <c r="AB488" s="456">
        <v>48123</v>
      </c>
      <c r="AC488" s="493">
        <v>47306</v>
      </c>
      <c r="AD488" s="456">
        <v>69881</v>
      </c>
      <c r="AE488" s="493">
        <v>71740</v>
      </c>
      <c r="AF488" s="449">
        <f t="shared" si="165"/>
        <v>176475</v>
      </c>
      <c r="AG488" s="450">
        <f t="shared" si="166"/>
        <v>196.08333333333334</v>
      </c>
      <c r="AH488" s="451">
        <f t="shared" si="167"/>
        <v>176112</v>
      </c>
      <c r="AI488" s="451">
        <f t="shared" si="168"/>
        <v>195.68</v>
      </c>
      <c r="AJ488" s="456"/>
      <c r="AK488" s="493"/>
      <c r="AL488" s="449">
        <f t="shared" si="169"/>
        <v>0</v>
      </c>
      <c r="AM488" s="452">
        <f t="shared" si="170"/>
        <v>0</v>
      </c>
      <c r="AN488" s="456"/>
      <c r="AO488" s="493"/>
      <c r="AP488" s="456"/>
      <c r="AQ488" s="493"/>
      <c r="AR488" s="456"/>
      <c r="AS488" s="493"/>
      <c r="AT488" s="456"/>
      <c r="AU488" s="493"/>
      <c r="AV488" s="449">
        <f t="shared" si="171"/>
        <v>0</v>
      </c>
      <c r="AW488" s="453">
        <f t="shared" si="172"/>
        <v>0</v>
      </c>
      <c r="AX488" s="451">
        <f t="shared" si="173"/>
        <v>0</v>
      </c>
      <c r="AY488" s="454">
        <f t="shared" si="174"/>
        <v>0</v>
      </c>
      <c r="AZ488" s="455">
        <f t="shared" si="175"/>
        <v>196.08333333333334</v>
      </c>
      <c r="BA488" s="451">
        <f t="shared" si="176"/>
        <v>195.68</v>
      </c>
    </row>
    <row r="489" spans="1:53">
      <c r="A489" s="608" t="s">
        <v>237</v>
      </c>
      <c r="B489" s="609" t="s">
        <v>442</v>
      </c>
      <c r="C489" s="613"/>
      <c r="D489" s="606">
        <v>221616</v>
      </c>
      <c r="E489" s="607">
        <v>13</v>
      </c>
      <c r="F489" s="491" t="s">
        <v>41</v>
      </c>
      <c r="G489" s="492" t="s">
        <v>41</v>
      </c>
      <c r="H489" s="456"/>
      <c r="I489" s="493"/>
      <c r="J489" s="456"/>
      <c r="K489" s="493"/>
      <c r="L489" s="456"/>
      <c r="M489" s="493"/>
      <c r="N489" s="456"/>
      <c r="O489" s="493"/>
      <c r="P489" s="449">
        <f t="shared" si="159"/>
        <v>0</v>
      </c>
      <c r="Q489" s="450">
        <f t="shared" si="160"/>
        <v>0</v>
      </c>
      <c r="R489" s="451">
        <f t="shared" si="161"/>
        <v>0</v>
      </c>
      <c r="S489" s="452">
        <f t="shared" si="162"/>
        <v>0</v>
      </c>
      <c r="T489" s="456"/>
      <c r="U489" s="493"/>
      <c r="V489" s="449">
        <f t="shared" si="163"/>
        <v>0</v>
      </c>
      <c r="W489" s="448">
        <f t="shared" si="164"/>
        <v>0</v>
      </c>
      <c r="X489" s="456"/>
      <c r="Y489" s="493"/>
      <c r="Z489" s="456">
        <v>146131</v>
      </c>
      <c r="AA489" s="493">
        <v>155750</v>
      </c>
      <c r="AB489" s="456">
        <v>132581</v>
      </c>
      <c r="AC489" s="493">
        <v>129947</v>
      </c>
      <c r="AD489" s="456">
        <v>159217</v>
      </c>
      <c r="AE489" s="493">
        <v>181558</v>
      </c>
      <c r="AF489" s="449">
        <f t="shared" si="165"/>
        <v>437929</v>
      </c>
      <c r="AG489" s="450">
        <f t="shared" si="166"/>
        <v>486.58777777777777</v>
      </c>
      <c r="AH489" s="451">
        <f t="shared" si="167"/>
        <v>467255</v>
      </c>
      <c r="AI489" s="451">
        <f t="shared" si="168"/>
        <v>519.17222222222222</v>
      </c>
      <c r="AJ489" s="456"/>
      <c r="AK489" s="493"/>
      <c r="AL489" s="449">
        <f t="shared" si="169"/>
        <v>0</v>
      </c>
      <c r="AM489" s="452">
        <f t="shared" si="170"/>
        <v>0</v>
      </c>
      <c r="AN489" s="456"/>
      <c r="AO489" s="493"/>
      <c r="AP489" s="456"/>
      <c r="AQ489" s="493"/>
      <c r="AR489" s="456"/>
      <c r="AS489" s="493"/>
      <c r="AT489" s="456"/>
      <c r="AU489" s="493"/>
      <c r="AV489" s="449">
        <f t="shared" si="171"/>
        <v>0</v>
      </c>
      <c r="AW489" s="453">
        <f t="shared" si="172"/>
        <v>0</v>
      </c>
      <c r="AX489" s="451">
        <f t="shared" si="173"/>
        <v>0</v>
      </c>
      <c r="AY489" s="454">
        <f t="shared" si="174"/>
        <v>0</v>
      </c>
      <c r="AZ489" s="455">
        <f t="shared" si="175"/>
        <v>486.58777777777777</v>
      </c>
      <c r="BA489" s="451">
        <f t="shared" si="176"/>
        <v>519.17222222222222</v>
      </c>
    </row>
    <row r="490" spans="1:53">
      <c r="A490" s="608" t="s">
        <v>237</v>
      </c>
      <c r="B490" s="609" t="s">
        <v>443</v>
      </c>
      <c r="C490" s="613"/>
      <c r="D490" s="606">
        <v>221625</v>
      </c>
      <c r="E490" s="607">
        <v>13</v>
      </c>
      <c r="F490" s="491" t="s">
        <v>41</v>
      </c>
      <c r="G490" s="492" t="s">
        <v>41</v>
      </c>
      <c r="H490" s="456"/>
      <c r="I490" s="493"/>
      <c r="J490" s="456"/>
      <c r="K490" s="493"/>
      <c r="L490" s="456"/>
      <c r="M490" s="493"/>
      <c r="N490" s="456"/>
      <c r="O490" s="493"/>
      <c r="P490" s="449">
        <f t="shared" si="159"/>
        <v>0</v>
      </c>
      <c r="Q490" s="450">
        <f t="shared" si="160"/>
        <v>0</v>
      </c>
      <c r="R490" s="451">
        <f t="shared" si="161"/>
        <v>0</v>
      </c>
      <c r="S490" s="452">
        <f t="shared" si="162"/>
        <v>0</v>
      </c>
      <c r="T490" s="456"/>
      <c r="U490" s="493"/>
      <c r="V490" s="449">
        <f t="shared" si="163"/>
        <v>0</v>
      </c>
      <c r="W490" s="448">
        <f t="shared" si="164"/>
        <v>0</v>
      </c>
      <c r="X490" s="456"/>
      <c r="Y490" s="493"/>
      <c r="Z490" s="456">
        <v>210784</v>
      </c>
      <c r="AA490" s="493">
        <v>224808</v>
      </c>
      <c r="AB490" s="456">
        <v>201291</v>
      </c>
      <c r="AC490" s="493">
        <v>210725</v>
      </c>
      <c r="AD490" s="456">
        <v>234435</v>
      </c>
      <c r="AE490" s="493">
        <v>293384</v>
      </c>
      <c r="AF490" s="449">
        <f t="shared" si="165"/>
        <v>646510</v>
      </c>
      <c r="AG490" s="450">
        <f t="shared" si="166"/>
        <v>718.34444444444443</v>
      </c>
      <c r="AH490" s="451">
        <f t="shared" si="167"/>
        <v>728917</v>
      </c>
      <c r="AI490" s="451">
        <f t="shared" si="168"/>
        <v>809.90777777777782</v>
      </c>
      <c r="AJ490" s="456"/>
      <c r="AK490" s="493"/>
      <c r="AL490" s="449">
        <f t="shared" si="169"/>
        <v>0</v>
      </c>
      <c r="AM490" s="452">
        <f t="shared" si="170"/>
        <v>0</v>
      </c>
      <c r="AN490" s="456"/>
      <c r="AO490" s="493"/>
      <c r="AP490" s="456"/>
      <c r="AQ490" s="493"/>
      <c r="AR490" s="456"/>
      <c r="AS490" s="493"/>
      <c r="AT490" s="456"/>
      <c r="AU490" s="493"/>
      <c r="AV490" s="449">
        <f t="shared" si="171"/>
        <v>0</v>
      </c>
      <c r="AW490" s="453">
        <f t="shared" si="172"/>
        <v>0</v>
      </c>
      <c r="AX490" s="451">
        <f t="shared" si="173"/>
        <v>0</v>
      </c>
      <c r="AY490" s="454">
        <f t="shared" si="174"/>
        <v>0</v>
      </c>
      <c r="AZ490" s="455">
        <f t="shared" si="175"/>
        <v>718.34444444444443</v>
      </c>
      <c r="BA490" s="451">
        <f t="shared" si="176"/>
        <v>809.90777777777782</v>
      </c>
    </row>
    <row r="491" spans="1:53">
      <c r="A491" s="608" t="s">
        <v>237</v>
      </c>
      <c r="B491" s="609" t="s">
        <v>444</v>
      </c>
      <c r="C491" s="613"/>
      <c r="D491" s="606">
        <v>220640</v>
      </c>
      <c r="E491" s="607">
        <v>13</v>
      </c>
      <c r="F491" s="491" t="s">
        <v>41</v>
      </c>
      <c r="G491" s="492" t="s">
        <v>41</v>
      </c>
      <c r="H491" s="456"/>
      <c r="I491" s="493"/>
      <c r="J491" s="456"/>
      <c r="K491" s="493"/>
      <c r="L491" s="456"/>
      <c r="M491" s="493"/>
      <c r="N491" s="456"/>
      <c r="O491" s="493"/>
      <c r="P491" s="449">
        <f t="shared" si="159"/>
        <v>0</v>
      </c>
      <c r="Q491" s="450">
        <f t="shared" si="160"/>
        <v>0</v>
      </c>
      <c r="R491" s="451">
        <f t="shared" si="161"/>
        <v>0</v>
      </c>
      <c r="S491" s="452">
        <f t="shared" si="162"/>
        <v>0</v>
      </c>
      <c r="T491" s="456"/>
      <c r="U491" s="493"/>
      <c r="V491" s="449">
        <f t="shared" si="163"/>
        <v>0</v>
      </c>
      <c r="W491" s="448">
        <f t="shared" si="164"/>
        <v>0</v>
      </c>
      <c r="X491" s="456"/>
      <c r="Y491" s="493"/>
      <c r="Z491" s="456">
        <v>124374</v>
      </c>
      <c r="AA491" s="493">
        <v>126461</v>
      </c>
      <c r="AB491" s="456">
        <v>95396</v>
      </c>
      <c r="AC491" s="493">
        <v>86416</v>
      </c>
      <c r="AD491" s="456">
        <v>157472</v>
      </c>
      <c r="AE491" s="493">
        <v>179234</v>
      </c>
      <c r="AF491" s="449">
        <f t="shared" si="165"/>
        <v>377242</v>
      </c>
      <c r="AG491" s="450">
        <f t="shared" si="166"/>
        <v>419.15777777777777</v>
      </c>
      <c r="AH491" s="451">
        <f t="shared" si="167"/>
        <v>392111</v>
      </c>
      <c r="AI491" s="451">
        <f t="shared" si="168"/>
        <v>435.67888888888888</v>
      </c>
      <c r="AJ491" s="456"/>
      <c r="AK491" s="493"/>
      <c r="AL491" s="449">
        <f t="shared" si="169"/>
        <v>0</v>
      </c>
      <c r="AM491" s="452">
        <f t="shared" si="170"/>
        <v>0</v>
      </c>
      <c r="AN491" s="456"/>
      <c r="AO491" s="493"/>
      <c r="AP491" s="456"/>
      <c r="AQ491" s="493"/>
      <c r="AR491" s="456"/>
      <c r="AS491" s="493"/>
      <c r="AT491" s="456"/>
      <c r="AU491" s="493"/>
      <c r="AV491" s="449">
        <f t="shared" si="171"/>
        <v>0</v>
      </c>
      <c r="AW491" s="453">
        <f t="shared" si="172"/>
        <v>0</v>
      </c>
      <c r="AX491" s="451">
        <f t="shared" si="173"/>
        <v>0</v>
      </c>
      <c r="AY491" s="454">
        <f t="shared" si="174"/>
        <v>0</v>
      </c>
      <c r="AZ491" s="455">
        <f t="shared" si="175"/>
        <v>419.15777777777777</v>
      </c>
      <c r="BA491" s="451">
        <f t="shared" si="176"/>
        <v>435.67888888888888</v>
      </c>
    </row>
    <row r="492" spans="1:53">
      <c r="A492" s="608" t="s">
        <v>237</v>
      </c>
      <c r="B492" s="609" t="s">
        <v>445</v>
      </c>
      <c r="C492" s="613"/>
      <c r="D492" s="606">
        <v>220756</v>
      </c>
      <c r="E492" s="607">
        <v>13</v>
      </c>
      <c r="F492" s="491" t="s">
        <v>41</v>
      </c>
      <c r="G492" s="492" t="s">
        <v>41</v>
      </c>
      <c r="H492" s="456"/>
      <c r="I492" s="493"/>
      <c r="J492" s="456"/>
      <c r="K492" s="493"/>
      <c r="L492" s="456"/>
      <c r="M492" s="493"/>
      <c r="N492" s="456"/>
      <c r="O492" s="493"/>
      <c r="P492" s="449">
        <f t="shared" si="159"/>
        <v>0</v>
      </c>
      <c r="Q492" s="450">
        <f t="shared" si="160"/>
        <v>0</v>
      </c>
      <c r="R492" s="451">
        <f t="shared" si="161"/>
        <v>0</v>
      </c>
      <c r="S492" s="452">
        <f t="shared" si="162"/>
        <v>0</v>
      </c>
      <c r="T492" s="456"/>
      <c r="U492" s="493"/>
      <c r="V492" s="449">
        <f t="shared" si="163"/>
        <v>0</v>
      </c>
      <c r="W492" s="448">
        <f t="shared" si="164"/>
        <v>0</v>
      </c>
      <c r="X492" s="456"/>
      <c r="Y492" s="493"/>
      <c r="Z492" s="456">
        <v>59439</v>
      </c>
      <c r="AA492" s="493">
        <v>56804</v>
      </c>
      <c r="AB492" s="456">
        <v>49022</v>
      </c>
      <c r="AC492" s="493">
        <v>49677</v>
      </c>
      <c r="AD492" s="456">
        <v>56396</v>
      </c>
      <c r="AE492" s="493">
        <v>68224</v>
      </c>
      <c r="AF492" s="449">
        <f t="shared" si="165"/>
        <v>164857</v>
      </c>
      <c r="AG492" s="450">
        <f t="shared" si="166"/>
        <v>183.17444444444445</v>
      </c>
      <c r="AH492" s="451">
        <f t="shared" si="167"/>
        <v>174705</v>
      </c>
      <c r="AI492" s="451">
        <f t="shared" si="168"/>
        <v>194.11666666666667</v>
      </c>
      <c r="AJ492" s="456"/>
      <c r="AK492" s="493"/>
      <c r="AL492" s="449">
        <f t="shared" si="169"/>
        <v>0</v>
      </c>
      <c r="AM492" s="452">
        <f t="shared" si="170"/>
        <v>0</v>
      </c>
      <c r="AN492" s="456"/>
      <c r="AO492" s="493"/>
      <c r="AP492" s="456"/>
      <c r="AQ492" s="493"/>
      <c r="AR492" s="456"/>
      <c r="AS492" s="493"/>
      <c r="AT492" s="456"/>
      <c r="AU492" s="493"/>
      <c r="AV492" s="449">
        <f t="shared" si="171"/>
        <v>0</v>
      </c>
      <c r="AW492" s="453">
        <f t="shared" si="172"/>
        <v>0</v>
      </c>
      <c r="AX492" s="451">
        <f t="shared" si="173"/>
        <v>0</v>
      </c>
      <c r="AY492" s="454">
        <f t="shared" si="174"/>
        <v>0</v>
      </c>
      <c r="AZ492" s="455">
        <f t="shared" si="175"/>
        <v>183.17444444444445</v>
      </c>
      <c r="BA492" s="451">
        <f t="shared" si="176"/>
        <v>194.11666666666667</v>
      </c>
    </row>
    <row r="493" spans="1:53">
      <c r="A493" s="608" t="s">
        <v>237</v>
      </c>
      <c r="B493" s="609" t="s">
        <v>446</v>
      </c>
      <c r="C493" s="613"/>
      <c r="D493" s="606">
        <v>221607</v>
      </c>
      <c r="E493" s="607">
        <v>13</v>
      </c>
      <c r="F493" s="491" t="s">
        <v>41</v>
      </c>
      <c r="G493" s="492" t="s">
        <v>41</v>
      </c>
      <c r="H493" s="456"/>
      <c r="I493" s="493"/>
      <c r="J493" s="456"/>
      <c r="K493" s="493"/>
      <c r="L493" s="456"/>
      <c r="M493" s="493"/>
      <c r="N493" s="456"/>
      <c r="O493" s="493"/>
      <c r="P493" s="449">
        <f t="shared" si="159"/>
        <v>0</v>
      </c>
      <c r="Q493" s="450">
        <f t="shared" si="160"/>
        <v>0</v>
      </c>
      <c r="R493" s="451">
        <f t="shared" si="161"/>
        <v>0</v>
      </c>
      <c r="S493" s="452">
        <f t="shared" si="162"/>
        <v>0</v>
      </c>
      <c r="T493" s="456"/>
      <c r="U493" s="493"/>
      <c r="V493" s="449">
        <f t="shared" si="163"/>
        <v>0</v>
      </c>
      <c r="W493" s="448">
        <f t="shared" si="164"/>
        <v>0</v>
      </c>
      <c r="X493" s="456"/>
      <c r="Y493" s="493"/>
      <c r="Z493" s="456">
        <v>67522</v>
      </c>
      <c r="AA493" s="493">
        <v>66098</v>
      </c>
      <c r="AB493" s="456">
        <v>68551</v>
      </c>
      <c r="AC493" s="493">
        <v>58471</v>
      </c>
      <c r="AD493" s="456">
        <v>72896</v>
      </c>
      <c r="AE493" s="493">
        <v>78074</v>
      </c>
      <c r="AF493" s="449">
        <f t="shared" si="165"/>
        <v>208969</v>
      </c>
      <c r="AG493" s="450">
        <f t="shared" si="166"/>
        <v>232.18777777777777</v>
      </c>
      <c r="AH493" s="451">
        <f t="shared" si="167"/>
        <v>202643</v>
      </c>
      <c r="AI493" s="451">
        <f t="shared" si="168"/>
        <v>225.1588888888889</v>
      </c>
      <c r="AJ493" s="456"/>
      <c r="AK493" s="493"/>
      <c r="AL493" s="449">
        <f t="shared" si="169"/>
        <v>0</v>
      </c>
      <c r="AM493" s="452">
        <f t="shared" si="170"/>
        <v>0</v>
      </c>
      <c r="AN493" s="456"/>
      <c r="AO493" s="493"/>
      <c r="AP493" s="456"/>
      <c r="AQ493" s="493"/>
      <c r="AR493" s="456"/>
      <c r="AS493" s="493"/>
      <c r="AT493" s="456"/>
      <c r="AU493" s="493"/>
      <c r="AV493" s="449">
        <f t="shared" si="171"/>
        <v>0</v>
      </c>
      <c r="AW493" s="453">
        <f t="shared" si="172"/>
        <v>0</v>
      </c>
      <c r="AX493" s="451">
        <f t="shared" si="173"/>
        <v>0</v>
      </c>
      <c r="AY493" s="454">
        <f t="shared" si="174"/>
        <v>0</v>
      </c>
      <c r="AZ493" s="455">
        <f t="shared" si="175"/>
        <v>232.18777777777777</v>
      </c>
      <c r="BA493" s="451">
        <f t="shared" si="176"/>
        <v>225.1588888888889</v>
      </c>
    </row>
    <row r="494" spans="1:53">
      <c r="A494" s="608" t="s">
        <v>237</v>
      </c>
      <c r="B494" s="609" t="s">
        <v>447</v>
      </c>
      <c r="C494" s="610"/>
      <c r="D494" s="606">
        <v>220853</v>
      </c>
      <c r="E494" s="607">
        <v>13</v>
      </c>
      <c r="F494" s="491" t="s">
        <v>41</v>
      </c>
      <c r="G494" s="492" t="s">
        <v>41</v>
      </c>
      <c r="H494" s="456"/>
      <c r="I494" s="493"/>
      <c r="J494" s="456"/>
      <c r="K494" s="493"/>
      <c r="L494" s="456"/>
      <c r="M494" s="493"/>
      <c r="N494" s="456"/>
      <c r="O494" s="493"/>
      <c r="P494" s="449">
        <f t="shared" si="159"/>
        <v>0</v>
      </c>
      <c r="Q494" s="450">
        <f t="shared" si="160"/>
        <v>0</v>
      </c>
      <c r="R494" s="451">
        <f t="shared" si="161"/>
        <v>0</v>
      </c>
      <c r="S494" s="452">
        <f t="shared" si="162"/>
        <v>0</v>
      </c>
      <c r="T494" s="456"/>
      <c r="U494" s="493"/>
      <c r="V494" s="449">
        <f t="shared" si="163"/>
        <v>0</v>
      </c>
      <c r="W494" s="448">
        <f t="shared" si="164"/>
        <v>0</v>
      </c>
      <c r="X494" s="456"/>
      <c r="Y494" s="493"/>
      <c r="Z494" s="456">
        <v>262967</v>
      </c>
      <c r="AA494" s="493">
        <v>268195</v>
      </c>
      <c r="AB494" s="456">
        <v>257455</v>
      </c>
      <c r="AC494" s="493">
        <v>252106</v>
      </c>
      <c r="AD494" s="456">
        <v>281091</v>
      </c>
      <c r="AE494" s="493">
        <v>306038</v>
      </c>
      <c r="AF494" s="449">
        <f t="shared" si="165"/>
        <v>801513</v>
      </c>
      <c r="AG494" s="450">
        <f t="shared" si="166"/>
        <v>890.57</v>
      </c>
      <c r="AH494" s="451">
        <f t="shared" si="167"/>
        <v>826339</v>
      </c>
      <c r="AI494" s="451">
        <f t="shared" si="168"/>
        <v>918.15444444444449</v>
      </c>
      <c r="AJ494" s="456"/>
      <c r="AK494" s="493"/>
      <c r="AL494" s="449">
        <f t="shared" si="169"/>
        <v>0</v>
      </c>
      <c r="AM494" s="452">
        <f t="shared" si="170"/>
        <v>0</v>
      </c>
      <c r="AN494" s="456"/>
      <c r="AO494" s="493"/>
      <c r="AP494" s="456"/>
      <c r="AQ494" s="493"/>
      <c r="AR494" s="456"/>
      <c r="AS494" s="493"/>
      <c r="AT494" s="456"/>
      <c r="AU494" s="493"/>
      <c r="AV494" s="449">
        <f t="shared" si="171"/>
        <v>0</v>
      </c>
      <c r="AW494" s="453">
        <f t="shared" si="172"/>
        <v>0</v>
      </c>
      <c r="AX494" s="451">
        <f t="shared" si="173"/>
        <v>0</v>
      </c>
      <c r="AY494" s="454">
        <f t="shared" si="174"/>
        <v>0</v>
      </c>
      <c r="AZ494" s="455">
        <f t="shared" si="175"/>
        <v>890.57</v>
      </c>
      <c r="BA494" s="451">
        <f t="shared" si="176"/>
        <v>918.15444444444449</v>
      </c>
    </row>
    <row r="495" spans="1:53">
      <c r="A495" s="608" t="s">
        <v>237</v>
      </c>
      <c r="B495" s="609" t="s">
        <v>448</v>
      </c>
      <c r="C495" s="613"/>
      <c r="D495" s="606">
        <v>221050</v>
      </c>
      <c r="E495" s="607">
        <v>13</v>
      </c>
      <c r="F495" s="491" t="s">
        <v>41</v>
      </c>
      <c r="G495" s="492" t="s">
        <v>41</v>
      </c>
      <c r="H495" s="456"/>
      <c r="I495" s="493"/>
      <c r="J495" s="456"/>
      <c r="K495" s="493"/>
      <c r="L495" s="456"/>
      <c r="M495" s="493"/>
      <c r="N495" s="456"/>
      <c r="O495" s="493"/>
      <c r="P495" s="449">
        <f t="shared" si="159"/>
        <v>0</v>
      </c>
      <c r="Q495" s="450">
        <f t="shared" si="160"/>
        <v>0</v>
      </c>
      <c r="R495" s="451">
        <f t="shared" si="161"/>
        <v>0</v>
      </c>
      <c r="S495" s="452">
        <f t="shared" si="162"/>
        <v>0</v>
      </c>
      <c r="T495" s="456"/>
      <c r="U495" s="493"/>
      <c r="V495" s="449">
        <f t="shared" si="163"/>
        <v>0</v>
      </c>
      <c r="W495" s="448">
        <f t="shared" si="164"/>
        <v>0</v>
      </c>
      <c r="X495" s="456"/>
      <c r="Y495" s="493"/>
      <c r="Z495" s="456">
        <v>162816</v>
      </c>
      <c r="AA495" s="493">
        <v>170275</v>
      </c>
      <c r="AB495" s="456">
        <v>155667</v>
      </c>
      <c r="AC495" s="493">
        <v>150333</v>
      </c>
      <c r="AD495" s="456">
        <v>178771</v>
      </c>
      <c r="AE495" s="493">
        <v>218852</v>
      </c>
      <c r="AF495" s="449">
        <f t="shared" si="165"/>
        <v>497254</v>
      </c>
      <c r="AG495" s="450">
        <f t="shared" si="166"/>
        <v>552.5044444444444</v>
      </c>
      <c r="AH495" s="451">
        <f t="shared" si="167"/>
        <v>539460</v>
      </c>
      <c r="AI495" s="451">
        <f t="shared" si="168"/>
        <v>599.4</v>
      </c>
      <c r="AJ495" s="456"/>
      <c r="AK495" s="493"/>
      <c r="AL495" s="449">
        <f t="shared" si="169"/>
        <v>0</v>
      </c>
      <c r="AM495" s="452">
        <f t="shared" si="170"/>
        <v>0</v>
      </c>
      <c r="AN495" s="456"/>
      <c r="AO495" s="493"/>
      <c r="AP495" s="456"/>
      <c r="AQ495" s="493"/>
      <c r="AR495" s="456"/>
      <c r="AS495" s="493"/>
      <c r="AT495" s="456"/>
      <c r="AU495" s="493"/>
      <c r="AV495" s="449">
        <f t="shared" si="171"/>
        <v>0</v>
      </c>
      <c r="AW495" s="453">
        <f t="shared" si="172"/>
        <v>0</v>
      </c>
      <c r="AX495" s="451">
        <f t="shared" si="173"/>
        <v>0</v>
      </c>
      <c r="AY495" s="454">
        <f t="shared" si="174"/>
        <v>0</v>
      </c>
      <c r="AZ495" s="455">
        <f t="shared" si="175"/>
        <v>552.5044444444444</v>
      </c>
      <c r="BA495" s="451">
        <f t="shared" si="176"/>
        <v>599.4</v>
      </c>
    </row>
    <row r="496" spans="1:53">
      <c r="A496" s="608" t="s">
        <v>237</v>
      </c>
      <c r="B496" s="609" t="s">
        <v>449</v>
      </c>
      <c r="C496" s="613"/>
      <c r="D496" s="606">
        <v>221102</v>
      </c>
      <c r="E496" s="607">
        <v>13</v>
      </c>
      <c r="F496" s="491" t="s">
        <v>41</v>
      </c>
      <c r="G496" s="492" t="s">
        <v>41</v>
      </c>
      <c r="H496" s="456"/>
      <c r="I496" s="493"/>
      <c r="J496" s="456"/>
      <c r="K496" s="493"/>
      <c r="L496" s="456"/>
      <c r="M496" s="493"/>
      <c r="N496" s="456"/>
      <c r="O496" s="493"/>
      <c r="P496" s="449">
        <f t="shared" si="159"/>
        <v>0</v>
      </c>
      <c r="Q496" s="450">
        <f t="shared" si="160"/>
        <v>0</v>
      </c>
      <c r="R496" s="451">
        <f t="shared" si="161"/>
        <v>0</v>
      </c>
      <c r="S496" s="452">
        <f t="shared" si="162"/>
        <v>0</v>
      </c>
      <c r="T496" s="456"/>
      <c r="U496" s="493"/>
      <c r="V496" s="449">
        <f t="shared" si="163"/>
        <v>0</v>
      </c>
      <c r="W496" s="448">
        <f t="shared" si="164"/>
        <v>0</v>
      </c>
      <c r="X496" s="456"/>
      <c r="Y496" s="493"/>
      <c r="Z496" s="456">
        <v>167418</v>
      </c>
      <c r="AA496" s="493">
        <v>143327</v>
      </c>
      <c r="AB496" s="456">
        <v>140534</v>
      </c>
      <c r="AC496" s="493">
        <v>134120</v>
      </c>
      <c r="AD496" s="456">
        <v>161752</v>
      </c>
      <c r="AE496" s="493">
        <v>187154</v>
      </c>
      <c r="AF496" s="449">
        <f t="shared" si="165"/>
        <v>469704</v>
      </c>
      <c r="AG496" s="450">
        <f t="shared" si="166"/>
        <v>521.89333333333332</v>
      </c>
      <c r="AH496" s="451">
        <f t="shared" si="167"/>
        <v>464601</v>
      </c>
      <c r="AI496" s="451">
        <f t="shared" si="168"/>
        <v>516.22333333333336</v>
      </c>
      <c r="AJ496" s="456"/>
      <c r="AK496" s="493"/>
      <c r="AL496" s="449">
        <f t="shared" si="169"/>
        <v>0</v>
      </c>
      <c r="AM496" s="452">
        <f t="shared" si="170"/>
        <v>0</v>
      </c>
      <c r="AN496" s="456"/>
      <c r="AO496" s="493"/>
      <c r="AP496" s="456"/>
      <c r="AQ496" s="493"/>
      <c r="AR496" s="456"/>
      <c r="AS496" s="493"/>
      <c r="AT496" s="456"/>
      <c r="AU496" s="493"/>
      <c r="AV496" s="449">
        <f t="shared" si="171"/>
        <v>0</v>
      </c>
      <c r="AW496" s="453">
        <f t="shared" si="172"/>
        <v>0</v>
      </c>
      <c r="AX496" s="451">
        <f t="shared" si="173"/>
        <v>0</v>
      </c>
      <c r="AY496" s="454">
        <f t="shared" si="174"/>
        <v>0</v>
      </c>
      <c r="AZ496" s="455">
        <f t="shared" si="175"/>
        <v>521.89333333333332</v>
      </c>
      <c r="BA496" s="451">
        <f t="shared" si="176"/>
        <v>516.22333333333336</v>
      </c>
    </row>
    <row r="497" spans="1:53">
      <c r="A497" s="608" t="s">
        <v>237</v>
      </c>
      <c r="B497" s="609" t="s">
        <v>450</v>
      </c>
      <c r="C497" s="610"/>
      <c r="D497" s="606">
        <v>248925</v>
      </c>
      <c r="E497" s="607">
        <v>13</v>
      </c>
      <c r="F497" s="491" t="s">
        <v>41</v>
      </c>
      <c r="G497" s="492" t="s">
        <v>41</v>
      </c>
      <c r="H497" s="456"/>
      <c r="I497" s="493"/>
      <c r="J497" s="456"/>
      <c r="K497" s="493"/>
      <c r="L497" s="456"/>
      <c r="M497" s="493"/>
      <c r="N497" s="456"/>
      <c r="O497" s="493"/>
      <c r="P497" s="449">
        <f t="shared" si="159"/>
        <v>0</v>
      </c>
      <c r="Q497" s="450">
        <f t="shared" si="160"/>
        <v>0</v>
      </c>
      <c r="R497" s="451">
        <f t="shared" si="161"/>
        <v>0</v>
      </c>
      <c r="S497" s="452">
        <f t="shared" si="162"/>
        <v>0</v>
      </c>
      <c r="T497" s="456"/>
      <c r="U497" s="493"/>
      <c r="V497" s="449">
        <f t="shared" si="163"/>
        <v>0</v>
      </c>
      <c r="W497" s="448">
        <f t="shared" si="164"/>
        <v>0</v>
      </c>
      <c r="X497" s="456"/>
      <c r="Y497" s="493"/>
      <c r="Z497" s="456">
        <v>266519</v>
      </c>
      <c r="AA497" s="493">
        <v>246257</v>
      </c>
      <c r="AB497" s="456">
        <v>227413</v>
      </c>
      <c r="AC497" s="493">
        <v>215487</v>
      </c>
      <c r="AD497" s="456">
        <v>283912</v>
      </c>
      <c r="AE497" s="493">
        <v>303664</v>
      </c>
      <c r="AF497" s="449">
        <f t="shared" si="165"/>
        <v>777844</v>
      </c>
      <c r="AG497" s="450">
        <f t="shared" si="166"/>
        <v>864.27111111111117</v>
      </c>
      <c r="AH497" s="451">
        <f t="shared" si="167"/>
        <v>765408</v>
      </c>
      <c r="AI497" s="451">
        <f t="shared" si="168"/>
        <v>850.45333333333338</v>
      </c>
      <c r="AJ497" s="456"/>
      <c r="AK497" s="493"/>
      <c r="AL497" s="449">
        <f t="shared" si="169"/>
        <v>0</v>
      </c>
      <c r="AM497" s="452">
        <f t="shared" si="170"/>
        <v>0</v>
      </c>
      <c r="AN497" s="456"/>
      <c r="AO497" s="493"/>
      <c r="AP497" s="456"/>
      <c r="AQ497" s="493"/>
      <c r="AR497" s="456"/>
      <c r="AS497" s="493"/>
      <c r="AT497" s="456"/>
      <c r="AU497" s="493"/>
      <c r="AV497" s="449">
        <f t="shared" si="171"/>
        <v>0</v>
      </c>
      <c r="AW497" s="453">
        <f t="shared" si="172"/>
        <v>0</v>
      </c>
      <c r="AX497" s="451">
        <f t="shared" si="173"/>
        <v>0</v>
      </c>
      <c r="AY497" s="454">
        <f t="shared" si="174"/>
        <v>0</v>
      </c>
      <c r="AZ497" s="455">
        <f t="shared" si="175"/>
        <v>864.27111111111117</v>
      </c>
      <c r="BA497" s="451">
        <f t="shared" si="176"/>
        <v>850.45333333333338</v>
      </c>
    </row>
    <row r="498" spans="1:53">
      <c r="A498" s="608" t="s">
        <v>237</v>
      </c>
      <c r="B498" s="609" t="s">
        <v>451</v>
      </c>
      <c r="C498" s="613"/>
      <c r="D498" s="606">
        <v>221236</v>
      </c>
      <c r="E498" s="607">
        <v>13</v>
      </c>
      <c r="F498" s="491" t="s">
        <v>41</v>
      </c>
      <c r="G498" s="492" t="s">
        <v>41</v>
      </c>
      <c r="H498" s="456"/>
      <c r="I498" s="493"/>
      <c r="J498" s="456"/>
      <c r="K498" s="493"/>
      <c r="L498" s="456"/>
      <c r="M498" s="493"/>
      <c r="N498" s="456"/>
      <c r="O498" s="493"/>
      <c r="P498" s="449">
        <f t="shared" si="159"/>
        <v>0</v>
      </c>
      <c r="Q498" s="450">
        <f t="shared" si="160"/>
        <v>0</v>
      </c>
      <c r="R498" s="451">
        <f t="shared" si="161"/>
        <v>0</v>
      </c>
      <c r="S498" s="452">
        <f t="shared" si="162"/>
        <v>0</v>
      </c>
      <c r="T498" s="456"/>
      <c r="U498" s="493"/>
      <c r="V498" s="449">
        <f t="shared" si="163"/>
        <v>0</v>
      </c>
      <c r="W498" s="448">
        <f t="shared" si="164"/>
        <v>0</v>
      </c>
      <c r="X498" s="456"/>
      <c r="Y498" s="493"/>
      <c r="Z498" s="456">
        <v>83614</v>
      </c>
      <c r="AA498" s="493">
        <v>92693</v>
      </c>
      <c r="AB498" s="456">
        <v>64109</v>
      </c>
      <c r="AC498" s="493">
        <v>70688</v>
      </c>
      <c r="AD498" s="456">
        <v>100706</v>
      </c>
      <c r="AE498" s="493">
        <v>108325</v>
      </c>
      <c r="AF498" s="449">
        <f t="shared" si="165"/>
        <v>248429</v>
      </c>
      <c r="AG498" s="450">
        <f t="shared" si="166"/>
        <v>276.03222222222223</v>
      </c>
      <c r="AH498" s="451">
        <f t="shared" si="167"/>
        <v>271706</v>
      </c>
      <c r="AI498" s="451">
        <f t="shared" si="168"/>
        <v>301.89555555555557</v>
      </c>
      <c r="AJ498" s="456"/>
      <c r="AK498" s="493"/>
      <c r="AL498" s="449">
        <f t="shared" si="169"/>
        <v>0</v>
      </c>
      <c r="AM498" s="452">
        <f t="shared" si="170"/>
        <v>0</v>
      </c>
      <c r="AN498" s="456"/>
      <c r="AO498" s="493"/>
      <c r="AP498" s="456"/>
      <c r="AQ498" s="493"/>
      <c r="AR498" s="456"/>
      <c r="AS498" s="493"/>
      <c r="AT498" s="456"/>
      <c r="AU498" s="493"/>
      <c r="AV498" s="449">
        <f t="shared" si="171"/>
        <v>0</v>
      </c>
      <c r="AW498" s="453">
        <f t="shared" si="172"/>
        <v>0</v>
      </c>
      <c r="AX498" s="451">
        <f t="shared" si="173"/>
        <v>0</v>
      </c>
      <c r="AY498" s="454">
        <f t="shared" si="174"/>
        <v>0</v>
      </c>
      <c r="AZ498" s="455">
        <f t="shared" si="175"/>
        <v>276.03222222222223</v>
      </c>
      <c r="BA498" s="451">
        <f t="shared" si="176"/>
        <v>301.89555555555557</v>
      </c>
    </row>
    <row r="499" spans="1:53">
      <c r="A499" s="608" t="s">
        <v>237</v>
      </c>
      <c r="B499" s="609" t="s">
        <v>452</v>
      </c>
      <c r="C499" s="613"/>
      <c r="D499" s="606">
        <v>221582</v>
      </c>
      <c r="E499" s="607">
        <v>13</v>
      </c>
      <c r="F499" s="491" t="s">
        <v>41</v>
      </c>
      <c r="G499" s="492" t="s">
        <v>41</v>
      </c>
      <c r="H499" s="456"/>
      <c r="I499" s="493"/>
      <c r="J499" s="456"/>
      <c r="K499" s="493"/>
      <c r="L499" s="456"/>
      <c r="M499" s="493"/>
      <c r="N499" s="456"/>
      <c r="O499" s="493"/>
      <c r="P499" s="449">
        <f t="shared" si="159"/>
        <v>0</v>
      </c>
      <c r="Q499" s="450">
        <f t="shared" si="160"/>
        <v>0</v>
      </c>
      <c r="R499" s="451">
        <f t="shared" si="161"/>
        <v>0</v>
      </c>
      <c r="S499" s="452">
        <f t="shared" si="162"/>
        <v>0</v>
      </c>
      <c r="T499" s="456"/>
      <c r="U499" s="493"/>
      <c r="V499" s="449">
        <f t="shared" si="163"/>
        <v>0</v>
      </c>
      <c r="W499" s="448">
        <f t="shared" si="164"/>
        <v>0</v>
      </c>
      <c r="X499" s="456"/>
      <c r="Y499" s="493"/>
      <c r="Z499" s="456">
        <v>68907</v>
      </c>
      <c r="AA499" s="493">
        <v>71099</v>
      </c>
      <c r="AB499" s="456">
        <v>50254</v>
      </c>
      <c r="AC499" s="493">
        <v>42811</v>
      </c>
      <c r="AD499" s="456">
        <v>81444</v>
      </c>
      <c r="AE499" s="493">
        <v>86315</v>
      </c>
      <c r="AF499" s="449">
        <f t="shared" si="165"/>
        <v>200605</v>
      </c>
      <c r="AG499" s="450">
        <f t="shared" si="166"/>
        <v>222.89444444444445</v>
      </c>
      <c r="AH499" s="451">
        <f t="shared" si="167"/>
        <v>200225</v>
      </c>
      <c r="AI499" s="451">
        <f t="shared" si="168"/>
        <v>222.47222222222223</v>
      </c>
      <c r="AJ499" s="456"/>
      <c r="AK499" s="493"/>
      <c r="AL499" s="449">
        <f t="shared" si="169"/>
        <v>0</v>
      </c>
      <c r="AM499" s="452">
        <f t="shared" si="170"/>
        <v>0</v>
      </c>
      <c r="AN499" s="456"/>
      <c r="AO499" s="493"/>
      <c r="AP499" s="456"/>
      <c r="AQ499" s="493"/>
      <c r="AR499" s="456"/>
      <c r="AS499" s="493"/>
      <c r="AT499" s="456"/>
      <c r="AU499" s="493"/>
      <c r="AV499" s="449">
        <f t="shared" si="171"/>
        <v>0</v>
      </c>
      <c r="AW499" s="453">
        <f t="shared" si="172"/>
        <v>0</v>
      </c>
      <c r="AX499" s="451">
        <f t="shared" si="173"/>
        <v>0</v>
      </c>
      <c r="AY499" s="454">
        <f t="shared" si="174"/>
        <v>0</v>
      </c>
      <c r="AZ499" s="455">
        <f t="shared" si="175"/>
        <v>222.89444444444445</v>
      </c>
      <c r="BA499" s="451">
        <f t="shared" si="176"/>
        <v>222.47222222222223</v>
      </c>
    </row>
    <row r="500" spans="1:53">
      <c r="A500" s="608" t="s">
        <v>237</v>
      </c>
      <c r="B500" s="609" t="s">
        <v>453</v>
      </c>
      <c r="C500" s="613"/>
      <c r="D500" s="606">
        <v>221281</v>
      </c>
      <c r="E500" s="607">
        <v>13</v>
      </c>
      <c r="F500" s="491" t="s">
        <v>41</v>
      </c>
      <c r="G500" s="492" t="s">
        <v>41</v>
      </c>
      <c r="H500" s="456"/>
      <c r="I500" s="493"/>
      <c r="J500" s="456"/>
      <c r="K500" s="493"/>
      <c r="L500" s="456"/>
      <c r="M500" s="493"/>
      <c r="N500" s="456"/>
      <c r="O500" s="493"/>
      <c r="P500" s="449">
        <f t="shared" si="159"/>
        <v>0</v>
      </c>
      <c r="Q500" s="450">
        <f t="shared" si="160"/>
        <v>0</v>
      </c>
      <c r="R500" s="451">
        <f t="shared" si="161"/>
        <v>0</v>
      </c>
      <c r="S500" s="452">
        <f t="shared" si="162"/>
        <v>0</v>
      </c>
      <c r="T500" s="456"/>
      <c r="U500" s="493"/>
      <c r="V500" s="449">
        <f t="shared" si="163"/>
        <v>0</v>
      </c>
      <c r="W500" s="448">
        <f t="shared" si="164"/>
        <v>0</v>
      </c>
      <c r="X500" s="456"/>
      <c r="Y500" s="493"/>
      <c r="Z500" s="456">
        <v>91007</v>
      </c>
      <c r="AA500" s="493">
        <v>105414</v>
      </c>
      <c r="AB500" s="456">
        <v>88555</v>
      </c>
      <c r="AC500" s="493">
        <v>94003</v>
      </c>
      <c r="AD500" s="456">
        <v>109851</v>
      </c>
      <c r="AE500" s="493">
        <v>112821</v>
      </c>
      <c r="AF500" s="449">
        <f t="shared" si="165"/>
        <v>289413</v>
      </c>
      <c r="AG500" s="450">
        <f t="shared" si="166"/>
        <v>321.57</v>
      </c>
      <c r="AH500" s="451">
        <f t="shared" si="167"/>
        <v>312238</v>
      </c>
      <c r="AI500" s="451">
        <f t="shared" si="168"/>
        <v>346.93111111111114</v>
      </c>
      <c r="AJ500" s="456"/>
      <c r="AK500" s="493"/>
      <c r="AL500" s="449">
        <f t="shared" si="169"/>
        <v>0</v>
      </c>
      <c r="AM500" s="452">
        <f t="shared" si="170"/>
        <v>0</v>
      </c>
      <c r="AN500" s="456"/>
      <c r="AO500" s="493"/>
      <c r="AP500" s="456"/>
      <c r="AQ500" s="493"/>
      <c r="AR500" s="456"/>
      <c r="AS500" s="493"/>
      <c r="AT500" s="456"/>
      <c r="AU500" s="493"/>
      <c r="AV500" s="449">
        <f t="shared" si="171"/>
        <v>0</v>
      </c>
      <c r="AW500" s="453">
        <f t="shared" si="172"/>
        <v>0</v>
      </c>
      <c r="AX500" s="451">
        <f t="shared" si="173"/>
        <v>0</v>
      </c>
      <c r="AY500" s="454">
        <f t="shared" si="174"/>
        <v>0</v>
      </c>
      <c r="AZ500" s="455">
        <f t="shared" si="175"/>
        <v>321.57</v>
      </c>
      <c r="BA500" s="451">
        <f t="shared" si="176"/>
        <v>346.93111111111114</v>
      </c>
    </row>
    <row r="501" spans="1:53">
      <c r="A501" s="608" t="s">
        <v>237</v>
      </c>
      <c r="B501" s="609" t="s">
        <v>454</v>
      </c>
      <c r="C501" s="613"/>
      <c r="D501" s="606">
        <v>221333</v>
      </c>
      <c r="E501" s="607">
        <v>13</v>
      </c>
      <c r="F501" s="491" t="s">
        <v>41</v>
      </c>
      <c r="G501" s="492" t="s">
        <v>41</v>
      </c>
      <c r="H501" s="456"/>
      <c r="I501" s="493"/>
      <c r="J501" s="456"/>
      <c r="K501" s="493"/>
      <c r="L501" s="456"/>
      <c r="M501" s="493"/>
      <c r="N501" s="456"/>
      <c r="O501" s="493"/>
      <c r="P501" s="449">
        <f t="shared" si="159"/>
        <v>0</v>
      </c>
      <c r="Q501" s="450">
        <f t="shared" si="160"/>
        <v>0</v>
      </c>
      <c r="R501" s="451">
        <f t="shared" si="161"/>
        <v>0</v>
      </c>
      <c r="S501" s="452">
        <f t="shared" si="162"/>
        <v>0</v>
      </c>
      <c r="T501" s="456"/>
      <c r="U501" s="493"/>
      <c r="V501" s="449">
        <f t="shared" si="163"/>
        <v>0</v>
      </c>
      <c r="W501" s="448">
        <f t="shared" si="164"/>
        <v>0</v>
      </c>
      <c r="X501" s="456"/>
      <c r="Y501" s="493"/>
      <c r="Z501" s="456">
        <v>151997</v>
      </c>
      <c r="AA501" s="493">
        <v>185331</v>
      </c>
      <c r="AB501" s="456">
        <v>65009</v>
      </c>
      <c r="AC501" s="493">
        <v>65511</v>
      </c>
      <c r="AD501" s="456">
        <v>161970</v>
      </c>
      <c r="AE501" s="493">
        <v>200058</v>
      </c>
      <c r="AF501" s="449">
        <f t="shared" si="165"/>
        <v>378976</v>
      </c>
      <c r="AG501" s="450">
        <f t="shared" si="166"/>
        <v>421.08444444444444</v>
      </c>
      <c r="AH501" s="451">
        <f t="shared" si="167"/>
        <v>450900</v>
      </c>
      <c r="AI501" s="451">
        <f t="shared" si="168"/>
        <v>501</v>
      </c>
      <c r="AJ501" s="456"/>
      <c r="AK501" s="493"/>
      <c r="AL501" s="449">
        <f t="shared" si="169"/>
        <v>0</v>
      </c>
      <c r="AM501" s="452">
        <f t="shared" si="170"/>
        <v>0</v>
      </c>
      <c r="AN501" s="456"/>
      <c r="AO501" s="493"/>
      <c r="AP501" s="456"/>
      <c r="AQ501" s="493"/>
      <c r="AR501" s="456"/>
      <c r="AS501" s="493"/>
      <c r="AT501" s="456"/>
      <c r="AU501" s="493"/>
      <c r="AV501" s="449">
        <f t="shared" si="171"/>
        <v>0</v>
      </c>
      <c r="AW501" s="453">
        <f t="shared" si="172"/>
        <v>0</v>
      </c>
      <c r="AX501" s="451">
        <f t="shared" si="173"/>
        <v>0</v>
      </c>
      <c r="AY501" s="454">
        <f t="shared" si="174"/>
        <v>0</v>
      </c>
      <c r="AZ501" s="455">
        <f t="shared" si="175"/>
        <v>421.08444444444444</v>
      </c>
      <c r="BA501" s="451">
        <f t="shared" si="176"/>
        <v>501</v>
      </c>
    </row>
    <row r="502" spans="1:53">
      <c r="A502" s="608" t="s">
        <v>237</v>
      </c>
      <c r="B502" s="609" t="s">
        <v>455</v>
      </c>
      <c r="C502" s="613"/>
      <c r="D502" s="606">
        <v>221388</v>
      </c>
      <c r="E502" s="607">
        <v>13</v>
      </c>
      <c r="F502" s="491" t="s">
        <v>41</v>
      </c>
      <c r="G502" s="492" t="s">
        <v>41</v>
      </c>
      <c r="H502" s="456"/>
      <c r="I502" s="493"/>
      <c r="J502" s="456"/>
      <c r="K502" s="493"/>
      <c r="L502" s="456"/>
      <c r="M502" s="493"/>
      <c r="N502" s="456"/>
      <c r="O502" s="493"/>
      <c r="P502" s="449">
        <f t="shared" si="159"/>
        <v>0</v>
      </c>
      <c r="Q502" s="450">
        <f t="shared" si="160"/>
        <v>0</v>
      </c>
      <c r="R502" s="451">
        <f t="shared" si="161"/>
        <v>0</v>
      </c>
      <c r="S502" s="452">
        <f t="shared" si="162"/>
        <v>0</v>
      </c>
      <c r="T502" s="456"/>
      <c r="U502" s="493"/>
      <c r="V502" s="449">
        <f t="shared" si="163"/>
        <v>0</v>
      </c>
      <c r="W502" s="448">
        <f t="shared" si="164"/>
        <v>0</v>
      </c>
      <c r="X502" s="456"/>
      <c r="Y502" s="493"/>
      <c r="Z502" s="456">
        <v>47330</v>
      </c>
      <c r="AA502" s="493">
        <v>47310</v>
      </c>
      <c r="AB502" s="456">
        <v>38312</v>
      </c>
      <c r="AC502" s="493">
        <v>37265</v>
      </c>
      <c r="AD502" s="456">
        <v>49070</v>
      </c>
      <c r="AE502" s="493">
        <v>65356</v>
      </c>
      <c r="AF502" s="449">
        <f t="shared" si="165"/>
        <v>134712</v>
      </c>
      <c r="AG502" s="450">
        <f t="shared" si="166"/>
        <v>149.68</v>
      </c>
      <c r="AH502" s="451">
        <f t="shared" si="167"/>
        <v>149931</v>
      </c>
      <c r="AI502" s="451">
        <f t="shared" si="168"/>
        <v>166.59</v>
      </c>
      <c r="AJ502" s="456"/>
      <c r="AK502" s="493"/>
      <c r="AL502" s="449">
        <f t="shared" si="169"/>
        <v>0</v>
      </c>
      <c r="AM502" s="452">
        <f t="shared" si="170"/>
        <v>0</v>
      </c>
      <c r="AN502" s="456"/>
      <c r="AO502" s="493"/>
      <c r="AP502" s="456"/>
      <c r="AQ502" s="493"/>
      <c r="AR502" s="456"/>
      <c r="AS502" s="493"/>
      <c r="AT502" s="456"/>
      <c r="AU502" s="493"/>
      <c r="AV502" s="449">
        <f t="shared" si="171"/>
        <v>0</v>
      </c>
      <c r="AW502" s="453">
        <f t="shared" si="172"/>
        <v>0</v>
      </c>
      <c r="AX502" s="451">
        <f t="shared" si="173"/>
        <v>0</v>
      </c>
      <c r="AY502" s="454">
        <f t="shared" si="174"/>
        <v>0</v>
      </c>
      <c r="AZ502" s="455">
        <f t="shared" si="175"/>
        <v>149.68</v>
      </c>
      <c r="BA502" s="451">
        <f t="shared" si="176"/>
        <v>166.59</v>
      </c>
    </row>
    <row r="503" spans="1:53">
      <c r="A503" s="608" t="s">
        <v>237</v>
      </c>
      <c r="B503" s="609" t="s">
        <v>456</v>
      </c>
      <c r="C503" s="613"/>
      <c r="D503" s="606">
        <v>221494</v>
      </c>
      <c r="E503" s="607">
        <v>13</v>
      </c>
      <c r="F503" s="491" t="s">
        <v>41</v>
      </c>
      <c r="G503" s="492" t="s">
        <v>41</v>
      </c>
      <c r="H503" s="456"/>
      <c r="I503" s="493"/>
      <c r="J503" s="456"/>
      <c r="K503" s="493"/>
      <c r="L503" s="456"/>
      <c r="M503" s="493"/>
      <c r="N503" s="456"/>
      <c r="O503" s="493"/>
      <c r="P503" s="449">
        <f t="shared" si="159"/>
        <v>0</v>
      </c>
      <c r="Q503" s="450">
        <f t="shared" si="160"/>
        <v>0</v>
      </c>
      <c r="R503" s="451">
        <f t="shared" si="161"/>
        <v>0</v>
      </c>
      <c r="S503" s="452">
        <f t="shared" si="162"/>
        <v>0</v>
      </c>
      <c r="T503" s="456"/>
      <c r="U503" s="493"/>
      <c r="V503" s="449">
        <f t="shared" si="163"/>
        <v>0</v>
      </c>
      <c r="W503" s="448">
        <f t="shared" si="164"/>
        <v>0</v>
      </c>
      <c r="X503" s="456"/>
      <c r="Y503" s="493"/>
      <c r="Z503" s="456">
        <v>155479</v>
      </c>
      <c r="AA503" s="493">
        <v>144774</v>
      </c>
      <c r="AB503" s="456">
        <v>138119</v>
      </c>
      <c r="AC503" s="493">
        <v>127632</v>
      </c>
      <c r="AD503" s="456">
        <v>158922</v>
      </c>
      <c r="AE503" s="493">
        <v>193339</v>
      </c>
      <c r="AF503" s="449">
        <f t="shared" si="165"/>
        <v>452520</v>
      </c>
      <c r="AG503" s="450">
        <f t="shared" si="166"/>
        <v>502.8</v>
      </c>
      <c r="AH503" s="451">
        <f t="shared" si="167"/>
        <v>465745</v>
      </c>
      <c r="AI503" s="451">
        <f t="shared" si="168"/>
        <v>517.49444444444441</v>
      </c>
      <c r="AJ503" s="456"/>
      <c r="AK503" s="493"/>
      <c r="AL503" s="449">
        <f t="shared" si="169"/>
        <v>0</v>
      </c>
      <c r="AM503" s="452">
        <f t="shared" si="170"/>
        <v>0</v>
      </c>
      <c r="AN503" s="456"/>
      <c r="AO503" s="493"/>
      <c r="AP503" s="456"/>
      <c r="AQ503" s="493"/>
      <c r="AR503" s="456"/>
      <c r="AS503" s="493"/>
      <c r="AT503" s="456"/>
      <c r="AU503" s="493"/>
      <c r="AV503" s="449">
        <f t="shared" si="171"/>
        <v>0</v>
      </c>
      <c r="AW503" s="453">
        <f t="shared" si="172"/>
        <v>0</v>
      </c>
      <c r="AX503" s="451">
        <f t="shared" si="173"/>
        <v>0</v>
      </c>
      <c r="AY503" s="454">
        <f t="shared" si="174"/>
        <v>0</v>
      </c>
      <c r="AZ503" s="455">
        <f t="shared" si="175"/>
        <v>502.8</v>
      </c>
      <c r="BA503" s="451">
        <f t="shared" si="176"/>
        <v>517.49444444444441</v>
      </c>
    </row>
    <row r="504" spans="1:53">
      <c r="A504" s="608" t="s">
        <v>237</v>
      </c>
      <c r="B504" s="609" t="s">
        <v>457</v>
      </c>
      <c r="C504" s="613"/>
      <c r="D504" s="606">
        <v>221634</v>
      </c>
      <c r="E504" s="607">
        <v>13</v>
      </c>
      <c r="F504" s="491" t="s">
        <v>41</v>
      </c>
      <c r="G504" s="492" t="s">
        <v>41</v>
      </c>
      <c r="H504" s="456"/>
      <c r="I504" s="493"/>
      <c r="J504" s="456"/>
      <c r="K504" s="493"/>
      <c r="L504" s="456"/>
      <c r="M504" s="493"/>
      <c r="N504" s="456"/>
      <c r="O504" s="493"/>
      <c r="P504" s="449">
        <f t="shared" si="159"/>
        <v>0</v>
      </c>
      <c r="Q504" s="450">
        <f t="shared" si="160"/>
        <v>0</v>
      </c>
      <c r="R504" s="451">
        <f t="shared" si="161"/>
        <v>0</v>
      </c>
      <c r="S504" s="452">
        <f t="shared" si="162"/>
        <v>0</v>
      </c>
      <c r="T504" s="456"/>
      <c r="U504" s="493"/>
      <c r="V504" s="449">
        <f t="shared" si="163"/>
        <v>0</v>
      </c>
      <c r="W504" s="448">
        <f t="shared" si="164"/>
        <v>0</v>
      </c>
      <c r="X504" s="456"/>
      <c r="Y504" s="493"/>
      <c r="Z504" s="456">
        <v>54880</v>
      </c>
      <c r="AA504" s="493">
        <v>55602</v>
      </c>
      <c r="AB504" s="456">
        <v>49077</v>
      </c>
      <c r="AC504" s="493">
        <v>53933</v>
      </c>
      <c r="AD504" s="456">
        <v>65867</v>
      </c>
      <c r="AE504" s="493">
        <v>77826</v>
      </c>
      <c r="AF504" s="449">
        <f t="shared" si="165"/>
        <v>169824</v>
      </c>
      <c r="AG504" s="450">
        <f t="shared" si="166"/>
        <v>188.69333333333333</v>
      </c>
      <c r="AH504" s="451">
        <f t="shared" si="167"/>
        <v>187361</v>
      </c>
      <c r="AI504" s="451">
        <f t="shared" si="168"/>
        <v>208.17888888888888</v>
      </c>
      <c r="AJ504" s="456"/>
      <c r="AK504" s="493"/>
      <c r="AL504" s="449">
        <f t="shared" si="169"/>
        <v>0</v>
      </c>
      <c r="AM504" s="452">
        <f t="shared" si="170"/>
        <v>0</v>
      </c>
      <c r="AN504" s="456"/>
      <c r="AO504" s="493"/>
      <c r="AP504" s="456"/>
      <c r="AQ504" s="493"/>
      <c r="AR504" s="456"/>
      <c r="AS504" s="493"/>
      <c r="AT504" s="456"/>
      <c r="AU504" s="493"/>
      <c r="AV504" s="449">
        <f t="shared" si="171"/>
        <v>0</v>
      </c>
      <c r="AW504" s="453">
        <f t="shared" si="172"/>
        <v>0</v>
      </c>
      <c r="AX504" s="451">
        <f t="shared" si="173"/>
        <v>0</v>
      </c>
      <c r="AY504" s="454">
        <f t="shared" si="174"/>
        <v>0</v>
      </c>
      <c r="AZ504" s="455">
        <f t="shared" si="175"/>
        <v>188.69333333333333</v>
      </c>
      <c r="BA504" s="451">
        <f t="shared" si="176"/>
        <v>208.17888888888888</v>
      </c>
    </row>
    <row r="505" spans="1:53">
      <c r="A505" s="597" t="s">
        <v>234</v>
      </c>
      <c r="B505" s="595" t="s">
        <v>740</v>
      </c>
      <c r="C505" s="598"/>
      <c r="D505" s="729">
        <v>228723</v>
      </c>
      <c r="E505" s="730">
        <v>1</v>
      </c>
      <c r="F505" s="491" t="s">
        <v>41</v>
      </c>
      <c r="G505" s="492"/>
      <c r="H505" s="456"/>
      <c r="I505" s="493"/>
      <c r="J505" s="456">
        <v>513864</v>
      </c>
      <c r="K505" s="731">
        <v>548158</v>
      </c>
      <c r="L505" s="456">
        <v>70283</v>
      </c>
      <c r="M505" s="731">
        <v>73891</v>
      </c>
      <c r="N505" s="456">
        <v>584774</v>
      </c>
      <c r="O505" s="732">
        <v>604505</v>
      </c>
      <c r="P505" s="449">
        <f t="shared" si="159"/>
        <v>1168921</v>
      </c>
      <c r="Q505" s="450">
        <f t="shared" si="160"/>
        <v>38964.033333333333</v>
      </c>
      <c r="R505" s="451">
        <f t="shared" si="161"/>
        <v>1226554</v>
      </c>
      <c r="S505" s="452">
        <f t="shared" si="162"/>
        <v>40885.133333333331</v>
      </c>
      <c r="T505" s="456">
        <v>0</v>
      </c>
      <c r="U505" s="733">
        <v>0</v>
      </c>
      <c r="V505" s="449">
        <f t="shared" si="163"/>
        <v>1168921</v>
      </c>
      <c r="W505" s="448">
        <f t="shared" si="164"/>
        <v>1226554</v>
      </c>
      <c r="X505" s="456"/>
      <c r="Y505" s="493"/>
      <c r="Z505" s="456"/>
      <c r="AA505" s="493"/>
      <c r="AB505" s="456"/>
      <c r="AC505" s="493"/>
      <c r="AD505" s="456"/>
      <c r="AE505" s="493"/>
      <c r="AF505" s="449">
        <f t="shared" si="165"/>
        <v>0</v>
      </c>
      <c r="AG505" s="450">
        <f t="shared" si="166"/>
        <v>0</v>
      </c>
      <c r="AH505" s="451">
        <f t="shared" si="167"/>
        <v>0</v>
      </c>
      <c r="AI505" s="451">
        <f t="shared" si="168"/>
        <v>0</v>
      </c>
      <c r="AJ505" s="456"/>
      <c r="AK505" s="493"/>
      <c r="AL505" s="449">
        <f t="shared" si="169"/>
        <v>0</v>
      </c>
      <c r="AM505" s="452">
        <f t="shared" si="170"/>
        <v>0</v>
      </c>
      <c r="AN505" s="456"/>
      <c r="AO505" s="493"/>
      <c r="AP505" s="456">
        <v>85709</v>
      </c>
      <c r="AQ505" s="731">
        <v>90269</v>
      </c>
      <c r="AR505" s="456">
        <v>29290</v>
      </c>
      <c r="AS505" s="731">
        <v>30688</v>
      </c>
      <c r="AT505" s="456">
        <v>98608</v>
      </c>
      <c r="AU505" s="731">
        <v>100334</v>
      </c>
      <c r="AV505" s="449">
        <f t="shared" si="171"/>
        <v>213607</v>
      </c>
      <c r="AW505" s="453">
        <f t="shared" si="172"/>
        <v>8900.2916666666661</v>
      </c>
      <c r="AX505" s="451">
        <f t="shared" si="173"/>
        <v>221291</v>
      </c>
      <c r="AY505" s="454">
        <f t="shared" si="174"/>
        <v>9220.4583333333339</v>
      </c>
      <c r="AZ505" s="455">
        <f t="shared" si="175"/>
        <v>47864.324999999997</v>
      </c>
      <c r="BA505" s="451">
        <f t="shared" si="176"/>
        <v>50105.591666666667</v>
      </c>
    </row>
    <row r="506" spans="1:53">
      <c r="A506" s="597" t="s">
        <v>234</v>
      </c>
      <c r="B506" s="595" t="s">
        <v>741</v>
      </c>
      <c r="C506" s="598"/>
      <c r="D506" s="729">
        <v>229115</v>
      </c>
      <c r="E506" s="730">
        <v>1</v>
      </c>
      <c r="F506" s="491" t="s">
        <v>41</v>
      </c>
      <c r="G506" s="492"/>
      <c r="H506" s="456"/>
      <c r="I506" s="493"/>
      <c r="J506" s="456">
        <v>316742</v>
      </c>
      <c r="K506" s="731">
        <v>332367</v>
      </c>
      <c r="L506" s="456">
        <v>61247</v>
      </c>
      <c r="M506" s="731">
        <v>59892</v>
      </c>
      <c r="N506" s="456">
        <v>366465</v>
      </c>
      <c r="O506" s="732">
        <v>372141</v>
      </c>
      <c r="P506" s="449">
        <f t="shared" si="159"/>
        <v>744454</v>
      </c>
      <c r="Q506" s="450">
        <f t="shared" si="160"/>
        <v>24815.133333333335</v>
      </c>
      <c r="R506" s="451">
        <f t="shared" si="161"/>
        <v>764400</v>
      </c>
      <c r="S506" s="452">
        <f t="shared" si="162"/>
        <v>25480</v>
      </c>
      <c r="T506" s="456">
        <v>78</v>
      </c>
      <c r="U506" s="733">
        <v>123</v>
      </c>
      <c r="V506" s="449">
        <f t="shared" si="163"/>
        <v>744454</v>
      </c>
      <c r="W506" s="448">
        <f t="shared" si="164"/>
        <v>764400</v>
      </c>
      <c r="X506" s="456"/>
      <c r="Y506" s="493"/>
      <c r="Z506" s="456"/>
      <c r="AA506" s="493"/>
      <c r="AB506" s="456"/>
      <c r="AC506" s="493"/>
      <c r="AD506" s="456"/>
      <c r="AE506" s="493"/>
      <c r="AF506" s="449">
        <f t="shared" si="165"/>
        <v>0</v>
      </c>
      <c r="AG506" s="450">
        <f t="shared" si="166"/>
        <v>0</v>
      </c>
      <c r="AH506" s="451">
        <f t="shared" si="167"/>
        <v>0</v>
      </c>
      <c r="AI506" s="451">
        <f t="shared" si="168"/>
        <v>0</v>
      </c>
      <c r="AJ506" s="456"/>
      <c r="AK506" s="493"/>
      <c r="AL506" s="449">
        <f t="shared" si="169"/>
        <v>0</v>
      </c>
      <c r="AM506" s="452">
        <f t="shared" si="170"/>
        <v>0</v>
      </c>
      <c r="AN506" s="456"/>
      <c r="AO506" s="493"/>
      <c r="AP506" s="456">
        <v>47575</v>
      </c>
      <c r="AQ506" s="731">
        <v>50498</v>
      </c>
      <c r="AR506" s="456">
        <v>22231</v>
      </c>
      <c r="AS506" s="731">
        <v>22285</v>
      </c>
      <c r="AT506" s="456">
        <v>53183</v>
      </c>
      <c r="AU506" s="731">
        <v>53010</v>
      </c>
      <c r="AV506" s="449">
        <f t="shared" si="171"/>
        <v>122989</v>
      </c>
      <c r="AW506" s="453">
        <f t="shared" si="172"/>
        <v>5124.541666666667</v>
      </c>
      <c r="AX506" s="451">
        <f t="shared" si="173"/>
        <v>125793</v>
      </c>
      <c r="AY506" s="454">
        <f t="shared" si="174"/>
        <v>5241.375</v>
      </c>
      <c r="AZ506" s="455">
        <f t="shared" si="175"/>
        <v>29939.675000000003</v>
      </c>
      <c r="BA506" s="451">
        <f t="shared" si="176"/>
        <v>30721.375</v>
      </c>
    </row>
    <row r="507" spans="1:53">
      <c r="A507" s="597" t="s">
        <v>234</v>
      </c>
      <c r="B507" s="595" t="s">
        <v>742</v>
      </c>
      <c r="C507" s="598"/>
      <c r="D507" s="729">
        <v>225511</v>
      </c>
      <c r="E507" s="730">
        <v>1</v>
      </c>
      <c r="F507" s="491" t="s">
        <v>41</v>
      </c>
      <c r="G507" s="492"/>
      <c r="H507" s="456"/>
      <c r="I507" s="493"/>
      <c r="J507" s="456">
        <v>345641</v>
      </c>
      <c r="K507" s="731">
        <v>368766</v>
      </c>
      <c r="L507" s="456">
        <v>58233</v>
      </c>
      <c r="M507" s="731">
        <v>60860</v>
      </c>
      <c r="N507" s="456">
        <v>390856</v>
      </c>
      <c r="O507" s="732">
        <v>413450</v>
      </c>
      <c r="P507" s="449">
        <f t="shared" si="159"/>
        <v>794730</v>
      </c>
      <c r="Q507" s="450">
        <f t="shared" si="160"/>
        <v>26491</v>
      </c>
      <c r="R507" s="451">
        <f t="shared" si="161"/>
        <v>843076</v>
      </c>
      <c r="S507" s="452">
        <f t="shared" si="162"/>
        <v>28102.533333333333</v>
      </c>
      <c r="T507" s="456">
        <v>16</v>
      </c>
      <c r="U507" s="733">
        <v>14</v>
      </c>
      <c r="V507" s="449">
        <f t="shared" si="163"/>
        <v>794730</v>
      </c>
      <c r="W507" s="448">
        <f t="shared" si="164"/>
        <v>843076</v>
      </c>
      <c r="X507" s="456"/>
      <c r="Y507" s="493"/>
      <c r="Z507" s="456"/>
      <c r="AA507" s="493"/>
      <c r="AB507" s="456"/>
      <c r="AC507" s="493"/>
      <c r="AD507" s="456"/>
      <c r="AE507" s="493"/>
      <c r="AF507" s="449">
        <f t="shared" si="165"/>
        <v>0</v>
      </c>
      <c r="AG507" s="450">
        <f t="shared" si="166"/>
        <v>0</v>
      </c>
      <c r="AH507" s="451">
        <f t="shared" si="167"/>
        <v>0</v>
      </c>
      <c r="AI507" s="451">
        <f t="shared" si="168"/>
        <v>0</v>
      </c>
      <c r="AJ507" s="456"/>
      <c r="AK507" s="493"/>
      <c r="AL507" s="449">
        <f t="shared" si="169"/>
        <v>0</v>
      </c>
      <c r="AM507" s="452">
        <f t="shared" si="170"/>
        <v>0</v>
      </c>
      <c r="AN507" s="456"/>
      <c r="AO507" s="493"/>
      <c r="AP507" s="456">
        <v>75754</v>
      </c>
      <c r="AQ507" s="731">
        <v>75416</v>
      </c>
      <c r="AR507" s="456">
        <v>23865</v>
      </c>
      <c r="AS507" s="731">
        <v>18270</v>
      </c>
      <c r="AT507" s="456">
        <v>77676</v>
      </c>
      <c r="AU507" s="731">
        <v>78206</v>
      </c>
      <c r="AV507" s="449">
        <f t="shared" si="171"/>
        <v>177295</v>
      </c>
      <c r="AW507" s="453">
        <f t="shared" si="172"/>
        <v>7387.291666666667</v>
      </c>
      <c r="AX507" s="451">
        <f t="shared" si="173"/>
        <v>171892</v>
      </c>
      <c r="AY507" s="454">
        <f t="shared" si="174"/>
        <v>7162.166666666667</v>
      </c>
      <c r="AZ507" s="455">
        <f t="shared" si="175"/>
        <v>33878.291666666664</v>
      </c>
      <c r="BA507" s="451">
        <f t="shared" si="176"/>
        <v>35264.699999999997</v>
      </c>
    </row>
    <row r="508" spans="1:53">
      <c r="A508" s="594" t="s">
        <v>234</v>
      </c>
      <c r="B508" s="595" t="s">
        <v>743</v>
      </c>
      <c r="C508" s="598"/>
      <c r="D508" s="729">
        <v>227216</v>
      </c>
      <c r="E508" s="730">
        <v>1</v>
      </c>
      <c r="F508" s="491" t="s">
        <v>41</v>
      </c>
      <c r="G508" s="492"/>
      <c r="H508" s="456"/>
      <c r="I508" s="493"/>
      <c r="J508" s="456">
        <v>330288</v>
      </c>
      <c r="K508" s="731">
        <v>339523</v>
      </c>
      <c r="L508" s="456">
        <v>65392</v>
      </c>
      <c r="M508" s="731">
        <v>68298</v>
      </c>
      <c r="N508" s="456">
        <v>366598</v>
      </c>
      <c r="O508" s="732">
        <v>382797</v>
      </c>
      <c r="P508" s="449">
        <f t="shared" si="159"/>
        <v>762278</v>
      </c>
      <c r="Q508" s="450">
        <f t="shared" si="160"/>
        <v>25409.266666666666</v>
      </c>
      <c r="R508" s="451">
        <f t="shared" si="161"/>
        <v>790618</v>
      </c>
      <c r="S508" s="452">
        <f t="shared" si="162"/>
        <v>26353.933333333334</v>
      </c>
      <c r="T508" s="456">
        <v>0</v>
      </c>
      <c r="U508" s="733">
        <v>0</v>
      </c>
      <c r="V508" s="449">
        <f t="shared" si="163"/>
        <v>762278</v>
      </c>
      <c r="W508" s="448">
        <f t="shared" si="164"/>
        <v>790618</v>
      </c>
      <c r="X508" s="456"/>
      <c r="Y508" s="493"/>
      <c r="Z508" s="456"/>
      <c r="AA508" s="493"/>
      <c r="AB508" s="456"/>
      <c r="AC508" s="493"/>
      <c r="AD508" s="456"/>
      <c r="AE508" s="493"/>
      <c r="AF508" s="449">
        <f t="shared" si="165"/>
        <v>0</v>
      </c>
      <c r="AG508" s="450">
        <f t="shared" si="166"/>
        <v>0</v>
      </c>
      <c r="AH508" s="451">
        <f t="shared" si="167"/>
        <v>0</v>
      </c>
      <c r="AI508" s="451">
        <f t="shared" si="168"/>
        <v>0</v>
      </c>
      <c r="AJ508" s="456"/>
      <c r="AK508" s="493"/>
      <c r="AL508" s="449">
        <f t="shared" si="169"/>
        <v>0</v>
      </c>
      <c r="AM508" s="452">
        <f t="shared" si="170"/>
        <v>0</v>
      </c>
      <c r="AN508" s="456"/>
      <c r="AO508" s="493"/>
      <c r="AP508" s="456">
        <v>39795</v>
      </c>
      <c r="AQ508" s="731">
        <v>41290</v>
      </c>
      <c r="AR508" s="456">
        <v>15776</v>
      </c>
      <c r="AS508" s="731">
        <v>17552</v>
      </c>
      <c r="AT508" s="456">
        <v>40709</v>
      </c>
      <c r="AU508" s="731">
        <v>42776</v>
      </c>
      <c r="AV508" s="449">
        <f t="shared" si="171"/>
        <v>96280</v>
      </c>
      <c r="AW508" s="453">
        <f t="shared" si="172"/>
        <v>4011.6666666666665</v>
      </c>
      <c r="AX508" s="451">
        <f t="shared" si="173"/>
        <v>101618</v>
      </c>
      <c r="AY508" s="454">
        <f t="shared" si="174"/>
        <v>4234.083333333333</v>
      </c>
      <c r="AZ508" s="455">
        <f t="shared" si="175"/>
        <v>29420.933333333334</v>
      </c>
      <c r="BA508" s="451">
        <f t="shared" si="176"/>
        <v>30588.016666666666</v>
      </c>
    </row>
    <row r="509" spans="1:53">
      <c r="A509" s="594" t="s">
        <v>234</v>
      </c>
      <c r="B509" s="595" t="s">
        <v>744</v>
      </c>
      <c r="C509" s="598"/>
      <c r="D509" s="729">
        <v>228769</v>
      </c>
      <c r="E509" s="730">
        <v>1</v>
      </c>
      <c r="F509" s="491" t="s">
        <v>41</v>
      </c>
      <c r="G509" s="492"/>
      <c r="H509" s="456"/>
      <c r="I509" s="493"/>
      <c r="J509" s="456">
        <v>272265</v>
      </c>
      <c r="K509" s="731">
        <v>274782</v>
      </c>
      <c r="L509" s="456">
        <v>85769</v>
      </c>
      <c r="M509" s="731">
        <v>87781</v>
      </c>
      <c r="N509" s="456">
        <v>266101</v>
      </c>
      <c r="O509" s="732">
        <v>267683</v>
      </c>
      <c r="P509" s="449">
        <f t="shared" si="159"/>
        <v>624135</v>
      </c>
      <c r="Q509" s="450">
        <f t="shared" si="160"/>
        <v>20804.5</v>
      </c>
      <c r="R509" s="451">
        <f t="shared" si="161"/>
        <v>630246</v>
      </c>
      <c r="S509" s="452">
        <f t="shared" si="162"/>
        <v>21008.2</v>
      </c>
      <c r="T509" s="456">
        <v>1121</v>
      </c>
      <c r="U509" s="733">
        <v>788</v>
      </c>
      <c r="V509" s="449">
        <f t="shared" si="163"/>
        <v>624135</v>
      </c>
      <c r="W509" s="448">
        <f t="shared" si="164"/>
        <v>630246</v>
      </c>
      <c r="X509" s="456"/>
      <c r="Y509" s="493"/>
      <c r="Z509" s="456"/>
      <c r="AA509" s="493"/>
      <c r="AB509" s="456"/>
      <c r="AC509" s="493"/>
      <c r="AD509" s="456"/>
      <c r="AE509" s="493"/>
      <c r="AF509" s="449">
        <f t="shared" si="165"/>
        <v>0</v>
      </c>
      <c r="AG509" s="450">
        <f t="shared" si="166"/>
        <v>0</v>
      </c>
      <c r="AH509" s="451">
        <f t="shared" si="167"/>
        <v>0</v>
      </c>
      <c r="AI509" s="451">
        <f t="shared" si="168"/>
        <v>0</v>
      </c>
      <c r="AJ509" s="456"/>
      <c r="AK509" s="493"/>
      <c r="AL509" s="449">
        <f t="shared" si="169"/>
        <v>0</v>
      </c>
      <c r="AM509" s="452">
        <f t="shared" si="170"/>
        <v>0</v>
      </c>
      <c r="AN509" s="456"/>
      <c r="AO509" s="493"/>
      <c r="AP509" s="456">
        <v>56283</v>
      </c>
      <c r="AQ509" s="731">
        <v>71266</v>
      </c>
      <c r="AR509" s="456">
        <v>32476</v>
      </c>
      <c r="AS509" s="731">
        <v>39515</v>
      </c>
      <c r="AT509" s="456">
        <v>58606</v>
      </c>
      <c r="AU509" s="731">
        <v>67498</v>
      </c>
      <c r="AV509" s="449">
        <f t="shared" si="171"/>
        <v>147365</v>
      </c>
      <c r="AW509" s="453">
        <f t="shared" si="172"/>
        <v>6140.208333333333</v>
      </c>
      <c r="AX509" s="451">
        <f t="shared" si="173"/>
        <v>178279</v>
      </c>
      <c r="AY509" s="454">
        <f t="shared" si="174"/>
        <v>7428.291666666667</v>
      </c>
      <c r="AZ509" s="455">
        <f t="shared" si="175"/>
        <v>26944.708333333332</v>
      </c>
      <c r="BA509" s="451">
        <f t="shared" si="176"/>
        <v>28436.491666666669</v>
      </c>
    </row>
    <row r="510" spans="1:53">
      <c r="A510" s="594" t="s">
        <v>234</v>
      </c>
      <c r="B510" s="595" t="s">
        <v>745</v>
      </c>
      <c r="C510" s="598"/>
      <c r="D510" s="729">
        <v>228778</v>
      </c>
      <c r="E510" s="730">
        <v>1</v>
      </c>
      <c r="F510" s="491" t="s">
        <v>41</v>
      </c>
      <c r="G510" s="492"/>
      <c r="H510" s="456"/>
      <c r="I510" s="493"/>
      <c r="J510" s="456">
        <v>496760</v>
      </c>
      <c r="K510" s="731">
        <v>487116</v>
      </c>
      <c r="L510" s="456">
        <v>55391</v>
      </c>
      <c r="M510" s="731">
        <v>48350</v>
      </c>
      <c r="N510" s="456">
        <v>521921</v>
      </c>
      <c r="O510" s="732">
        <v>524591</v>
      </c>
      <c r="P510" s="449">
        <f t="shared" si="159"/>
        <v>1074072</v>
      </c>
      <c r="Q510" s="450">
        <f t="shared" si="160"/>
        <v>35802.400000000001</v>
      </c>
      <c r="R510" s="451">
        <f t="shared" si="161"/>
        <v>1060057</v>
      </c>
      <c r="S510" s="452">
        <f t="shared" si="162"/>
        <v>35335.23333333333</v>
      </c>
      <c r="T510" s="456">
        <v>0</v>
      </c>
      <c r="U510" s="733">
        <v>0</v>
      </c>
      <c r="V510" s="449">
        <f t="shared" si="163"/>
        <v>1074072</v>
      </c>
      <c r="W510" s="448">
        <f t="shared" si="164"/>
        <v>1060057</v>
      </c>
      <c r="X510" s="456"/>
      <c r="Y510" s="493"/>
      <c r="Z510" s="456"/>
      <c r="AA510" s="493"/>
      <c r="AB510" s="456"/>
      <c r="AC510" s="493"/>
      <c r="AD510" s="456"/>
      <c r="AE510" s="493"/>
      <c r="AF510" s="449">
        <f t="shared" si="165"/>
        <v>0</v>
      </c>
      <c r="AG510" s="450">
        <f t="shared" si="166"/>
        <v>0</v>
      </c>
      <c r="AH510" s="451">
        <f t="shared" si="167"/>
        <v>0</v>
      </c>
      <c r="AI510" s="451">
        <f t="shared" si="168"/>
        <v>0</v>
      </c>
      <c r="AJ510" s="456"/>
      <c r="AK510" s="493"/>
      <c r="AL510" s="449">
        <f t="shared" si="169"/>
        <v>0</v>
      </c>
      <c r="AM510" s="452">
        <f t="shared" si="170"/>
        <v>0</v>
      </c>
      <c r="AN510" s="456"/>
      <c r="AO510" s="493"/>
      <c r="AP510" s="456">
        <v>114426</v>
      </c>
      <c r="AQ510" s="731">
        <v>112301</v>
      </c>
      <c r="AR510" s="456">
        <v>21523</v>
      </c>
      <c r="AS510" s="731">
        <v>20440</v>
      </c>
      <c r="AT510" s="456">
        <v>118375</v>
      </c>
      <c r="AU510" s="731">
        <v>114613</v>
      </c>
      <c r="AV510" s="449">
        <f t="shared" si="171"/>
        <v>254324</v>
      </c>
      <c r="AW510" s="453">
        <f t="shared" si="172"/>
        <v>10596.833333333334</v>
      </c>
      <c r="AX510" s="451">
        <f t="shared" si="173"/>
        <v>247354</v>
      </c>
      <c r="AY510" s="454">
        <f t="shared" si="174"/>
        <v>10306.416666666666</v>
      </c>
      <c r="AZ510" s="455">
        <f t="shared" si="175"/>
        <v>46399.233333333337</v>
      </c>
      <c r="BA510" s="451">
        <f t="shared" si="176"/>
        <v>45641.649999999994</v>
      </c>
    </row>
    <row r="511" spans="1:53">
      <c r="A511" s="594" t="s">
        <v>234</v>
      </c>
      <c r="B511" s="595" t="s">
        <v>746</v>
      </c>
      <c r="C511" s="598"/>
      <c r="D511" s="729">
        <v>228787</v>
      </c>
      <c r="E511" s="730">
        <v>1</v>
      </c>
      <c r="F511" s="491" t="s">
        <v>41</v>
      </c>
      <c r="G511" s="492"/>
      <c r="H511" s="456"/>
      <c r="I511" s="493"/>
      <c r="J511" s="456">
        <v>154409</v>
      </c>
      <c r="K511" s="731">
        <v>170592</v>
      </c>
      <c r="L511" s="456">
        <v>22544</v>
      </c>
      <c r="M511" s="731">
        <v>24204</v>
      </c>
      <c r="N511" s="456">
        <v>183763</v>
      </c>
      <c r="O511" s="732">
        <v>200257</v>
      </c>
      <c r="P511" s="449">
        <f t="shared" si="159"/>
        <v>360716</v>
      </c>
      <c r="Q511" s="450">
        <f t="shared" si="160"/>
        <v>12023.866666666667</v>
      </c>
      <c r="R511" s="451">
        <f t="shared" si="161"/>
        <v>395053</v>
      </c>
      <c r="S511" s="452">
        <f t="shared" si="162"/>
        <v>13168.433333333332</v>
      </c>
      <c r="T511" s="456">
        <v>0</v>
      </c>
      <c r="U511" s="733">
        <v>0</v>
      </c>
      <c r="V511" s="449">
        <f t="shared" si="163"/>
        <v>360716</v>
      </c>
      <c r="W511" s="448">
        <f t="shared" si="164"/>
        <v>395053</v>
      </c>
      <c r="X511" s="456"/>
      <c r="Y511" s="493"/>
      <c r="Z511" s="456"/>
      <c r="AA511" s="493"/>
      <c r="AB511" s="456"/>
      <c r="AC511" s="493"/>
      <c r="AD511" s="456"/>
      <c r="AE511" s="493"/>
      <c r="AF511" s="449">
        <f t="shared" si="165"/>
        <v>0</v>
      </c>
      <c r="AG511" s="450">
        <f t="shared" si="166"/>
        <v>0</v>
      </c>
      <c r="AH511" s="451">
        <f t="shared" si="167"/>
        <v>0</v>
      </c>
      <c r="AI511" s="451">
        <f t="shared" si="168"/>
        <v>0</v>
      </c>
      <c r="AJ511" s="456"/>
      <c r="AK511" s="493"/>
      <c r="AL511" s="449">
        <f t="shared" si="169"/>
        <v>0</v>
      </c>
      <c r="AM511" s="452">
        <f t="shared" si="170"/>
        <v>0</v>
      </c>
      <c r="AN511" s="456"/>
      <c r="AO511" s="493"/>
      <c r="AP511" s="456">
        <v>60124</v>
      </c>
      <c r="AQ511" s="731">
        <v>65948</v>
      </c>
      <c r="AR511" s="456">
        <v>19904</v>
      </c>
      <c r="AS511" s="731">
        <v>20884</v>
      </c>
      <c r="AT511" s="456">
        <v>67951</v>
      </c>
      <c r="AU511" s="731">
        <v>70377</v>
      </c>
      <c r="AV511" s="449">
        <f t="shared" si="171"/>
        <v>147979</v>
      </c>
      <c r="AW511" s="453">
        <f t="shared" si="172"/>
        <v>6165.791666666667</v>
      </c>
      <c r="AX511" s="451">
        <f t="shared" si="173"/>
        <v>157209</v>
      </c>
      <c r="AY511" s="454">
        <f t="shared" si="174"/>
        <v>6550.375</v>
      </c>
      <c r="AZ511" s="455">
        <f t="shared" si="175"/>
        <v>18189.658333333333</v>
      </c>
      <c r="BA511" s="451">
        <f t="shared" si="176"/>
        <v>19718.808333333334</v>
      </c>
    </row>
    <row r="512" spans="1:53">
      <c r="A512" s="594" t="s">
        <v>234</v>
      </c>
      <c r="B512" s="734" t="s">
        <v>747</v>
      </c>
      <c r="C512" s="598"/>
      <c r="D512" s="729">
        <v>229179</v>
      </c>
      <c r="E512" s="730">
        <v>2</v>
      </c>
      <c r="F512" s="491" t="s">
        <v>41</v>
      </c>
      <c r="G512" s="492"/>
      <c r="H512" s="456"/>
      <c r="I512" s="493"/>
      <c r="J512" s="456">
        <v>102228</v>
      </c>
      <c r="K512" s="731">
        <v>98748</v>
      </c>
      <c r="L512" s="456">
        <v>23471</v>
      </c>
      <c r="M512" s="731">
        <v>22119</v>
      </c>
      <c r="N512" s="456">
        <v>112149</v>
      </c>
      <c r="O512" s="732">
        <v>113726</v>
      </c>
      <c r="P512" s="449">
        <f t="shared" si="159"/>
        <v>237848</v>
      </c>
      <c r="Q512" s="450">
        <f t="shared" si="160"/>
        <v>7928.2666666666664</v>
      </c>
      <c r="R512" s="451">
        <f t="shared" si="161"/>
        <v>234593</v>
      </c>
      <c r="S512" s="452">
        <f t="shared" si="162"/>
        <v>7819.7666666666664</v>
      </c>
      <c r="T512" s="456">
        <v>2592</v>
      </c>
      <c r="U512" s="731">
        <v>4519</v>
      </c>
      <c r="V512" s="449">
        <f t="shared" si="163"/>
        <v>237848</v>
      </c>
      <c r="W512" s="448">
        <f t="shared" si="164"/>
        <v>234593</v>
      </c>
      <c r="X512" s="456"/>
      <c r="Y512" s="493"/>
      <c r="Z512" s="456"/>
      <c r="AA512" s="493"/>
      <c r="AB512" s="456"/>
      <c r="AC512" s="493"/>
      <c r="AD512" s="456"/>
      <c r="AE512" s="493"/>
      <c r="AF512" s="449">
        <f t="shared" si="165"/>
        <v>0</v>
      </c>
      <c r="AG512" s="450">
        <f t="shared" si="166"/>
        <v>0</v>
      </c>
      <c r="AH512" s="451">
        <f t="shared" si="167"/>
        <v>0</v>
      </c>
      <c r="AI512" s="451">
        <f t="shared" si="168"/>
        <v>0</v>
      </c>
      <c r="AJ512" s="456"/>
      <c r="AK512" s="493"/>
      <c r="AL512" s="449">
        <f t="shared" si="169"/>
        <v>0</v>
      </c>
      <c r="AM512" s="452">
        <f t="shared" si="170"/>
        <v>0</v>
      </c>
      <c r="AN512" s="456"/>
      <c r="AO512" s="493"/>
      <c r="AP512" s="456">
        <v>37385</v>
      </c>
      <c r="AQ512" s="731">
        <v>34581</v>
      </c>
      <c r="AR512" s="456">
        <v>26977</v>
      </c>
      <c r="AS512" s="731">
        <v>23352</v>
      </c>
      <c r="AT512" s="456">
        <v>36780</v>
      </c>
      <c r="AU512" s="731">
        <v>35538</v>
      </c>
      <c r="AV512" s="449">
        <f t="shared" si="171"/>
        <v>101142</v>
      </c>
      <c r="AW512" s="453">
        <f t="shared" si="172"/>
        <v>4214.25</v>
      </c>
      <c r="AX512" s="451">
        <f t="shared" si="173"/>
        <v>93471</v>
      </c>
      <c r="AY512" s="454">
        <f t="shared" si="174"/>
        <v>3894.625</v>
      </c>
      <c r="AZ512" s="455">
        <f t="shared" si="175"/>
        <v>12142.516666666666</v>
      </c>
      <c r="BA512" s="451">
        <f t="shared" si="176"/>
        <v>11714.391666666666</v>
      </c>
    </row>
    <row r="513" spans="1:53">
      <c r="A513" s="594" t="s">
        <v>234</v>
      </c>
      <c r="B513" s="595" t="s">
        <v>748</v>
      </c>
      <c r="C513" s="598"/>
      <c r="D513" s="729">
        <v>228796</v>
      </c>
      <c r="E513" s="730">
        <v>2</v>
      </c>
      <c r="F513" s="491" t="s">
        <v>41</v>
      </c>
      <c r="G513" s="492"/>
      <c r="H513" s="456"/>
      <c r="I513" s="493"/>
      <c r="J513" s="456">
        <v>202354</v>
      </c>
      <c r="K513" s="731">
        <v>205495</v>
      </c>
      <c r="L513" s="456">
        <v>49681</v>
      </c>
      <c r="M513" s="731">
        <v>54255</v>
      </c>
      <c r="N513" s="456">
        <v>219023</v>
      </c>
      <c r="O513" s="732">
        <v>221904</v>
      </c>
      <c r="P513" s="449">
        <f t="shared" si="159"/>
        <v>471058</v>
      </c>
      <c r="Q513" s="450">
        <f t="shared" si="160"/>
        <v>15701.933333333332</v>
      </c>
      <c r="R513" s="451">
        <f t="shared" si="161"/>
        <v>481654</v>
      </c>
      <c r="S513" s="452">
        <f t="shared" si="162"/>
        <v>16055.133333333333</v>
      </c>
      <c r="T513" s="456">
        <v>0</v>
      </c>
      <c r="U513" s="733">
        <v>0</v>
      </c>
      <c r="V513" s="449">
        <f t="shared" si="163"/>
        <v>471058</v>
      </c>
      <c r="W513" s="448">
        <f t="shared" si="164"/>
        <v>481654</v>
      </c>
      <c r="X513" s="456"/>
      <c r="Y513" s="493"/>
      <c r="Z513" s="456"/>
      <c r="AA513" s="493"/>
      <c r="AB513" s="456"/>
      <c r="AC513" s="493"/>
      <c r="AD513" s="456"/>
      <c r="AE513" s="493"/>
      <c r="AF513" s="449">
        <f t="shared" si="165"/>
        <v>0</v>
      </c>
      <c r="AG513" s="450">
        <f t="shared" si="166"/>
        <v>0</v>
      </c>
      <c r="AH513" s="451">
        <f t="shared" si="167"/>
        <v>0</v>
      </c>
      <c r="AI513" s="451">
        <f t="shared" si="168"/>
        <v>0</v>
      </c>
      <c r="AJ513" s="456"/>
      <c r="AK513" s="493"/>
      <c r="AL513" s="449">
        <f t="shared" si="169"/>
        <v>0</v>
      </c>
      <c r="AM513" s="452">
        <f t="shared" si="170"/>
        <v>0</v>
      </c>
      <c r="AN513" s="456"/>
      <c r="AO513" s="493"/>
      <c r="AP513" s="456">
        <v>22577</v>
      </c>
      <c r="AQ513" s="731">
        <v>22378</v>
      </c>
      <c r="AR513" s="456">
        <v>11665</v>
      </c>
      <c r="AS513" s="731">
        <v>11899</v>
      </c>
      <c r="AT513" s="456">
        <v>21033</v>
      </c>
      <c r="AU513" s="731">
        <v>20290</v>
      </c>
      <c r="AV513" s="449">
        <f t="shared" si="171"/>
        <v>55275</v>
      </c>
      <c r="AW513" s="453">
        <f t="shared" si="172"/>
        <v>2303.125</v>
      </c>
      <c r="AX513" s="451">
        <f t="shared" si="173"/>
        <v>54567</v>
      </c>
      <c r="AY513" s="454">
        <f t="shared" si="174"/>
        <v>2273.625</v>
      </c>
      <c r="AZ513" s="455">
        <f t="shared" si="175"/>
        <v>18005.058333333334</v>
      </c>
      <c r="BA513" s="451">
        <f t="shared" si="176"/>
        <v>18328.758333333331</v>
      </c>
    </row>
    <row r="514" spans="1:53">
      <c r="A514" s="594" t="s">
        <v>234</v>
      </c>
      <c r="B514" s="595" t="s">
        <v>749</v>
      </c>
      <c r="C514" s="598" t="s">
        <v>851</v>
      </c>
      <c r="D514" s="729">
        <v>229027</v>
      </c>
      <c r="E514" s="730">
        <v>2</v>
      </c>
      <c r="F514" s="491" t="s">
        <v>41</v>
      </c>
      <c r="G514" s="492"/>
      <c r="H514" s="456"/>
      <c r="I514" s="493"/>
      <c r="J514" s="456">
        <v>259274</v>
      </c>
      <c r="K514" s="731">
        <v>261805</v>
      </c>
      <c r="L514" s="456">
        <v>50034</v>
      </c>
      <c r="M514" s="731">
        <v>46168</v>
      </c>
      <c r="N514" s="456">
        <v>293467</v>
      </c>
      <c r="O514" s="732">
        <v>303123</v>
      </c>
      <c r="P514" s="449">
        <f t="shared" si="159"/>
        <v>602775</v>
      </c>
      <c r="Q514" s="450">
        <f t="shared" si="160"/>
        <v>20092.5</v>
      </c>
      <c r="R514" s="451">
        <f t="shared" si="161"/>
        <v>611096</v>
      </c>
      <c r="S514" s="452">
        <f t="shared" si="162"/>
        <v>20369.866666666665</v>
      </c>
      <c r="T514" s="456">
        <v>96</v>
      </c>
      <c r="U514" s="733">
        <v>117</v>
      </c>
      <c r="V514" s="449">
        <f t="shared" si="163"/>
        <v>602775</v>
      </c>
      <c r="W514" s="448">
        <f t="shared" si="164"/>
        <v>611096</v>
      </c>
      <c r="X514" s="456"/>
      <c r="Y514" s="493"/>
      <c r="Z514" s="456"/>
      <c r="AA514" s="493"/>
      <c r="AB514" s="456"/>
      <c r="AC514" s="493"/>
      <c r="AD514" s="456"/>
      <c r="AE514" s="493"/>
      <c r="AF514" s="449">
        <f t="shared" si="165"/>
        <v>0</v>
      </c>
      <c r="AG514" s="450">
        <f t="shared" si="166"/>
        <v>0</v>
      </c>
      <c r="AH514" s="451">
        <f t="shared" si="167"/>
        <v>0</v>
      </c>
      <c r="AI514" s="451">
        <f t="shared" si="168"/>
        <v>0</v>
      </c>
      <c r="AJ514" s="456"/>
      <c r="AK514" s="493"/>
      <c r="AL514" s="449">
        <f t="shared" si="169"/>
        <v>0</v>
      </c>
      <c r="AM514" s="452">
        <f t="shared" si="170"/>
        <v>0</v>
      </c>
      <c r="AN514" s="456"/>
      <c r="AO514" s="493"/>
      <c r="AP514" s="456">
        <v>27435</v>
      </c>
      <c r="AQ514" s="731">
        <v>27260</v>
      </c>
      <c r="AR514" s="456">
        <v>10112</v>
      </c>
      <c r="AS514" s="731">
        <v>10681</v>
      </c>
      <c r="AT514" s="456">
        <v>28462</v>
      </c>
      <c r="AU514" s="731">
        <v>28694</v>
      </c>
      <c r="AV514" s="449">
        <f t="shared" si="171"/>
        <v>66009</v>
      </c>
      <c r="AW514" s="453">
        <f t="shared" si="172"/>
        <v>2750.375</v>
      </c>
      <c r="AX514" s="451">
        <f t="shared" si="173"/>
        <v>66635</v>
      </c>
      <c r="AY514" s="454">
        <f t="shared" si="174"/>
        <v>2776.4583333333335</v>
      </c>
      <c r="AZ514" s="455">
        <f t="shared" si="175"/>
        <v>22842.875</v>
      </c>
      <c r="BA514" s="451">
        <f t="shared" si="176"/>
        <v>23146.324999999997</v>
      </c>
    </row>
    <row r="515" spans="1:53">
      <c r="A515" s="594" t="s">
        <v>234</v>
      </c>
      <c r="B515" s="595" t="s">
        <v>750</v>
      </c>
      <c r="C515" s="598"/>
      <c r="D515" s="729">
        <v>222831</v>
      </c>
      <c r="E515" s="730">
        <v>3</v>
      </c>
      <c r="F515" s="491" t="s">
        <v>41</v>
      </c>
      <c r="G515" s="492"/>
      <c r="H515" s="456"/>
      <c r="I515" s="493"/>
      <c r="J515" s="456">
        <v>60293</v>
      </c>
      <c r="K515" s="731">
        <v>60364</v>
      </c>
      <c r="L515" s="456">
        <v>11780</v>
      </c>
      <c r="M515" s="731">
        <v>12627</v>
      </c>
      <c r="N515" s="456">
        <v>68601</v>
      </c>
      <c r="O515" s="732">
        <v>76236</v>
      </c>
      <c r="P515" s="449">
        <f t="shared" si="159"/>
        <v>140674</v>
      </c>
      <c r="Q515" s="450">
        <f t="shared" si="160"/>
        <v>4689.1333333333332</v>
      </c>
      <c r="R515" s="451">
        <f t="shared" si="161"/>
        <v>149227</v>
      </c>
      <c r="S515" s="452">
        <f t="shared" si="162"/>
        <v>4974.2333333333336</v>
      </c>
      <c r="T515" s="456">
        <v>520</v>
      </c>
      <c r="U515" s="731">
        <v>8599</v>
      </c>
      <c r="V515" s="449">
        <f t="shared" si="163"/>
        <v>140674</v>
      </c>
      <c r="W515" s="448">
        <f t="shared" si="164"/>
        <v>149227</v>
      </c>
      <c r="X515" s="456"/>
      <c r="Y515" s="493"/>
      <c r="Z515" s="456"/>
      <c r="AA515" s="493"/>
      <c r="AB515" s="456"/>
      <c r="AC515" s="493"/>
      <c r="AD515" s="456"/>
      <c r="AE515" s="493"/>
      <c r="AF515" s="449">
        <f t="shared" si="165"/>
        <v>0</v>
      </c>
      <c r="AG515" s="450">
        <f t="shared" si="166"/>
        <v>0</v>
      </c>
      <c r="AH515" s="451">
        <f t="shared" si="167"/>
        <v>0</v>
      </c>
      <c r="AI515" s="451">
        <f t="shared" si="168"/>
        <v>0</v>
      </c>
      <c r="AJ515" s="456"/>
      <c r="AK515" s="493"/>
      <c r="AL515" s="449">
        <f t="shared" si="169"/>
        <v>0</v>
      </c>
      <c r="AM515" s="452">
        <f t="shared" si="170"/>
        <v>0</v>
      </c>
      <c r="AN515" s="456"/>
      <c r="AO515" s="493"/>
      <c r="AP515" s="456">
        <v>7650</v>
      </c>
      <c r="AQ515" s="731">
        <v>8234</v>
      </c>
      <c r="AR515" s="456">
        <v>5577</v>
      </c>
      <c r="AS515" s="731">
        <v>4462</v>
      </c>
      <c r="AT515" s="456">
        <v>5597</v>
      </c>
      <c r="AU515" s="731">
        <v>6536</v>
      </c>
      <c r="AV515" s="449">
        <f t="shared" si="171"/>
        <v>18824</v>
      </c>
      <c r="AW515" s="453">
        <f t="shared" si="172"/>
        <v>784.33333333333337</v>
      </c>
      <c r="AX515" s="451">
        <f t="shared" si="173"/>
        <v>19232</v>
      </c>
      <c r="AY515" s="454">
        <f t="shared" si="174"/>
        <v>801.33333333333337</v>
      </c>
      <c r="AZ515" s="455">
        <f t="shared" si="175"/>
        <v>5473.4666666666662</v>
      </c>
      <c r="BA515" s="451">
        <f t="shared" si="176"/>
        <v>5775.5666666666666</v>
      </c>
    </row>
    <row r="516" spans="1:53">
      <c r="A516" s="594" t="s">
        <v>234</v>
      </c>
      <c r="B516" s="595" t="s">
        <v>751</v>
      </c>
      <c r="C516" s="598"/>
      <c r="D516" s="729">
        <v>226091</v>
      </c>
      <c r="E516" s="730">
        <v>3</v>
      </c>
      <c r="F516" s="491" t="s">
        <v>41</v>
      </c>
      <c r="G516" s="492"/>
      <c r="H516" s="456"/>
      <c r="I516" s="493"/>
      <c r="J516" s="456">
        <v>99091</v>
      </c>
      <c r="K516" s="731">
        <v>95009</v>
      </c>
      <c r="L516" s="456">
        <v>28532</v>
      </c>
      <c r="M516" s="731">
        <v>26862</v>
      </c>
      <c r="N516" s="456">
        <v>100441</v>
      </c>
      <c r="O516" s="732">
        <v>98987</v>
      </c>
      <c r="P516" s="449">
        <f t="shared" si="159"/>
        <v>228064</v>
      </c>
      <c r="Q516" s="450">
        <f t="shared" si="160"/>
        <v>7602.1333333333332</v>
      </c>
      <c r="R516" s="451">
        <f t="shared" si="161"/>
        <v>220858</v>
      </c>
      <c r="S516" s="452">
        <f t="shared" si="162"/>
        <v>7361.9333333333334</v>
      </c>
      <c r="T516" s="456">
        <v>1685</v>
      </c>
      <c r="U516" s="731">
        <v>1547</v>
      </c>
      <c r="V516" s="449">
        <f t="shared" si="163"/>
        <v>228064</v>
      </c>
      <c r="W516" s="448">
        <f t="shared" si="164"/>
        <v>220858</v>
      </c>
      <c r="X516" s="456"/>
      <c r="Y516" s="493"/>
      <c r="Z516" s="456"/>
      <c r="AA516" s="493"/>
      <c r="AB516" s="456"/>
      <c r="AC516" s="493"/>
      <c r="AD516" s="456"/>
      <c r="AE516" s="493"/>
      <c r="AF516" s="449">
        <f t="shared" si="165"/>
        <v>0</v>
      </c>
      <c r="AG516" s="450">
        <f t="shared" si="166"/>
        <v>0</v>
      </c>
      <c r="AH516" s="451">
        <f t="shared" si="167"/>
        <v>0</v>
      </c>
      <c r="AI516" s="451">
        <f t="shared" si="168"/>
        <v>0</v>
      </c>
      <c r="AJ516" s="456"/>
      <c r="AK516" s="493"/>
      <c r="AL516" s="449">
        <f t="shared" si="169"/>
        <v>0</v>
      </c>
      <c r="AM516" s="452">
        <f t="shared" si="170"/>
        <v>0</v>
      </c>
      <c r="AN516" s="456"/>
      <c r="AO516" s="493"/>
      <c r="AP516" s="456">
        <v>40562</v>
      </c>
      <c r="AQ516" s="731">
        <v>46260</v>
      </c>
      <c r="AR516" s="456">
        <v>36006</v>
      </c>
      <c r="AS516" s="731">
        <v>47611</v>
      </c>
      <c r="AT516" s="456">
        <v>33053</v>
      </c>
      <c r="AU516" s="731">
        <v>24748</v>
      </c>
      <c r="AV516" s="449">
        <f t="shared" si="171"/>
        <v>109621</v>
      </c>
      <c r="AW516" s="453">
        <f t="shared" si="172"/>
        <v>4567.541666666667</v>
      </c>
      <c r="AX516" s="451">
        <f t="shared" si="173"/>
        <v>118619</v>
      </c>
      <c r="AY516" s="454">
        <f t="shared" si="174"/>
        <v>4942.458333333333</v>
      </c>
      <c r="AZ516" s="455">
        <f t="shared" si="175"/>
        <v>12169.674999999999</v>
      </c>
      <c r="BA516" s="451">
        <f t="shared" si="176"/>
        <v>12304.391666666666</v>
      </c>
    </row>
    <row r="517" spans="1:53">
      <c r="A517" s="594" t="s">
        <v>234</v>
      </c>
      <c r="B517" s="595" t="s">
        <v>752</v>
      </c>
      <c r="C517" s="598"/>
      <c r="D517" s="729">
        <v>226833</v>
      </c>
      <c r="E517" s="730">
        <v>3</v>
      </c>
      <c r="F517" s="491" t="s">
        <v>41</v>
      </c>
      <c r="G517" s="492"/>
      <c r="H517" s="456"/>
      <c r="I517" s="493"/>
      <c r="J517" s="456">
        <v>54786</v>
      </c>
      <c r="K517" s="731">
        <v>55615</v>
      </c>
      <c r="L517" s="456">
        <v>12146</v>
      </c>
      <c r="M517" s="731">
        <v>11510</v>
      </c>
      <c r="N517" s="456">
        <v>59341</v>
      </c>
      <c r="O517" s="732">
        <v>61160</v>
      </c>
      <c r="P517" s="449">
        <f t="shared" si="159"/>
        <v>126273</v>
      </c>
      <c r="Q517" s="450">
        <f t="shared" si="160"/>
        <v>4209.1000000000004</v>
      </c>
      <c r="R517" s="451">
        <f t="shared" si="161"/>
        <v>128285</v>
      </c>
      <c r="S517" s="452">
        <f t="shared" si="162"/>
        <v>4276.166666666667</v>
      </c>
      <c r="T517" s="456">
        <v>147</v>
      </c>
      <c r="U517" s="733">
        <v>70</v>
      </c>
      <c r="V517" s="449">
        <f t="shared" si="163"/>
        <v>126273</v>
      </c>
      <c r="W517" s="448">
        <f t="shared" si="164"/>
        <v>128285</v>
      </c>
      <c r="X517" s="456"/>
      <c r="Y517" s="493"/>
      <c r="Z517" s="456"/>
      <c r="AA517" s="493"/>
      <c r="AB517" s="456"/>
      <c r="AC517" s="493"/>
      <c r="AD517" s="456"/>
      <c r="AE517" s="493"/>
      <c r="AF517" s="449">
        <f t="shared" si="165"/>
        <v>0</v>
      </c>
      <c r="AG517" s="450">
        <f t="shared" si="166"/>
        <v>0</v>
      </c>
      <c r="AH517" s="451">
        <f t="shared" si="167"/>
        <v>0</v>
      </c>
      <c r="AI517" s="451">
        <f t="shared" si="168"/>
        <v>0</v>
      </c>
      <c r="AJ517" s="456"/>
      <c r="AK517" s="493"/>
      <c r="AL517" s="449">
        <f t="shared" si="169"/>
        <v>0</v>
      </c>
      <c r="AM517" s="452">
        <f t="shared" si="170"/>
        <v>0</v>
      </c>
      <c r="AN517" s="456"/>
      <c r="AO517" s="493"/>
      <c r="AP517" s="456">
        <v>3496</v>
      </c>
      <c r="AQ517" s="731">
        <v>3649</v>
      </c>
      <c r="AR517" s="456">
        <v>2006</v>
      </c>
      <c r="AS517" s="731">
        <v>2130</v>
      </c>
      <c r="AT517" s="456">
        <v>3628</v>
      </c>
      <c r="AU517" s="731">
        <v>3880</v>
      </c>
      <c r="AV517" s="449">
        <f t="shared" si="171"/>
        <v>9130</v>
      </c>
      <c r="AW517" s="453">
        <f t="shared" si="172"/>
        <v>380.41666666666669</v>
      </c>
      <c r="AX517" s="451">
        <f t="shared" si="173"/>
        <v>9659</v>
      </c>
      <c r="AY517" s="454">
        <f t="shared" si="174"/>
        <v>402.45833333333331</v>
      </c>
      <c r="AZ517" s="455">
        <f t="shared" si="175"/>
        <v>4589.5166666666673</v>
      </c>
      <c r="BA517" s="451">
        <f t="shared" si="176"/>
        <v>4678.625</v>
      </c>
    </row>
    <row r="518" spans="1:53">
      <c r="A518" s="594" t="s">
        <v>234</v>
      </c>
      <c r="B518" s="595" t="s">
        <v>753</v>
      </c>
      <c r="C518" s="598"/>
      <c r="D518" s="729">
        <v>227526</v>
      </c>
      <c r="E518" s="730">
        <v>3</v>
      </c>
      <c r="F518" s="491" t="s">
        <v>41</v>
      </c>
      <c r="G518" s="492"/>
      <c r="H518" s="456"/>
      <c r="I518" s="493"/>
      <c r="J518" s="456">
        <v>82136</v>
      </c>
      <c r="K518" s="731">
        <v>84837</v>
      </c>
      <c r="L518" s="456">
        <v>15465</v>
      </c>
      <c r="M518" s="731">
        <v>14222</v>
      </c>
      <c r="N518" s="456">
        <v>90602</v>
      </c>
      <c r="O518" s="732">
        <v>92084</v>
      </c>
      <c r="P518" s="449">
        <f t="shared" si="159"/>
        <v>188203</v>
      </c>
      <c r="Q518" s="450">
        <f t="shared" si="160"/>
        <v>6273.4333333333334</v>
      </c>
      <c r="R518" s="451">
        <f t="shared" si="161"/>
        <v>191143</v>
      </c>
      <c r="S518" s="452">
        <f t="shared" si="162"/>
        <v>6371.4333333333334</v>
      </c>
      <c r="T518" s="456">
        <v>0</v>
      </c>
      <c r="U518" s="733">
        <v>0</v>
      </c>
      <c r="V518" s="449">
        <f t="shared" si="163"/>
        <v>188203</v>
      </c>
      <c r="W518" s="448">
        <f t="shared" si="164"/>
        <v>191143</v>
      </c>
      <c r="X518" s="456"/>
      <c r="Y518" s="493"/>
      <c r="Z518" s="456"/>
      <c r="AA518" s="493"/>
      <c r="AB518" s="456"/>
      <c r="AC518" s="493"/>
      <c r="AD518" s="456"/>
      <c r="AE518" s="493"/>
      <c r="AF518" s="449">
        <f t="shared" si="165"/>
        <v>0</v>
      </c>
      <c r="AG518" s="450">
        <f t="shared" si="166"/>
        <v>0</v>
      </c>
      <c r="AH518" s="451">
        <f t="shared" si="167"/>
        <v>0</v>
      </c>
      <c r="AI518" s="451">
        <f t="shared" si="168"/>
        <v>0</v>
      </c>
      <c r="AJ518" s="456"/>
      <c r="AK518" s="493"/>
      <c r="AL518" s="449">
        <f t="shared" si="169"/>
        <v>0</v>
      </c>
      <c r="AM518" s="452">
        <f t="shared" si="170"/>
        <v>0</v>
      </c>
      <c r="AN518" s="456"/>
      <c r="AO518" s="493"/>
      <c r="AP518" s="456">
        <v>9754</v>
      </c>
      <c r="AQ518" s="731">
        <v>9812</v>
      </c>
      <c r="AR518" s="456">
        <v>5161</v>
      </c>
      <c r="AS518" s="731">
        <v>4564</v>
      </c>
      <c r="AT518" s="456">
        <v>9590</v>
      </c>
      <c r="AU518" s="731">
        <v>8940</v>
      </c>
      <c r="AV518" s="449">
        <f t="shared" si="171"/>
        <v>24505</v>
      </c>
      <c r="AW518" s="453">
        <f t="shared" si="172"/>
        <v>1021.0416666666666</v>
      </c>
      <c r="AX518" s="451">
        <f t="shared" si="173"/>
        <v>23316</v>
      </c>
      <c r="AY518" s="454">
        <f t="shared" si="174"/>
        <v>971.5</v>
      </c>
      <c r="AZ518" s="455">
        <f t="shared" si="175"/>
        <v>7294.4750000000004</v>
      </c>
      <c r="BA518" s="451">
        <f t="shared" si="176"/>
        <v>7342.9333333333334</v>
      </c>
    </row>
    <row r="519" spans="1:53">
      <c r="A519" s="594" t="s">
        <v>234</v>
      </c>
      <c r="B519" s="595" t="s">
        <v>754</v>
      </c>
      <c r="C519" s="598"/>
      <c r="D519" s="729">
        <v>227881</v>
      </c>
      <c r="E519" s="730">
        <v>3</v>
      </c>
      <c r="F519" s="491" t="s">
        <v>41</v>
      </c>
      <c r="G519" s="492"/>
      <c r="H519" s="456"/>
      <c r="I519" s="493"/>
      <c r="J519" s="456">
        <v>188374</v>
      </c>
      <c r="K519" s="731">
        <v>195411</v>
      </c>
      <c r="L519" s="456">
        <v>38229</v>
      </c>
      <c r="M519" s="731">
        <v>41247</v>
      </c>
      <c r="N519" s="456">
        <v>209275</v>
      </c>
      <c r="O519" s="732">
        <v>218326</v>
      </c>
      <c r="P519" s="449">
        <f t="shared" si="159"/>
        <v>435878</v>
      </c>
      <c r="Q519" s="450">
        <f t="shared" si="160"/>
        <v>14529.266666666666</v>
      </c>
      <c r="R519" s="451">
        <f t="shared" si="161"/>
        <v>454984</v>
      </c>
      <c r="S519" s="452">
        <f t="shared" si="162"/>
        <v>15166.133333333333</v>
      </c>
      <c r="T519" s="456">
        <v>0</v>
      </c>
      <c r="U519" s="733">
        <v>0</v>
      </c>
      <c r="V519" s="449">
        <f t="shared" si="163"/>
        <v>435878</v>
      </c>
      <c r="W519" s="448">
        <f t="shared" si="164"/>
        <v>454984</v>
      </c>
      <c r="X519" s="456"/>
      <c r="Y519" s="493"/>
      <c r="Z519" s="456"/>
      <c r="AA519" s="493"/>
      <c r="AB519" s="456"/>
      <c r="AC519" s="493"/>
      <c r="AD519" s="456"/>
      <c r="AE519" s="493"/>
      <c r="AF519" s="449">
        <f t="shared" si="165"/>
        <v>0</v>
      </c>
      <c r="AG519" s="450">
        <f t="shared" si="166"/>
        <v>0</v>
      </c>
      <c r="AH519" s="451">
        <f t="shared" si="167"/>
        <v>0</v>
      </c>
      <c r="AI519" s="451">
        <f t="shared" si="168"/>
        <v>0</v>
      </c>
      <c r="AJ519" s="456"/>
      <c r="AK519" s="493"/>
      <c r="AL519" s="449">
        <f t="shared" si="169"/>
        <v>0</v>
      </c>
      <c r="AM519" s="452">
        <f t="shared" si="170"/>
        <v>0</v>
      </c>
      <c r="AN519" s="456"/>
      <c r="AO519" s="493"/>
      <c r="AP519" s="456">
        <v>16462</v>
      </c>
      <c r="AQ519" s="731">
        <v>15565</v>
      </c>
      <c r="AR519" s="456">
        <v>11168</v>
      </c>
      <c r="AS519" s="731">
        <v>10378</v>
      </c>
      <c r="AT519" s="456">
        <v>16265</v>
      </c>
      <c r="AU519" s="731">
        <v>15828</v>
      </c>
      <c r="AV519" s="449">
        <f t="shared" si="171"/>
        <v>43895</v>
      </c>
      <c r="AW519" s="453">
        <f t="shared" si="172"/>
        <v>1828.9583333333333</v>
      </c>
      <c r="AX519" s="451">
        <f t="shared" si="173"/>
        <v>41771</v>
      </c>
      <c r="AY519" s="454">
        <f t="shared" si="174"/>
        <v>1740.4583333333333</v>
      </c>
      <c r="AZ519" s="455">
        <f t="shared" si="175"/>
        <v>16358.225</v>
      </c>
      <c r="BA519" s="451">
        <f t="shared" si="176"/>
        <v>16906.591666666667</v>
      </c>
    </row>
    <row r="520" spans="1:53">
      <c r="A520" s="594" t="s">
        <v>234</v>
      </c>
      <c r="B520" s="595" t="s">
        <v>755</v>
      </c>
      <c r="C520" s="598"/>
      <c r="D520" s="729">
        <v>228431</v>
      </c>
      <c r="E520" s="730">
        <v>3</v>
      </c>
      <c r="F520" s="491" t="s">
        <v>41</v>
      </c>
      <c r="G520" s="492"/>
      <c r="H520" s="456"/>
      <c r="I520" s="493"/>
      <c r="J520" s="456">
        <v>125540</v>
      </c>
      <c r="K520" s="731">
        <v>124227</v>
      </c>
      <c r="L520" s="456">
        <v>28153</v>
      </c>
      <c r="M520" s="731">
        <v>24581</v>
      </c>
      <c r="N520" s="456">
        <v>137156</v>
      </c>
      <c r="O520" s="732">
        <v>136325</v>
      </c>
      <c r="P520" s="449">
        <f t="shared" ref="P520:P583" si="177">SUM(H520,J520,L520,N520)</f>
        <v>290849</v>
      </c>
      <c r="Q520" s="450">
        <f t="shared" ref="Q520:Q583" si="178">+P520/30</f>
        <v>9694.9666666666672</v>
      </c>
      <c r="R520" s="451">
        <f t="shared" ref="R520:R583" si="179">SUM(I520,K520,M520,O520)</f>
        <v>285133</v>
      </c>
      <c r="S520" s="452">
        <f t="shared" ref="S520:S583" si="180">+R520/30</f>
        <v>9504.4333333333325</v>
      </c>
      <c r="T520" s="456">
        <v>2837</v>
      </c>
      <c r="U520" s="731">
        <v>3064</v>
      </c>
      <c r="V520" s="449">
        <f t="shared" ref="V520:V583" si="181">IF(ISBLANK(T520),0,P520)</f>
        <v>290849</v>
      </c>
      <c r="W520" s="448">
        <f t="shared" ref="W520:W583" si="182">IF(ISBLANK(U520),0,R520)</f>
        <v>285133</v>
      </c>
      <c r="X520" s="456"/>
      <c r="Y520" s="493"/>
      <c r="Z520" s="456"/>
      <c r="AA520" s="493"/>
      <c r="AB520" s="456"/>
      <c r="AC520" s="493"/>
      <c r="AD520" s="456"/>
      <c r="AE520" s="493"/>
      <c r="AF520" s="449">
        <f t="shared" ref="AF520:AF583" si="183">SUM(X520,Z520,AB520,AD520)</f>
        <v>0</v>
      </c>
      <c r="AG520" s="450">
        <f t="shared" ref="AG520:AG583" si="184">+AF520/900</f>
        <v>0</v>
      </c>
      <c r="AH520" s="451">
        <f t="shared" ref="AH520:AH583" si="185">SUM(Y520,AA520,AC520,AE520)</f>
        <v>0</v>
      </c>
      <c r="AI520" s="451">
        <f t="shared" ref="AI520:AI583" si="186">+AH520/900</f>
        <v>0</v>
      </c>
      <c r="AJ520" s="456"/>
      <c r="AK520" s="493"/>
      <c r="AL520" s="449">
        <f t="shared" ref="AL520:AL583" si="187">IF(ISBLANK(AJ520),0,AF520)</f>
        <v>0</v>
      </c>
      <c r="AM520" s="452">
        <f t="shared" ref="AM520:AM583" si="188">IF(ISBLANK(AK520),0,AH520)</f>
        <v>0</v>
      </c>
      <c r="AN520" s="456"/>
      <c r="AO520" s="493"/>
      <c r="AP520" s="456">
        <v>10709</v>
      </c>
      <c r="AQ520" s="731">
        <v>10072</v>
      </c>
      <c r="AR520" s="456">
        <v>7820</v>
      </c>
      <c r="AS520" s="731">
        <v>7777</v>
      </c>
      <c r="AT520" s="456">
        <v>10231</v>
      </c>
      <c r="AU520" s="731">
        <v>10674</v>
      </c>
      <c r="AV520" s="449">
        <f t="shared" ref="AV520:AV583" si="189">SUM(AN520,AP520,AR520,AT520)</f>
        <v>28760</v>
      </c>
      <c r="AW520" s="453">
        <f t="shared" ref="AW520:AW583" si="190">+AV520/24</f>
        <v>1198.3333333333333</v>
      </c>
      <c r="AX520" s="451">
        <f t="shared" ref="AX520:AX583" si="191">SUM(AO520,AQ520,AS520,AU520)</f>
        <v>28523</v>
      </c>
      <c r="AY520" s="454">
        <f t="shared" ref="AY520:AY583" si="192">+AX520/24</f>
        <v>1188.4583333333333</v>
      </c>
      <c r="AZ520" s="455">
        <f t="shared" ref="AZ520:AZ583" si="193">SUM(Q520,AG520,AW520)</f>
        <v>10893.300000000001</v>
      </c>
      <c r="BA520" s="451">
        <f t="shared" ref="BA520:BA583" si="194">SUM(S520,AI520,AY520)</f>
        <v>10692.891666666666</v>
      </c>
    </row>
    <row r="521" spans="1:53">
      <c r="A521" s="594" t="s">
        <v>234</v>
      </c>
      <c r="B521" s="595" t="s">
        <v>756</v>
      </c>
      <c r="C521" s="598"/>
      <c r="D521" s="735">
        <v>228501</v>
      </c>
      <c r="E521" s="707">
        <v>3</v>
      </c>
      <c r="F521" s="491" t="s">
        <v>41</v>
      </c>
      <c r="G521" s="492"/>
      <c r="H521" s="456"/>
      <c r="I521" s="493"/>
      <c r="J521" s="456">
        <v>14136</v>
      </c>
      <c r="K521" s="731">
        <v>14245</v>
      </c>
      <c r="L521" s="456">
        <v>2441</v>
      </c>
      <c r="M521" s="731">
        <v>2710</v>
      </c>
      <c r="N521" s="456">
        <v>16172</v>
      </c>
      <c r="O521" s="732">
        <v>16422</v>
      </c>
      <c r="P521" s="449">
        <f t="shared" si="177"/>
        <v>32749</v>
      </c>
      <c r="Q521" s="450">
        <f t="shared" si="178"/>
        <v>1091.6333333333334</v>
      </c>
      <c r="R521" s="451">
        <f t="shared" si="179"/>
        <v>33377</v>
      </c>
      <c r="S521" s="452">
        <f t="shared" si="180"/>
        <v>1112.5666666666666</v>
      </c>
      <c r="T521" s="456">
        <v>775</v>
      </c>
      <c r="U521" s="731">
        <v>1048</v>
      </c>
      <c r="V521" s="449">
        <f t="shared" si="181"/>
        <v>32749</v>
      </c>
      <c r="W521" s="448">
        <f t="shared" si="182"/>
        <v>33377</v>
      </c>
      <c r="X521" s="456"/>
      <c r="Y521" s="493"/>
      <c r="Z521" s="456"/>
      <c r="AA521" s="493"/>
      <c r="AB521" s="456"/>
      <c r="AC521" s="493"/>
      <c r="AD521" s="456"/>
      <c r="AE521" s="493"/>
      <c r="AF521" s="449">
        <f t="shared" si="183"/>
        <v>0</v>
      </c>
      <c r="AG521" s="450">
        <f t="shared" si="184"/>
        <v>0</v>
      </c>
      <c r="AH521" s="451">
        <f t="shared" si="185"/>
        <v>0</v>
      </c>
      <c r="AI521" s="451">
        <f t="shared" si="186"/>
        <v>0</v>
      </c>
      <c r="AJ521" s="456"/>
      <c r="AK521" s="493"/>
      <c r="AL521" s="449">
        <f t="shared" si="187"/>
        <v>0</v>
      </c>
      <c r="AM521" s="452">
        <f t="shared" si="188"/>
        <v>0</v>
      </c>
      <c r="AN521" s="456"/>
      <c r="AO521" s="493"/>
      <c r="AP521" s="456">
        <v>2935</v>
      </c>
      <c r="AQ521" s="731">
        <v>3526</v>
      </c>
      <c r="AR521" s="456">
        <v>2708</v>
      </c>
      <c r="AS521" s="731">
        <v>3007</v>
      </c>
      <c r="AT521" s="456">
        <v>3611</v>
      </c>
      <c r="AU521" s="731">
        <v>3541</v>
      </c>
      <c r="AV521" s="449">
        <f t="shared" si="189"/>
        <v>9254</v>
      </c>
      <c r="AW521" s="453">
        <f t="shared" si="190"/>
        <v>385.58333333333331</v>
      </c>
      <c r="AX521" s="451">
        <f t="shared" si="191"/>
        <v>10074</v>
      </c>
      <c r="AY521" s="454">
        <f t="shared" si="192"/>
        <v>419.75</v>
      </c>
      <c r="AZ521" s="455">
        <f t="shared" si="193"/>
        <v>1477.2166666666667</v>
      </c>
      <c r="BA521" s="451">
        <f t="shared" si="194"/>
        <v>1532.3166666666666</v>
      </c>
    </row>
    <row r="522" spans="1:53">
      <c r="A522" s="594" t="s">
        <v>234</v>
      </c>
      <c r="B522" s="595" t="s">
        <v>757</v>
      </c>
      <c r="C522" s="598"/>
      <c r="D522" s="735">
        <v>228529</v>
      </c>
      <c r="E522" s="707">
        <v>3</v>
      </c>
      <c r="F522" s="491" t="s">
        <v>41</v>
      </c>
      <c r="G522" s="492"/>
      <c r="H522" s="456"/>
      <c r="I522" s="493"/>
      <c r="J522" s="456">
        <v>107454</v>
      </c>
      <c r="K522" s="731">
        <v>113621</v>
      </c>
      <c r="L522" s="456">
        <v>24831</v>
      </c>
      <c r="M522" s="731">
        <v>25735</v>
      </c>
      <c r="N522" s="456">
        <v>124214</v>
      </c>
      <c r="O522" s="732">
        <v>129140</v>
      </c>
      <c r="P522" s="449">
        <f t="shared" si="177"/>
        <v>256499</v>
      </c>
      <c r="Q522" s="450">
        <f t="shared" si="178"/>
        <v>8549.9666666666672</v>
      </c>
      <c r="R522" s="451">
        <f t="shared" si="179"/>
        <v>268496</v>
      </c>
      <c r="S522" s="452">
        <f t="shared" si="180"/>
        <v>8949.8666666666668</v>
      </c>
      <c r="T522" s="456">
        <v>0</v>
      </c>
      <c r="U522" s="733">
        <v>0</v>
      </c>
      <c r="V522" s="449">
        <f t="shared" si="181"/>
        <v>256499</v>
      </c>
      <c r="W522" s="448">
        <f t="shared" si="182"/>
        <v>268496</v>
      </c>
      <c r="X522" s="456"/>
      <c r="Y522" s="493"/>
      <c r="Z522" s="456"/>
      <c r="AA522" s="493"/>
      <c r="AB522" s="456"/>
      <c r="AC522" s="493"/>
      <c r="AD522" s="456"/>
      <c r="AE522" s="493"/>
      <c r="AF522" s="449">
        <f t="shared" si="183"/>
        <v>0</v>
      </c>
      <c r="AG522" s="450">
        <f t="shared" si="184"/>
        <v>0</v>
      </c>
      <c r="AH522" s="451">
        <f t="shared" si="185"/>
        <v>0</v>
      </c>
      <c r="AI522" s="451">
        <f t="shared" si="186"/>
        <v>0</v>
      </c>
      <c r="AJ522" s="456"/>
      <c r="AK522" s="493"/>
      <c r="AL522" s="449">
        <f t="shared" si="187"/>
        <v>0</v>
      </c>
      <c r="AM522" s="452">
        <f t="shared" si="188"/>
        <v>0</v>
      </c>
      <c r="AN522" s="456"/>
      <c r="AO522" s="493"/>
      <c r="AP522" s="456">
        <v>8489</v>
      </c>
      <c r="AQ522" s="731">
        <v>8943</v>
      </c>
      <c r="AR522" s="456">
        <v>6052</v>
      </c>
      <c r="AS522" s="731">
        <v>6076</v>
      </c>
      <c r="AT522" s="456">
        <v>8766</v>
      </c>
      <c r="AU522" s="731">
        <v>9176</v>
      </c>
      <c r="AV522" s="449">
        <f t="shared" si="189"/>
        <v>23307</v>
      </c>
      <c r="AW522" s="453">
        <f t="shared" si="190"/>
        <v>971.125</v>
      </c>
      <c r="AX522" s="451">
        <f t="shared" si="191"/>
        <v>24195</v>
      </c>
      <c r="AY522" s="454">
        <f t="shared" si="192"/>
        <v>1008.125</v>
      </c>
      <c r="AZ522" s="455">
        <f t="shared" si="193"/>
        <v>9521.0916666666672</v>
      </c>
      <c r="BA522" s="451">
        <f t="shared" si="194"/>
        <v>9957.9916666666668</v>
      </c>
    </row>
    <row r="523" spans="1:53">
      <c r="A523" s="594" t="s">
        <v>234</v>
      </c>
      <c r="B523" s="595" t="s">
        <v>758</v>
      </c>
      <c r="C523" s="598"/>
      <c r="D523" s="735">
        <v>226152</v>
      </c>
      <c r="E523" s="707">
        <v>3</v>
      </c>
      <c r="F523" s="491" t="s">
        <v>41</v>
      </c>
      <c r="G523" s="492"/>
      <c r="H523" s="456"/>
      <c r="I523" s="493"/>
      <c r="J523" s="456">
        <v>62338</v>
      </c>
      <c r="K523" s="731">
        <v>65958</v>
      </c>
      <c r="L523" s="456">
        <v>14077</v>
      </c>
      <c r="M523" s="731">
        <v>13590</v>
      </c>
      <c r="N523" s="456">
        <v>71243</v>
      </c>
      <c r="O523" s="732">
        <v>72854</v>
      </c>
      <c r="P523" s="449">
        <f t="shared" si="177"/>
        <v>147658</v>
      </c>
      <c r="Q523" s="450">
        <f t="shared" si="178"/>
        <v>4921.9333333333334</v>
      </c>
      <c r="R523" s="451">
        <f t="shared" si="179"/>
        <v>152402</v>
      </c>
      <c r="S523" s="452">
        <f t="shared" si="180"/>
        <v>5080.0666666666666</v>
      </c>
      <c r="T523" s="456">
        <v>8382</v>
      </c>
      <c r="U523" s="731">
        <v>9991</v>
      </c>
      <c r="V523" s="449">
        <f t="shared" si="181"/>
        <v>147658</v>
      </c>
      <c r="W523" s="448">
        <f t="shared" si="182"/>
        <v>152402</v>
      </c>
      <c r="X523" s="456"/>
      <c r="Y523" s="493"/>
      <c r="Z523" s="456"/>
      <c r="AA523" s="493"/>
      <c r="AB523" s="456"/>
      <c r="AC523" s="493"/>
      <c r="AD523" s="456"/>
      <c r="AE523" s="493"/>
      <c r="AF523" s="449">
        <f t="shared" si="183"/>
        <v>0</v>
      </c>
      <c r="AG523" s="450">
        <f t="shared" si="184"/>
        <v>0</v>
      </c>
      <c r="AH523" s="451">
        <f t="shared" si="185"/>
        <v>0</v>
      </c>
      <c r="AI523" s="451">
        <f t="shared" si="186"/>
        <v>0</v>
      </c>
      <c r="AJ523" s="456"/>
      <c r="AK523" s="493"/>
      <c r="AL523" s="449">
        <f t="shared" si="187"/>
        <v>0</v>
      </c>
      <c r="AM523" s="452">
        <f t="shared" si="188"/>
        <v>0</v>
      </c>
      <c r="AN523" s="456"/>
      <c r="AO523" s="493"/>
      <c r="AP523" s="456">
        <v>410</v>
      </c>
      <c r="AQ523" s="731">
        <v>5178</v>
      </c>
      <c r="AR523" s="456">
        <v>6984</v>
      </c>
      <c r="AS523" s="731">
        <v>3293</v>
      </c>
      <c r="AT523" s="456">
        <v>4988</v>
      </c>
      <c r="AU523" s="731">
        <v>5242</v>
      </c>
      <c r="AV523" s="449">
        <f t="shared" si="189"/>
        <v>12382</v>
      </c>
      <c r="AW523" s="453">
        <f t="shared" si="190"/>
        <v>515.91666666666663</v>
      </c>
      <c r="AX523" s="451">
        <f t="shared" si="191"/>
        <v>13713</v>
      </c>
      <c r="AY523" s="454">
        <f t="shared" si="192"/>
        <v>571.375</v>
      </c>
      <c r="AZ523" s="455">
        <f t="shared" si="193"/>
        <v>5437.85</v>
      </c>
      <c r="BA523" s="451">
        <f t="shared" si="194"/>
        <v>5651.4416666666666</v>
      </c>
    </row>
    <row r="524" spans="1:53">
      <c r="A524" s="594" t="s">
        <v>234</v>
      </c>
      <c r="B524" s="595" t="s">
        <v>759</v>
      </c>
      <c r="C524" s="598"/>
      <c r="D524" s="735">
        <v>224554</v>
      </c>
      <c r="E524" s="707">
        <v>3</v>
      </c>
      <c r="F524" s="491" t="s">
        <v>41</v>
      </c>
      <c r="G524" s="492"/>
      <c r="H524" s="456"/>
      <c r="I524" s="493"/>
      <c r="J524" s="456">
        <v>71899</v>
      </c>
      <c r="K524" s="731">
        <v>77628</v>
      </c>
      <c r="L524" s="456">
        <v>13857</v>
      </c>
      <c r="M524" s="731">
        <v>16537</v>
      </c>
      <c r="N524" s="456">
        <v>82754</v>
      </c>
      <c r="O524" s="732">
        <v>87259</v>
      </c>
      <c r="P524" s="449">
        <f t="shared" si="177"/>
        <v>168510</v>
      </c>
      <c r="Q524" s="450">
        <f t="shared" si="178"/>
        <v>5617</v>
      </c>
      <c r="R524" s="451">
        <f t="shared" si="179"/>
        <v>181424</v>
      </c>
      <c r="S524" s="452">
        <f t="shared" si="180"/>
        <v>6047.4666666666662</v>
      </c>
      <c r="T524" s="456">
        <v>2033</v>
      </c>
      <c r="U524" s="731">
        <v>2886</v>
      </c>
      <c r="V524" s="449">
        <f t="shared" si="181"/>
        <v>168510</v>
      </c>
      <c r="W524" s="448">
        <f t="shared" si="182"/>
        <v>181424</v>
      </c>
      <c r="X524" s="456"/>
      <c r="Y524" s="493"/>
      <c r="Z524" s="456"/>
      <c r="AA524" s="493"/>
      <c r="AB524" s="456"/>
      <c r="AC524" s="493"/>
      <c r="AD524" s="456"/>
      <c r="AE524" s="493"/>
      <c r="AF524" s="449">
        <f t="shared" si="183"/>
        <v>0</v>
      </c>
      <c r="AG524" s="450">
        <f t="shared" si="184"/>
        <v>0</v>
      </c>
      <c r="AH524" s="451">
        <f t="shared" si="185"/>
        <v>0</v>
      </c>
      <c r="AI524" s="451">
        <f t="shared" si="186"/>
        <v>0</v>
      </c>
      <c r="AJ524" s="456"/>
      <c r="AK524" s="493"/>
      <c r="AL524" s="449">
        <f t="shared" si="187"/>
        <v>0</v>
      </c>
      <c r="AM524" s="452">
        <f t="shared" si="188"/>
        <v>0</v>
      </c>
      <c r="AN524" s="456"/>
      <c r="AO524" s="493"/>
      <c r="AP524" s="456">
        <v>23763</v>
      </c>
      <c r="AQ524" s="731">
        <v>31329</v>
      </c>
      <c r="AR524" s="456">
        <v>24134</v>
      </c>
      <c r="AS524" s="731">
        <v>20652</v>
      </c>
      <c r="AT524" s="456">
        <v>26061</v>
      </c>
      <c r="AU524" s="731">
        <v>31006</v>
      </c>
      <c r="AV524" s="449">
        <f t="shared" si="189"/>
        <v>73958</v>
      </c>
      <c r="AW524" s="453">
        <f t="shared" si="190"/>
        <v>3081.5833333333335</v>
      </c>
      <c r="AX524" s="451">
        <f t="shared" si="191"/>
        <v>82987</v>
      </c>
      <c r="AY524" s="454">
        <f t="shared" si="192"/>
        <v>3457.7916666666665</v>
      </c>
      <c r="AZ524" s="455">
        <f t="shared" si="193"/>
        <v>8698.5833333333339</v>
      </c>
      <c r="BA524" s="451">
        <f t="shared" si="194"/>
        <v>9505.2583333333332</v>
      </c>
    </row>
    <row r="525" spans="1:53">
      <c r="A525" s="594" t="s">
        <v>234</v>
      </c>
      <c r="B525" s="595" t="s">
        <v>760</v>
      </c>
      <c r="C525" s="598"/>
      <c r="D525" s="735">
        <v>224147</v>
      </c>
      <c r="E525" s="707">
        <v>3</v>
      </c>
      <c r="F525" s="491" t="s">
        <v>41</v>
      </c>
      <c r="G525" s="492"/>
      <c r="H525" s="456"/>
      <c r="I525" s="493"/>
      <c r="J525" s="456">
        <v>101971</v>
      </c>
      <c r="K525" s="731">
        <v>101328</v>
      </c>
      <c r="L525" s="456">
        <v>22460</v>
      </c>
      <c r="M525" s="731">
        <v>22664</v>
      </c>
      <c r="N525" s="456">
        <v>109854</v>
      </c>
      <c r="O525" s="732">
        <v>113195</v>
      </c>
      <c r="P525" s="449">
        <f t="shared" si="177"/>
        <v>234285</v>
      </c>
      <c r="Q525" s="450">
        <f t="shared" si="178"/>
        <v>7809.5</v>
      </c>
      <c r="R525" s="451">
        <f t="shared" si="179"/>
        <v>237187</v>
      </c>
      <c r="S525" s="452">
        <f t="shared" si="180"/>
        <v>7906.2333333333336</v>
      </c>
      <c r="T525" s="456">
        <v>1013</v>
      </c>
      <c r="U525" s="733">
        <v>957</v>
      </c>
      <c r="V525" s="449">
        <f t="shared" si="181"/>
        <v>234285</v>
      </c>
      <c r="W525" s="448">
        <f t="shared" si="182"/>
        <v>237187</v>
      </c>
      <c r="X525" s="456"/>
      <c r="Y525" s="493"/>
      <c r="Z525" s="456"/>
      <c r="AA525" s="493"/>
      <c r="AB525" s="456"/>
      <c r="AC525" s="493"/>
      <c r="AD525" s="456"/>
      <c r="AE525" s="493"/>
      <c r="AF525" s="449">
        <f t="shared" si="183"/>
        <v>0</v>
      </c>
      <c r="AG525" s="450">
        <f t="shared" si="184"/>
        <v>0</v>
      </c>
      <c r="AH525" s="451">
        <f t="shared" si="185"/>
        <v>0</v>
      </c>
      <c r="AI525" s="451">
        <f t="shared" si="186"/>
        <v>0</v>
      </c>
      <c r="AJ525" s="456"/>
      <c r="AK525" s="493"/>
      <c r="AL525" s="449">
        <f t="shared" si="187"/>
        <v>0</v>
      </c>
      <c r="AM525" s="452">
        <f t="shared" si="188"/>
        <v>0</v>
      </c>
      <c r="AN525" s="456"/>
      <c r="AO525" s="493"/>
      <c r="AP525" s="456">
        <v>10856</v>
      </c>
      <c r="AQ525" s="731">
        <v>11719</v>
      </c>
      <c r="AR525" s="456">
        <v>7479</v>
      </c>
      <c r="AS525" s="731">
        <v>7591</v>
      </c>
      <c r="AT525" s="456">
        <v>11577</v>
      </c>
      <c r="AU525" s="731">
        <v>11030</v>
      </c>
      <c r="AV525" s="449">
        <f t="shared" si="189"/>
        <v>29912</v>
      </c>
      <c r="AW525" s="453">
        <f t="shared" si="190"/>
        <v>1246.3333333333333</v>
      </c>
      <c r="AX525" s="451">
        <f t="shared" si="191"/>
        <v>30340</v>
      </c>
      <c r="AY525" s="454">
        <f t="shared" si="192"/>
        <v>1264.1666666666667</v>
      </c>
      <c r="AZ525" s="455">
        <f t="shared" si="193"/>
        <v>9055.8333333333339</v>
      </c>
      <c r="BA525" s="451">
        <f t="shared" si="194"/>
        <v>9170.4</v>
      </c>
    </row>
    <row r="526" spans="1:53">
      <c r="A526" s="594" t="s">
        <v>234</v>
      </c>
      <c r="B526" s="595" t="s">
        <v>761</v>
      </c>
      <c r="C526" s="598"/>
      <c r="D526" s="735">
        <v>228705</v>
      </c>
      <c r="E526" s="707">
        <v>3</v>
      </c>
      <c r="F526" s="491" t="s">
        <v>41</v>
      </c>
      <c r="G526" s="492"/>
      <c r="H526" s="456"/>
      <c r="I526" s="493"/>
      <c r="J526" s="456">
        <v>69418</v>
      </c>
      <c r="K526" s="731">
        <v>68966</v>
      </c>
      <c r="L526" s="456">
        <v>10951</v>
      </c>
      <c r="M526" s="731">
        <v>10936</v>
      </c>
      <c r="N526" s="456">
        <v>75415</v>
      </c>
      <c r="O526" s="732">
        <v>78870</v>
      </c>
      <c r="P526" s="449">
        <f t="shared" si="177"/>
        <v>155784</v>
      </c>
      <c r="Q526" s="450">
        <f t="shared" si="178"/>
        <v>5192.8</v>
      </c>
      <c r="R526" s="451">
        <f t="shared" si="179"/>
        <v>158772</v>
      </c>
      <c r="S526" s="452">
        <f t="shared" si="180"/>
        <v>5292.4</v>
      </c>
      <c r="T526" s="456">
        <v>8272</v>
      </c>
      <c r="U526" s="731">
        <v>10481</v>
      </c>
      <c r="V526" s="449">
        <f t="shared" si="181"/>
        <v>155784</v>
      </c>
      <c r="W526" s="448">
        <f t="shared" si="182"/>
        <v>158772</v>
      </c>
      <c r="X526" s="456"/>
      <c r="Y526" s="493"/>
      <c r="Z526" s="456"/>
      <c r="AA526" s="493"/>
      <c r="AB526" s="456"/>
      <c r="AC526" s="493"/>
      <c r="AD526" s="456"/>
      <c r="AE526" s="493"/>
      <c r="AF526" s="449">
        <f t="shared" si="183"/>
        <v>0</v>
      </c>
      <c r="AG526" s="450">
        <f t="shared" si="184"/>
        <v>0</v>
      </c>
      <c r="AH526" s="451">
        <f t="shared" si="185"/>
        <v>0</v>
      </c>
      <c r="AI526" s="451">
        <f t="shared" si="186"/>
        <v>0</v>
      </c>
      <c r="AJ526" s="456"/>
      <c r="AK526" s="493"/>
      <c r="AL526" s="449">
        <f t="shared" si="187"/>
        <v>0</v>
      </c>
      <c r="AM526" s="452">
        <f t="shared" si="188"/>
        <v>0</v>
      </c>
      <c r="AN526" s="456"/>
      <c r="AO526" s="493"/>
      <c r="AP526" s="456">
        <v>14734</v>
      </c>
      <c r="AQ526" s="731">
        <v>19453</v>
      </c>
      <c r="AR526" s="456">
        <v>10094</v>
      </c>
      <c r="AS526" s="731">
        <v>13314</v>
      </c>
      <c r="AT526" s="456">
        <v>19543</v>
      </c>
      <c r="AU526" s="731">
        <v>20638</v>
      </c>
      <c r="AV526" s="449">
        <f t="shared" si="189"/>
        <v>44371</v>
      </c>
      <c r="AW526" s="453">
        <f t="shared" si="190"/>
        <v>1848.7916666666667</v>
      </c>
      <c r="AX526" s="451">
        <f t="shared" si="191"/>
        <v>53405</v>
      </c>
      <c r="AY526" s="454">
        <f t="shared" si="192"/>
        <v>2225.2083333333335</v>
      </c>
      <c r="AZ526" s="455">
        <f t="shared" si="193"/>
        <v>7041.5916666666672</v>
      </c>
      <c r="BA526" s="451">
        <f t="shared" si="194"/>
        <v>7517.6083333333336</v>
      </c>
    </row>
    <row r="527" spans="1:53">
      <c r="A527" s="594" t="s">
        <v>234</v>
      </c>
      <c r="B527" s="595" t="s">
        <v>762</v>
      </c>
      <c r="C527" s="598"/>
      <c r="D527" s="735">
        <v>229063</v>
      </c>
      <c r="E527" s="707">
        <v>3</v>
      </c>
      <c r="F527" s="491" t="s">
        <v>41</v>
      </c>
      <c r="G527" s="492"/>
      <c r="H527" s="456"/>
      <c r="I527" s="493"/>
      <c r="J527" s="456">
        <v>73602</v>
      </c>
      <c r="K527" s="731">
        <v>77417</v>
      </c>
      <c r="L527" s="456">
        <v>10264</v>
      </c>
      <c r="M527" s="731">
        <v>9683</v>
      </c>
      <c r="N527" s="456">
        <v>91031</v>
      </c>
      <c r="O527" s="732">
        <v>91511</v>
      </c>
      <c r="P527" s="449">
        <f t="shared" si="177"/>
        <v>174897</v>
      </c>
      <c r="Q527" s="450">
        <f t="shared" si="178"/>
        <v>5829.9</v>
      </c>
      <c r="R527" s="451">
        <f t="shared" si="179"/>
        <v>178611</v>
      </c>
      <c r="S527" s="452">
        <f t="shared" si="180"/>
        <v>5953.7</v>
      </c>
      <c r="T527" s="456">
        <v>138</v>
      </c>
      <c r="U527" s="733">
        <v>102</v>
      </c>
      <c r="V527" s="449">
        <f t="shared" si="181"/>
        <v>174897</v>
      </c>
      <c r="W527" s="448">
        <f t="shared" si="182"/>
        <v>178611</v>
      </c>
      <c r="X527" s="456"/>
      <c r="Y527" s="493"/>
      <c r="Z527" s="456"/>
      <c r="AA527" s="493"/>
      <c r="AB527" s="456"/>
      <c r="AC527" s="493"/>
      <c r="AD527" s="456"/>
      <c r="AE527" s="493"/>
      <c r="AF527" s="449">
        <f t="shared" si="183"/>
        <v>0</v>
      </c>
      <c r="AG527" s="450">
        <f t="shared" si="184"/>
        <v>0</v>
      </c>
      <c r="AH527" s="451">
        <f t="shared" si="185"/>
        <v>0</v>
      </c>
      <c r="AI527" s="451">
        <f t="shared" si="186"/>
        <v>0</v>
      </c>
      <c r="AJ527" s="456"/>
      <c r="AK527" s="493"/>
      <c r="AL527" s="449">
        <f t="shared" si="187"/>
        <v>0</v>
      </c>
      <c r="AM527" s="452">
        <f t="shared" si="188"/>
        <v>0</v>
      </c>
      <c r="AN527" s="456"/>
      <c r="AO527" s="493"/>
      <c r="AP527" s="456">
        <v>23634</v>
      </c>
      <c r="AQ527" s="731">
        <v>22523</v>
      </c>
      <c r="AR527" s="456">
        <v>5176</v>
      </c>
      <c r="AS527" s="731">
        <v>4771</v>
      </c>
      <c r="AT527" s="456">
        <v>23162</v>
      </c>
      <c r="AU527" s="731">
        <v>23483</v>
      </c>
      <c r="AV527" s="449">
        <f t="shared" si="189"/>
        <v>51972</v>
      </c>
      <c r="AW527" s="453">
        <f t="shared" si="190"/>
        <v>2165.5</v>
      </c>
      <c r="AX527" s="451">
        <f t="shared" si="191"/>
        <v>50777</v>
      </c>
      <c r="AY527" s="454">
        <f t="shared" si="192"/>
        <v>2115.7083333333335</v>
      </c>
      <c r="AZ527" s="455">
        <f t="shared" si="193"/>
        <v>7995.4</v>
      </c>
      <c r="BA527" s="451">
        <f t="shared" si="194"/>
        <v>8069.4083333333328</v>
      </c>
    </row>
    <row r="528" spans="1:53">
      <c r="A528" s="594" t="s">
        <v>234</v>
      </c>
      <c r="B528" s="736" t="s">
        <v>763</v>
      </c>
      <c r="C528" s="598" t="s">
        <v>852</v>
      </c>
      <c r="D528" s="735">
        <v>228459</v>
      </c>
      <c r="E528" s="707">
        <v>3</v>
      </c>
      <c r="F528" s="491" t="s">
        <v>41</v>
      </c>
      <c r="G528" s="492"/>
      <c r="H528" s="456"/>
      <c r="I528" s="493"/>
      <c r="J528" s="456">
        <v>353377</v>
      </c>
      <c r="K528" s="731">
        <v>364827</v>
      </c>
      <c r="L528" s="456">
        <v>61560</v>
      </c>
      <c r="M528" s="731">
        <v>61323</v>
      </c>
      <c r="N528" s="456">
        <v>399703</v>
      </c>
      <c r="O528" s="732">
        <v>415617</v>
      </c>
      <c r="P528" s="449">
        <f t="shared" si="177"/>
        <v>814640</v>
      </c>
      <c r="Q528" s="450">
        <f t="shared" si="178"/>
        <v>27154.666666666668</v>
      </c>
      <c r="R528" s="451">
        <f t="shared" si="179"/>
        <v>841767</v>
      </c>
      <c r="S528" s="452">
        <f t="shared" si="180"/>
        <v>28058.9</v>
      </c>
      <c r="T528" s="456">
        <v>0</v>
      </c>
      <c r="U528" s="733">
        <v>0</v>
      </c>
      <c r="V528" s="449">
        <f t="shared" si="181"/>
        <v>814640</v>
      </c>
      <c r="W528" s="448">
        <f t="shared" si="182"/>
        <v>841767</v>
      </c>
      <c r="X528" s="456"/>
      <c r="Y528" s="493"/>
      <c r="Z528" s="456"/>
      <c r="AA528" s="493"/>
      <c r="AB528" s="456"/>
      <c r="AC528" s="493"/>
      <c r="AD528" s="456"/>
      <c r="AE528" s="493"/>
      <c r="AF528" s="449">
        <f t="shared" si="183"/>
        <v>0</v>
      </c>
      <c r="AG528" s="450">
        <f t="shared" si="184"/>
        <v>0</v>
      </c>
      <c r="AH528" s="451">
        <f t="shared" si="185"/>
        <v>0</v>
      </c>
      <c r="AI528" s="451">
        <f t="shared" si="186"/>
        <v>0</v>
      </c>
      <c r="AJ528" s="456"/>
      <c r="AK528" s="493"/>
      <c r="AL528" s="449">
        <f t="shared" si="187"/>
        <v>0</v>
      </c>
      <c r="AM528" s="452">
        <f t="shared" si="188"/>
        <v>0</v>
      </c>
      <c r="AN528" s="456"/>
      <c r="AO528" s="493"/>
      <c r="AP528" s="456">
        <v>29816</v>
      </c>
      <c r="AQ528" s="731">
        <v>29707</v>
      </c>
      <c r="AR528" s="456">
        <v>13555</v>
      </c>
      <c r="AS528" s="731">
        <v>12209</v>
      </c>
      <c r="AT528" s="456">
        <v>31736</v>
      </c>
      <c r="AU528" s="731">
        <v>31420</v>
      </c>
      <c r="AV528" s="449">
        <f t="shared" si="189"/>
        <v>75107</v>
      </c>
      <c r="AW528" s="453">
        <f t="shared" si="190"/>
        <v>3129.4583333333335</v>
      </c>
      <c r="AX528" s="451">
        <f t="shared" si="191"/>
        <v>73336</v>
      </c>
      <c r="AY528" s="454">
        <f t="shared" si="192"/>
        <v>3055.6666666666665</v>
      </c>
      <c r="AZ528" s="455">
        <f t="shared" si="193"/>
        <v>30284.125</v>
      </c>
      <c r="BA528" s="451">
        <f t="shared" si="194"/>
        <v>31114.566666666669</v>
      </c>
    </row>
    <row r="529" spans="1:53">
      <c r="A529" s="594" t="s">
        <v>234</v>
      </c>
      <c r="B529" s="595" t="s">
        <v>764</v>
      </c>
      <c r="C529" s="598"/>
      <c r="D529" s="735">
        <v>225414</v>
      </c>
      <c r="E529" s="707">
        <v>3</v>
      </c>
      <c r="F529" s="491" t="s">
        <v>41</v>
      </c>
      <c r="G529" s="492"/>
      <c r="H529" s="456"/>
      <c r="I529" s="493"/>
      <c r="J529" s="456">
        <v>43742</v>
      </c>
      <c r="K529" s="731">
        <v>48929</v>
      </c>
      <c r="L529" s="456">
        <v>13570</v>
      </c>
      <c r="M529" s="731">
        <v>13306</v>
      </c>
      <c r="N529" s="456">
        <v>50107</v>
      </c>
      <c r="O529" s="732">
        <v>54490</v>
      </c>
      <c r="P529" s="449">
        <f t="shared" si="177"/>
        <v>107419</v>
      </c>
      <c r="Q529" s="450">
        <f t="shared" si="178"/>
        <v>3580.6333333333332</v>
      </c>
      <c r="R529" s="451">
        <f t="shared" si="179"/>
        <v>116725</v>
      </c>
      <c r="S529" s="452">
        <f t="shared" si="180"/>
        <v>3890.8333333333335</v>
      </c>
      <c r="T529" s="456">
        <v>0</v>
      </c>
      <c r="U529" s="733">
        <v>0</v>
      </c>
      <c r="V529" s="449">
        <f t="shared" si="181"/>
        <v>107419</v>
      </c>
      <c r="W529" s="448">
        <f t="shared" si="182"/>
        <v>116725</v>
      </c>
      <c r="X529" s="456"/>
      <c r="Y529" s="493"/>
      <c r="Z529" s="456"/>
      <c r="AA529" s="493"/>
      <c r="AB529" s="456"/>
      <c r="AC529" s="493"/>
      <c r="AD529" s="456"/>
      <c r="AE529" s="493"/>
      <c r="AF529" s="449">
        <f t="shared" si="183"/>
        <v>0</v>
      </c>
      <c r="AG529" s="450">
        <f t="shared" si="184"/>
        <v>0</v>
      </c>
      <c r="AH529" s="451">
        <f t="shared" si="185"/>
        <v>0</v>
      </c>
      <c r="AI529" s="451">
        <f t="shared" si="186"/>
        <v>0</v>
      </c>
      <c r="AJ529" s="456"/>
      <c r="AK529" s="493"/>
      <c r="AL529" s="449">
        <f t="shared" si="187"/>
        <v>0</v>
      </c>
      <c r="AM529" s="452">
        <f t="shared" si="188"/>
        <v>0</v>
      </c>
      <c r="AN529" s="456"/>
      <c r="AO529" s="493"/>
      <c r="AP529" s="456">
        <v>22740</v>
      </c>
      <c r="AQ529" s="731">
        <v>23066</v>
      </c>
      <c r="AR529" s="456">
        <v>9908</v>
      </c>
      <c r="AS529" s="731">
        <v>10402</v>
      </c>
      <c r="AT529" s="456">
        <v>24535</v>
      </c>
      <c r="AU529" s="731">
        <v>23888</v>
      </c>
      <c r="AV529" s="449">
        <f t="shared" si="189"/>
        <v>57183</v>
      </c>
      <c r="AW529" s="453">
        <f t="shared" si="190"/>
        <v>2382.625</v>
      </c>
      <c r="AX529" s="451">
        <f t="shared" si="191"/>
        <v>57356</v>
      </c>
      <c r="AY529" s="454">
        <f t="shared" si="192"/>
        <v>2389.8333333333335</v>
      </c>
      <c r="AZ529" s="455">
        <f t="shared" si="193"/>
        <v>5963.2583333333332</v>
      </c>
      <c r="BA529" s="451">
        <f t="shared" si="194"/>
        <v>6280.666666666667</v>
      </c>
    </row>
    <row r="530" spans="1:53">
      <c r="A530" s="594" t="s">
        <v>234</v>
      </c>
      <c r="B530" s="595" t="s">
        <v>765</v>
      </c>
      <c r="C530" s="598"/>
      <c r="D530" s="735">
        <v>228802</v>
      </c>
      <c r="E530" s="707">
        <v>3</v>
      </c>
      <c r="F530" s="491" t="s">
        <v>41</v>
      </c>
      <c r="G530" s="492"/>
      <c r="H530" s="456"/>
      <c r="I530" s="493"/>
      <c r="J530" s="456">
        <v>59355</v>
      </c>
      <c r="K530" s="731">
        <v>63918</v>
      </c>
      <c r="L530" s="456">
        <v>10707</v>
      </c>
      <c r="M530" s="731">
        <v>12981</v>
      </c>
      <c r="N530" s="456">
        <v>67147</v>
      </c>
      <c r="O530" s="732">
        <v>72898</v>
      </c>
      <c r="P530" s="449">
        <f t="shared" si="177"/>
        <v>137209</v>
      </c>
      <c r="Q530" s="450">
        <f t="shared" si="178"/>
        <v>4573.6333333333332</v>
      </c>
      <c r="R530" s="451">
        <f t="shared" si="179"/>
        <v>149797</v>
      </c>
      <c r="S530" s="452">
        <f t="shared" si="180"/>
        <v>4993.2333333333336</v>
      </c>
      <c r="T530" s="456">
        <v>447</v>
      </c>
      <c r="U530" s="731">
        <v>1378</v>
      </c>
      <c r="V530" s="449">
        <f t="shared" si="181"/>
        <v>137209</v>
      </c>
      <c r="W530" s="448">
        <f t="shared" si="182"/>
        <v>149797</v>
      </c>
      <c r="X530" s="456"/>
      <c r="Y530" s="493"/>
      <c r="Z530" s="456"/>
      <c r="AA530" s="493"/>
      <c r="AB530" s="456"/>
      <c r="AC530" s="493"/>
      <c r="AD530" s="456"/>
      <c r="AE530" s="493"/>
      <c r="AF530" s="449">
        <f t="shared" si="183"/>
        <v>0</v>
      </c>
      <c r="AG530" s="450">
        <f t="shared" si="184"/>
        <v>0</v>
      </c>
      <c r="AH530" s="451">
        <f t="shared" si="185"/>
        <v>0</v>
      </c>
      <c r="AI530" s="451">
        <f t="shared" si="186"/>
        <v>0</v>
      </c>
      <c r="AJ530" s="456"/>
      <c r="AK530" s="493"/>
      <c r="AL530" s="449">
        <f t="shared" si="187"/>
        <v>0</v>
      </c>
      <c r="AM530" s="452">
        <f t="shared" si="188"/>
        <v>0</v>
      </c>
      <c r="AN530" s="456"/>
      <c r="AO530" s="493"/>
      <c r="AP530" s="456">
        <v>12244</v>
      </c>
      <c r="AQ530" s="731">
        <v>13953</v>
      </c>
      <c r="AR530" s="456">
        <v>9784</v>
      </c>
      <c r="AS530" s="731">
        <v>11397</v>
      </c>
      <c r="AT530" s="456">
        <v>12790</v>
      </c>
      <c r="AU530" s="731">
        <v>13502</v>
      </c>
      <c r="AV530" s="449">
        <f t="shared" si="189"/>
        <v>34818</v>
      </c>
      <c r="AW530" s="453">
        <f t="shared" si="190"/>
        <v>1450.75</v>
      </c>
      <c r="AX530" s="451">
        <f t="shared" si="191"/>
        <v>38852</v>
      </c>
      <c r="AY530" s="454">
        <f t="shared" si="192"/>
        <v>1618.8333333333333</v>
      </c>
      <c r="AZ530" s="455">
        <f t="shared" si="193"/>
        <v>6024.3833333333332</v>
      </c>
      <c r="BA530" s="451">
        <f t="shared" si="194"/>
        <v>6612.0666666666666</v>
      </c>
    </row>
    <row r="531" spans="1:53">
      <c r="A531" s="594" t="s">
        <v>234</v>
      </c>
      <c r="B531" s="734" t="s">
        <v>766</v>
      </c>
      <c r="C531" s="737"/>
      <c r="D531" s="735">
        <v>229018</v>
      </c>
      <c r="E531" s="707">
        <v>3</v>
      </c>
      <c r="F531" s="491" t="s">
        <v>41</v>
      </c>
      <c r="G531" s="492"/>
      <c r="H531" s="456"/>
      <c r="I531" s="493"/>
      <c r="J531" s="456">
        <v>41720</v>
      </c>
      <c r="K531" s="731">
        <v>44272</v>
      </c>
      <c r="L531" s="456">
        <v>11704</v>
      </c>
      <c r="M531" s="731">
        <v>16192</v>
      </c>
      <c r="N531" s="456">
        <v>46915</v>
      </c>
      <c r="O531" s="732">
        <v>45547</v>
      </c>
      <c r="P531" s="449">
        <f t="shared" si="177"/>
        <v>100339</v>
      </c>
      <c r="Q531" s="450">
        <f t="shared" si="178"/>
        <v>3344.6333333333332</v>
      </c>
      <c r="R531" s="451">
        <f t="shared" si="179"/>
        <v>106011</v>
      </c>
      <c r="S531" s="452">
        <f t="shared" si="180"/>
        <v>3533.7</v>
      </c>
      <c r="T531" s="456">
        <v>10085</v>
      </c>
      <c r="U531" s="731">
        <v>11981</v>
      </c>
      <c r="V531" s="449">
        <f t="shared" si="181"/>
        <v>100339</v>
      </c>
      <c r="W531" s="448">
        <f t="shared" si="182"/>
        <v>106011</v>
      </c>
      <c r="X531" s="456"/>
      <c r="Y531" s="493"/>
      <c r="Z531" s="456"/>
      <c r="AA531" s="493"/>
      <c r="AB531" s="456"/>
      <c r="AC531" s="493"/>
      <c r="AD531" s="456"/>
      <c r="AE531" s="493"/>
      <c r="AF531" s="449">
        <f t="shared" si="183"/>
        <v>0</v>
      </c>
      <c r="AG531" s="450">
        <f t="shared" si="184"/>
        <v>0</v>
      </c>
      <c r="AH531" s="451">
        <f t="shared" si="185"/>
        <v>0</v>
      </c>
      <c r="AI531" s="451">
        <f t="shared" si="186"/>
        <v>0</v>
      </c>
      <c r="AJ531" s="456"/>
      <c r="AK531" s="493"/>
      <c r="AL531" s="449">
        <f t="shared" si="187"/>
        <v>0</v>
      </c>
      <c r="AM531" s="452">
        <f t="shared" si="188"/>
        <v>0</v>
      </c>
      <c r="AN531" s="456"/>
      <c r="AO531" s="493"/>
      <c r="AP531" s="456">
        <v>3709</v>
      </c>
      <c r="AQ531" s="731">
        <v>3889</v>
      </c>
      <c r="AR531" s="456">
        <v>3090</v>
      </c>
      <c r="AS531" s="731">
        <v>3864</v>
      </c>
      <c r="AT531" s="456">
        <v>3862</v>
      </c>
      <c r="AU531" s="731">
        <v>2920</v>
      </c>
      <c r="AV531" s="449">
        <f t="shared" si="189"/>
        <v>10661</v>
      </c>
      <c r="AW531" s="453">
        <f t="shared" si="190"/>
        <v>444.20833333333331</v>
      </c>
      <c r="AX531" s="451">
        <f t="shared" si="191"/>
        <v>10673</v>
      </c>
      <c r="AY531" s="454">
        <f t="shared" si="192"/>
        <v>444.70833333333331</v>
      </c>
      <c r="AZ531" s="455">
        <f t="shared" si="193"/>
        <v>3788.8416666666667</v>
      </c>
      <c r="BA531" s="451">
        <f t="shared" si="194"/>
        <v>3978.4083333333333</v>
      </c>
    </row>
    <row r="532" spans="1:53">
      <c r="A532" s="826" t="s">
        <v>234</v>
      </c>
      <c r="B532" s="827" t="s">
        <v>970</v>
      </c>
      <c r="C532" s="828"/>
      <c r="D532" s="829">
        <v>227368</v>
      </c>
      <c r="E532" s="707">
        <v>3</v>
      </c>
      <c r="F532" s="491" t="s">
        <v>41</v>
      </c>
      <c r="G532" s="492"/>
      <c r="H532" s="456"/>
      <c r="I532" s="493"/>
      <c r="J532" s="537">
        <v>264307</v>
      </c>
      <c r="K532" s="830">
        <v>273257</v>
      </c>
      <c r="L532" s="537">
        <v>71345</v>
      </c>
      <c r="M532" s="830">
        <v>78120</v>
      </c>
      <c r="N532" s="537">
        <v>288565</v>
      </c>
      <c r="O532" s="830">
        <v>286363</v>
      </c>
      <c r="P532" s="449">
        <f t="shared" si="177"/>
        <v>624217</v>
      </c>
      <c r="Q532" s="450">
        <f t="shared" si="178"/>
        <v>20807.233333333334</v>
      </c>
      <c r="R532" s="451">
        <f t="shared" si="179"/>
        <v>637740</v>
      </c>
      <c r="S532" s="452">
        <f t="shared" si="180"/>
        <v>21258</v>
      </c>
      <c r="T532" s="537">
        <v>10149</v>
      </c>
      <c r="U532" s="830">
        <v>11448</v>
      </c>
      <c r="V532" s="449">
        <f t="shared" si="181"/>
        <v>624217</v>
      </c>
      <c r="W532" s="448">
        <f t="shared" si="182"/>
        <v>637740</v>
      </c>
      <c r="X532" s="456"/>
      <c r="Y532" s="493"/>
      <c r="Z532" s="456"/>
      <c r="AA532" s="493"/>
      <c r="AB532" s="456"/>
      <c r="AC532" s="493"/>
      <c r="AD532" s="456"/>
      <c r="AE532" s="493"/>
      <c r="AF532" s="449">
        <f t="shared" si="183"/>
        <v>0</v>
      </c>
      <c r="AG532" s="450">
        <f t="shared" si="184"/>
        <v>0</v>
      </c>
      <c r="AH532" s="451">
        <f t="shared" si="185"/>
        <v>0</v>
      </c>
      <c r="AI532" s="451">
        <f t="shared" si="186"/>
        <v>0</v>
      </c>
      <c r="AJ532" s="456"/>
      <c r="AK532" s="493"/>
      <c r="AL532" s="449">
        <f t="shared" si="187"/>
        <v>0</v>
      </c>
      <c r="AM532" s="452">
        <f t="shared" si="188"/>
        <v>0</v>
      </c>
      <c r="AN532" s="456"/>
      <c r="AO532" s="493"/>
      <c r="AP532" s="537">
        <v>22586</v>
      </c>
      <c r="AQ532" s="830">
        <v>26271</v>
      </c>
      <c r="AR532" s="537">
        <v>13910</v>
      </c>
      <c r="AS532" s="830">
        <v>18653</v>
      </c>
      <c r="AT532" s="537">
        <v>25605</v>
      </c>
      <c r="AU532" s="830">
        <v>24931</v>
      </c>
      <c r="AV532" s="449">
        <f t="shared" si="189"/>
        <v>62101</v>
      </c>
      <c r="AW532" s="453">
        <f t="shared" si="190"/>
        <v>2587.5416666666665</v>
      </c>
      <c r="AX532" s="451">
        <f t="shared" si="191"/>
        <v>69855</v>
      </c>
      <c r="AY532" s="454">
        <f t="shared" si="192"/>
        <v>2910.625</v>
      </c>
      <c r="AZ532" s="455">
        <f t="shared" si="193"/>
        <v>23394.775000000001</v>
      </c>
      <c r="BA532" s="451">
        <f t="shared" si="194"/>
        <v>24168.625</v>
      </c>
    </row>
    <row r="533" spans="1:53">
      <c r="A533" s="594" t="s">
        <v>234</v>
      </c>
      <c r="B533" s="595" t="s">
        <v>767</v>
      </c>
      <c r="C533" s="598"/>
      <c r="D533" s="735">
        <v>229814</v>
      </c>
      <c r="E533" s="707">
        <v>3</v>
      </c>
      <c r="F533" s="491" t="s">
        <v>41</v>
      </c>
      <c r="G533" s="492"/>
      <c r="H533" s="456"/>
      <c r="I533" s="493"/>
      <c r="J533" s="456">
        <v>81189</v>
      </c>
      <c r="K533" s="731">
        <v>81349</v>
      </c>
      <c r="L533" s="456">
        <v>13179</v>
      </c>
      <c r="M533" s="731">
        <v>12960</v>
      </c>
      <c r="N533" s="456">
        <v>91053</v>
      </c>
      <c r="O533" s="732">
        <v>92135</v>
      </c>
      <c r="P533" s="449">
        <f t="shared" si="177"/>
        <v>185421</v>
      </c>
      <c r="Q533" s="450">
        <f t="shared" si="178"/>
        <v>6180.7</v>
      </c>
      <c r="R533" s="451">
        <f t="shared" si="179"/>
        <v>186444</v>
      </c>
      <c r="S533" s="452">
        <f t="shared" si="180"/>
        <v>6214.8</v>
      </c>
      <c r="T533" s="456">
        <v>0</v>
      </c>
      <c r="U533" s="733">
        <v>0</v>
      </c>
      <c r="V533" s="449">
        <f t="shared" si="181"/>
        <v>185421</v>
      </c>
      <c r="W533" s="448">
        <f t="shared" si="182"/>
        <v>186444</v>
      </c>
      <c r="X533" s="456"/>
      <c r="Y533" s="493"/>
      <c r="Z533" s="456"/>
      <c r="AA533" s="493"/>
      <c r="AB533" s="456"/>
      <c r="AC533" s="493"/>
      <c r="AD533" s="456"/>
      <c r="AE533" s="493"/>
      <c r="AF533" s="449">
        <f t="shared" si="183"/>
        <v>0</v>
      </c>
      <c r="AG533" s="450">
        <f t="shared" si="184"/>
        <v>0</v>
      </c>
      <c r="AH533" s="451">
        <f t="shared" si="185"/>
        <v>0</v>
      </c>
      <c r="AI533" s="451">
        <f t="shared" si="186"/>
        <v>0</v>
      </c>
      <c r="AJ533" s="456"/>
      <c r="AK533" s="493"/>
      <c r="AL533" s="449">
        <f t="shared" si="187"/>
        <v>0</v>
      </c>
      <c r="AM533" s="452">
        <f t="shared" si="188"/>
        <v>0</v>
      </c>
      <c r="AN533" s="456"/>
      <c r="AO533" s="493"/>
      <c r="AP533" s="456">
        <v>9189</v>
      </c>
      <c r="AQ533" s="731">
        <v>11925</v>
      </c>
      <c r="AR533" s="456">
        <v>6745</v>
      </c>
      <c r="AS533" s="731">
        <v>7615</v>
      </c>
      <c r="AT533" s="456">
        <v>10994</v>
      </c>
      <c r="AU533" s="731">
        <v>12942</v>
      </c>
      <c r="AV533" s="449">
        <f t="shared" si="189"/>
        <v>26928</v>
      </c>
      <c r="AW533" s="453">
        <f t="shared" si="190"/>
        <v>1122</v>
      </c>
      <c r="AX533" s="451">
        <f t="shared" si="191"/>
        <v>32482</v>
      </c>
      <c r="AY533" s="454">
        <f t="shared" si="192"/>
        <v>1353.4166666666667</v>
      </c>
      <c r="AZ533" s="455">
        <f t="shared" si="193"/>
        <v>7302.7</v>
      </c>
      <c r="BA533" s="451">
        <f t="shared" si="194"/>
        <v>7568.2166666666672</v>
      </c>
    </row>
    <row r="534" spans="1:53">
      <c r="A534" s="594" t="s">
        <v>234</v>
      </c>
      <c r="B534" s="734" t="s">
        <v>768</v>
      </c>
      <c r="C534" s="598"/>
      <c r="D534" s="738">
        <v>483036</v>
      </c>
      <c r="E534" s="730">
        <v>4</v>
      </c>
      <c r="F534" s="491" t="s">
        <v>41</v>
      </c>
      <c r="G534" s="492"/>
      <c r="H534" s="456"/>
      <c r="I534" s="493"/>
      <c r="J534" s="456">
        <v>14875</v>
      </c>
      <c r="K534" s="731">
        <v>16280</v>
      </c>
      <c r="L534" s="456">
        <v>8677</v>
      </c>
      <c r="M534" s="731">
        <v>8415</v>
      </c>
      <c r="N534" s="456">
        <v>13128</v>
      </c>
      <c r="O534" s="732">
        <v>14870</v>
      </c>
      <c r="P534" s="449">
        <f t="shared" si="177"/>
        <v>36680</v>
      </c>
      <c r="Q534" s="450">
        <f t="shared" si="178"/>
        <v>1222.6666666666667</v>
      </c>
      <c r="R534" s="451">
        <f t="shared" si="179"/>
        <v>39565</v>
      </c>
      <c r="S534" s="452">
        <f t="shared" si="180"/>
        <v>1318.8333333333333</v>
      </c>
      <c r="T534" s="456">
        <v>0</v>
      </c>
      <c r="U534" s="733">
        <v>0</v>
      </c>
      <c r="V534" s="449">
        <f t="shared" si="181"/>
        <v>36680</v>
      </c>
      <c r="W534" s="448">
        <f t="shared" si="182"/>
        <v>39565</v>
      </c>
      <c r="X534" s="456"/>
      <c r="Y534" s="493"/>
      <c r="Z534" s="456"/>
      <c r="AA534" s="493"/>
      <c r="AB534" s="456"/>
      <c r="AC534" s="493"/>
      <c r="AD534" s="456"/>
      <c r="AE534" s="493"/>
      <c r="AF534" s="449">
        <f t="shared" si="183"/>
        <v>0</v>
      </c>
      <c r="AG534" s="450">
        <f t="shared" si="184"/>
        <v>0</v>
      </c>
      <c r="AH534" s="451">
        <f t="shared" si="185"/>
        <v>0</v>
      </c>
      <c r="AI534" s="451">
        <f t="shared" si="186"/>
        <v>0</v>
      </c>
      <c r="AJ534" s="456"/>
      <c r="AK534" s="493"/>
      <c r="AL534" s="449">
        <f t="shared" si="187"/>
        <v>0</v>
      </c>
      <c r="AM534" s="452">
        <f t="shared" si="188"/>
        <v>0</v>
      </c>
      <c r="AN534" s="456"/>
      <c r="AO534" s="493"/>
      <c r="AP534" s="456">
        <v>3742</v>
      </c>
      <c r="AQ534" s="731">
        <v>3737</v>
      </c>
      <c r="AR534" s="456">
        <v>2713</v>
      </c>
      <c r="AS534" s="731">
        <v>2946</v>
      </c>
      <c r="AT534" s="456">
        <v>3384</v>
      </c>
      <c r="AU534" s="731">
        <v>3620</v>
      </c>
      <c r="AV534" s="449">
        <f t="shared" si="189"/>
        <v>9839</v>
      </c>
      <c r="AW534" s="453">
        <f t="shared" si="190"/>
        <v>409.95833333333331</v>
      </c>
      <c r="AX534" s="451">
        <f t="shared" si="191"/>
        <v>10303</v>
      </c>
      <c r="AY534" s="454">
        <f t="shared" si="192"/>
        <v>429.29166666666669</v>
      </c>
      <c r="AZ534" s="455">
        <f t="shared" si="193"/>
        <v>1632.625</v>
      </c>
      <c r="BA534" s="451">
        <f t="shared" si="194"/>
        <v>1748.125</v>
      </c>
    </row>
    <row r="535" spans="1:53">
      <c r="A535" s="594" t="s">
        <v>234</v>
      </c>
      <c r="B535" s="595" t="s">
        <v>769</v>
      </c>
      <c r="C535" s="598"/>
      <c r="D535" s="735">
        <v>224545</v>
      </c>
      <c r="E535" s="707">
        <v>4</v>
      </c>
      <c r="F535" s="491" t="s">
        <v>41</v>
      </c>
      <c r="G535" s="492"/>
      <c r="H535" s="456"/>
      <c r="I535" s="493"/>
      <c r="J535" s="456">
        <v>13233</v>
      </c>
      <c r="K535" s="731">
        <v>14364</v>
      </c>
      <c r="L535" s="456">
        <v>4521</v>
      </c>
      <c r="M535" s="731">
        <v>3853</v>
      </c>
      <c r="N535" s="456">
        <v>14920</v>
      </c>
      <c r="O535" s="732">
        <v>15300</v>
      </c>
      <c r="P535" s="449">
        <f t="shared" si="177"/>
        <v>32674</v>
      </c>
      <c r="Q535" s="450">
        <f t="shared" si="178"/>
        <v>1089.1333333333334</v>
      </c>
      <c r="R535" s="451">
        <f t="shared" si="179"/>
        <v>33517</v>
      </c>
      <c r="S535" s="452">
        <f t="shared" si="180"/>
        <v>1117.2333333333333</v>
      </c>
      <c r="T535" s="456">
        <v>0</v>
      </c>
      <c r="U535" s="733">
        <v>0</v>
      </c>
      <c r="V535" s="449">
        <f t="shared" si="181"/>
        <v>32674</v>
      </c>
      <c r="W535" s="448">
        <f t="shared" si="182"/>
        <v>33517</v>
      </c>
      <c r="X535" s="456"/>
      <c r="Y535" s="493"/>
      <c r="Z535" s="456"/>
      <c r="AA535" s="493"/>
      <c r="AB535" s="456"/>
      <c r="AC535" s="493"/>
      <c r="AD535" s="456"/>
      <c r="AE535" s="493"/>
      <c r="AF535" s="449">
        <f t="shared" si="183"/>
        <v>0</v>
      </c>
      <c r="AG535" s="450">
        <f t="shared" si="184"/>
        <v>0</v>
      </c>
      <c r="AH535" s="451">
        <f t="shared" si="185"/>
        <v>0</v>
      </c>
      <c r="AI535" s="451">
        <f t="shared" si="186"/>
        <v>0</v>
      </c>
      <c r="AJ535" s="456"/>
      <c r="AK535" s="493"/>
      <c r="AL535" s="449">
        <f t="shared" si="187"/>
        <v>0</v>
      </c>
      <c r="AM535" s="452">
        <f t="shared" si="188"/>
        <v>0</v>
      </c>
      <c r="AN535" s="456"/>
      <c r="AO535" s="493"/>
      <c r="AP535" s="456">
        <v>2218</v>
      </c>
      <c r="AQ535" s="731">
        <v>2499</v>
      </c>
      <c r="AR535" s="456">
        <v>1841</v>
      </c>
      <c r="AS535" s="731">
        <v>1530</v>
      </c>
      <c r="AT535" s="456">
        <v>2289</v>
      </c>
      <c r="AU535" s="731">
        <v>2245</v>
      </c>
      <c r="AV535" s="449">
        <f t="shared" si="189"/>
        <v>6348</v>
      </c>
      <c r="AW535" s="453">
        <f t="shared" si="190"/>
        <v>264.5</v>
      </c>
      <c r="AX535" s="451">
        <f t="shared" si="191"/>
        <v>6274</v>
      </c>
      <c r="AY535" s="454">
        <f t="shared" si="192"/>
        <v>261.41666666666669</v>
      </c>
      <c r="AZ535" s="455">
        <f t="shared" si="193"/>
        <v>1353.6333333333334</v>
      </c>
      <c r="BA535" s="451">
        <f t="shared" si="194"/>
        <v>1378.65</v>
      </c>
    </row>
    <row r="536" spans="1:53">
      <c r="A536" s="594" t="s">
        <v>234</v>
      </c>
      <c r="B536" s="595" t="s">
        <v>770</v>
      </c>
      <c r="C536" s="598"/>
      <c r="D536" s="735">
        <v>225502</v>
      </c>
      <c r="E536" s="707">
        <v>4</v>
      </c>
      <c r="F536" s="491" t="s">
        <v>41</v>
      </c>
      <c r="G536" s="492"/>
      <c r="H536" s="456"/>
      <c r="I536" s="493"/>
      <c r="J536" s="456">
        <v>27382</v>
      </c>
      <c r="K536" s="731">
        <v>29113</v>
      </c>
      <c r="L536" s="456">
        <v>9113</v>
      </c>
      <c r="M536" s="731">
        <v>9353</v>
      </c>
      <c r="N536" s="456">
        <v>30036</v>
      </c>
      <c r="O536" s="732">
        <v>29500</v>
      </c>
      <c r="P536" s="449">
        <f t="shared" si="177"/>
        <v>66531</v>
      </c>
      <c r="Q536" s="450">
        <f t="shared" si="178"/>
        <v>2217.6999999999998</v>
      </c>
      <c r="R536" s="451">
        <f t="shared" si="179"/>
        <v>67966</v>
      </c>
      <c r="S536" s="452">
        <f t="shared" si="180"/>
        <v>2265.5333333333333</v>
      </c>
      <c r="T536" s="456">
        <v>0</v>
      </c>
      <c r="U536" s="733">
        <v>0</v>
      </c>
      <c r="V536" s="449">
        <f t="shared" si="181"/>
        <v>66531</v>
      </c>
      <c r="W536" s="448">
        <f t="shared" si="182"/>
        <v>67966</v>
      </c>
      <c r="X536" s="456"/>
      <c r="Y536" s="493"/>
      <c r="Z536" s="456"/>
      <c r="AA536" s="493"/>
      <c r="AB536" s="456"/>
      <c r="AC536" s="493"/>
      <c r="AD536" s="456"/>
      <c r="AE536" s="493"/>
      <c r="AF536" s="449">
        <f t="shared" si="183"/>
        <v>0</v>
      </c>
      <c r="AG536" s="450">
        <f t="shared" si="184"/>
        <v>0</v>
      </c>
      <c r="AH536" s="451">
        <f t="shared" si="185"/>
        <v>0</v>
      </c>
      <c r="AI536" s="451">
        <f t="shared" si="186"/>
        <v>0</v>
      </c>
      <c r="AJ536" s="456"/>
      <c r="AK536" s="493"/>
      <c r="AL536" s="449">
        <f t="shared" si="187"/>
        <v>0</v>
      </c>
      <c r="AM536" s="452">
        <f t="shared" si="188"/>
        <v>0</v>
      </c>
      <c r="AN536" s="456"/>
      <c r="AO536" s="493"/>
      <c r="AP536" s="456">
        <v>8736</v>
      </c>
      <c r="AQ536" s="731">
        <v>7707</v>
      </c>
      <c r="AR536" s="456">
        <v>4443</v>
      </c>
      <c r="AS536" s="731">
        <v>3936</v>
      </c>
      <c r="AT536" s="456">
        <v>8667</v>
      </c>
      <c r="AU536" s="731">
        <v>7278</v>
      </c>
      <c r="AV536" s="449">
        <f t="shared" si="189"/>
        <v>21846</v>
      </c>
      <c r="AW536" s="453">
        <f t="shared" si="190"/>
        <v>910.25</v>
      </c>
      <c r="AX536" s="451">
        <f t="shared" si="191"/>
        <v>18921</v>
      </c>
      <c r="AY536" s="454">
        <f t="shared" si="192"/>
        <v>788.375</v>
      </c>
      <c r="AZ536" s="455">
        <f t="shared" si="193"/>
        <v>3127.95</v>
      </c>
      <c r="BA536" s="451">
        <f t="shared" si="194"/>
        <v>3053.9083333333333</v>
      </c>
    </row>
    <row r="537" spans="1:53">
      <c r="A537" s="594" t="s">
        <v>234</v>
      </c>
      <c r="B537" s="595" t="s">
        <v>771</v>
      </c>
      <c r="C537" s="598"/>
      <c r="D537" s="735" t="s">
        <v>853</v>
      </c>
      <c r="E537" s="707">
        <v>5</v>
      </c>
      <c r="F537" s="491" t="s">
        <v>41</v>
      </c>
      <c r="G537" s="492"/>
      <c r="H537" s="456"/>
      <c r="I537" s="493"/>
      <c r="J537" s="456">
        <v>5108</v>
      </c>
      <c r="K537" s="731">
        <v>5742</v>
      </c>
      <c r="L537" s="456">
        <v>1674</v>
      </c>
      <c r="M537" s="731">
        <v>3054</v>
      </c>
      <c r="N537" s="456">
        <v>5577</v>
      </c>
      <c r="O537" s="732">
        <v>6137</v>
      </c>
      <c r="P537" s="449">
        <f t="shared" si="177"/>
        <v>12359</v>
      </c>
      <c r="Q537" s="450">
        <f t="shared" si="178"/>
        <v>411.96666666666664</v>
      </c>
      <c r="R537" s="451">
        <f t="shared" si="179"/>
        <v>14933</v>
      </c>
      <c r="S537" s="452">
        <f t="shared" si="180"/>
        <v>497.76666666666665</v>
      </c>
      <c r="T537" s="456">
        <v>0</v>
      </c>
      <c r="U537" s="733">
        <v>0</v>
      </c>
      <c r="V537" s="449">
        <f t="shared" si="181"/>
        <v>12359</v>
      </c>
      <c r="W537" s="448">
        <f t="shared" si="182"/>
        <v>14933</v>
      </c>
      <c r="X537" s="456"/>
      <c r="Y537" s="493"/>
      <c r="Z537" s="456"/>
      <c r="AA537" s="493"/>
      <c r="AB537" s="456"/>
      <c r="AC537" s="493"/>
      <c r="AD537" s="456"/>
      <c r="AE537" s="493"/>
      <c r="AF537" s="449">
        <f t="shared" si="183"/>
        <v>0</v>
      </c>
      <c r="AG537" s="450">
        <f t="shared" si="184"/>
        <v>0</v>
      </c>
      <c r="AH537" s="451">
        <f t="shared" si="185"/>
        <v>0</v>
      </c>
      <c r="AI537" s="451">
        <f t="shared" si="186"/>
        <v>0</v>
      </c>
      <c r="AJ537" s="456"/>
      <c r="AK537" s="493"/>
      <c r="AL537" s="449">
        <f t="shared" si="187"/>
        <v>0</v>
      </c>
      <c r="AM537" s="452">
        <f t="shared" si="188"/>
        <v>0</v>
      </c>
      <c r="AN537" s="456"/>
      <c r="AO537" s="493"/>
      <c r="AP537" s="456">
        <v>966</v>
      </c>
      <c r="AQ537" s="731">
        <v>1113</v>
      </c>
      <c r="AR537" s="456">
        <v>402</v>
      </c>
      <c r="AS537" s="733">
        <v>747</v>
      </c>
      <c r="AT537" s="456">
        <v>993</v>
      </c>
      <c r="AU537" s="733">
        <v>807</v>
      </c>
      <c r="AV537" s="449">
        <f t="shared" si="189"/>
        <v>2361</v>
      </c>
      <c r="AW537" s="453">
        <f t="shared" si="190"/>
        <v>98.375</v>
      </c>
      <c r="AX537" s="451">
        <f t="shared" si="191"/>
        <v>2667</v>
      </c>
      <c r="AY537" s="454">
        <f t="shared" si="192"/>
        <v>111.125</v>
      </c>
      <c r="AZ537" s="455">
        <f t="shared" si="193"/>
        <v>510.34166666666664</v>
      </c>
      <c r="BA537" s="451">
        <f t="shared" si="194"/>
        <v>608.89166666666665</v>
      </c>
    </row>
    <row r="538" spans="1:53">
      <c r="A538" s="594" t="s">
        <v>234</v>
      </c>
      <c r="B538" s="734" t="s">
        <v>772</v>
      </c>
      <c r="C538" s="737"/>
      <c r="D538" s="729">
        <v>870501</v>
      </c>
      <c r="E538" s="730">
        <v>5</v>
      </c>
      <c r="F538" s="491" t="s">
        <v>41</v>
      </c>
      <c r="G538" s="492"/>
      <c r="H538" s="456"/>
      <c r="I538" s="493"/>
      <c r="J538" s="456">
        <v>30168</v>
      </c>
      <c r="K538" s="731">
        <v>30102</v>
      </c>
      <c r="L538" s="456">
        <v>8208</v>
      </c>
      <c r="M538" s="731">
        <v>9204</v>
      </c>
      <c r="N538" s="456">
        <v>31231</v>
      </c>
      <c r="O538" s="732">
        <v>33293</v>
      </c>
      <c r="P538" s="449">
        <f t="shared" si="177"/>
        <v>69607</v>
      </c>
      <c r="Q538" s="450">
        <f t="shared" si="178"/>
        <v>2320.2333333333331</v>
      </c>
      <c r="R538" s="451">
        <f t="shared" si="179"/>
        <v>72599</v>
      </c>
      <c r="S538" s="452">
        <f t="shared" si="180"/>
        <v>2419.9666666666667</v>
      </c>
      <c r="T538" s="456">
        <v>0</v>
      </c>
      <c r="U538" s="733">
        <v>0</v>
      </c>
      <c r="V538" s="449">
        <f t="shared" si="181"/>
        <v>69607</v>
      </c>
      <c r="W538" s="448">
        <f t="shared" si="182"/>
        <v>72599</v>
      </c>
      <c r="X538" s="456"/>
      <c r="Y538" s="493"/>
      <c r="Z538" s="456"/>
      <c r="AA538" s="493"/>
      <c r="AB538" s="456"/>
      <c r="AC538" s="493"/>
      <c r="AD538" s="456"/>
      <c r="AE538" s="493"/>
      <c r="AF538" s="449">
        <f t="shared" si="183"/>
        <v>0</v>
      </c>
      <c r="AG538" s="450">
        <f t="shared" si="184"/>
        <v>0</v>
      </c>
      <c r="AH538" s="451">
        <f t="shared" si="185"/>
        <v>0</v>
      </c>
      <c r="AI538" s="451">
        <f t="shared" si="186"/>
        <v>0</v>
      </c>
      <c r="AJ538" s="456"/>
      <c r="AK538" s="493"/>
      <c r="AL538" s="449">
        <f t="shared" si="187"/>
        <v>0</v>
      </c>
      <c r="AM538" s="452">
        <f t="shared" si="188"/>
        <v>0</v>
      </c>
      <c r="AN538" s="456"/>
      <c r="AO538" s="493"/>
      <c r="AP538" s="456">
        <v>7147</v>
      </c>
      <c r="AQ538" s="731">
        <v>6073</v>
      </c>
      <c r="AR538" s="456">
        <v>3230</v>
      </c>
      <c r="AS538" s="731">
        <v>2871</v>
      </c>
      <c r="AT538" s="456">
        <v>6817</v>
      </c>
      <c r="AU538" s="731">
        <v>5892</v>
      </c>
      <c r="AV538" s="449">
        <f t="shared" si="189"/>
        <v>17194</v>
      </c>
      <c r="AW538" s="453">
        <f t="shared" si="190"/>
        <v>716.41666666666663</v>
      </c>
      <c r="AX538" s="451">
        <f t="shared" si="191"/>
        <v>14836</v>
      </c>
      <c r="AY538" s="454">
        <f t="shared" si="192"/>
        <v>618.16666666666663</v>
      </c>
      <c r="AZ538" s="455">
        <f t="shared" si="193"/>
        <v>3036.6499999999996</v>
      </c>
      <c r="BA538" s="451">
        <f t="shared" si="194"/>
        <v>3038.1333333333332</v>
      </c>
    </row>
    <row r="539" spans="1:53">
      <c r="A539" s="594" t="s">
        <v>234</v>
      </c>
      <c r="B539" s="595" t="s">
        <v>773</v>
      </c>
      <c r="C539" s="598"/>
      <c r="D539" s="735">
        <v>225432</v>
      </c>
      <c r="E539" s="707">
        <v>5</v>
      </c>
      <c r="F539" s="491" t="s">
        <v>41</v>
      </c>
      <c r="G539" s="492"/>
      <c r="H539" s="456"/>
      <c r="I539" s="493"/>
      <c r="J539" s="456">
        <v>119746</v>
      </c>
      <c r="K539" s="731">
        <v>119835</v>
      </c>
      <c r="L539" s="456">
        <v>31907</v>
      </c>
      <c r="M539" s="731">
        <v>30859</v>
      </c>
      <c r="N539" s="456">
        <v>129384</v>
      </c>
      <c r="O539" s="732">
        <v>121104</v>
      </c>
      <c r="P539" s="449">
        <f t="shared" si="177"/>
        <v>281037</v>
      </c>
      <c r="Q539" s="450">
        <f t="shared" si="178"/>
        <v>9367.9</v>
      </c>
      <c r="R539" s="451">
        <f t="shared" si="179"/>
        <v>271798</v>
      </c>
      <c r="S539" s="452">
        <f t="shared" si="180"/>
        <v>9059.9333333333325</v>
      </c>
      <c r="T539" s="456">
        <v>638</v>
      </c>
      <c r="U539" s="733">
        <v>841</v>
      </c>
      <c r="V539" s="449">
        <f t="shared" si="181"/>
        <v>281037</v>
      </c>
      <c r="W539" s="448">
        <f t="shared" si="182"/>
        <v>271798</v>
      </c>
      <c r="X539" s="456"/>
      <c r="Y539" s="493"/>
      <c r="Z539" s="456"/>
      <c r="AA539" s="493"/>
      <c r="AB539" s="456"/>
      <c r="AC539" s="493"/>
      <c r="AD539" s="456"/>
      <c r="AE539" s="493"/>
      <c r="AF539" s="449">
        <f t="shared" si="183"/>
        <v>0</v>
      </c>
      <c r="AG539" s="450">
        <f t="shared" si="184"/>
        <v>0</v>
      </c>
      <c r="AH539" s="451">
        <f t="shared" si="185"/>
        <v>0</v>
      </c>
      <c r="AI539" s="451">
        <f t="shared" si="186"/>
        <v>0</v>
      </c>
      <c r="AJ539" s="456"/>
      <c r="AK539" s="493"/>
      <c r="AL539" s="449">
        <f t="shared" si="187"/>
        <v>0</v>
      </c>
      <c r="AM539" s="452">
        <f t="shared" si="188"/>
        <v>0</v>
      </c>
      <c r="AN539" s="456"/>
      <c r="AO539" s="493"/>
      <c r="AP539" s="456">
        <v>1866</v>
      </c>
      <c r="AQ539" s="731">
        <v>4311</v>
      </c>
      <c r="AR539" s="456">
        <v>1123</v>
      </c>
      <c r="AS539" s="731">
        <v>3814</v>
      </c>
      <c r="AT539" s="456">
        <v>2829</v>
      </c>
      <c r="AU539" s="731">
        <v>4578</v>
      </c>
      <c r="AV539" s="449">
        <f t="shared" si="189"/>
        <v>5818</v>
      </c>
      <c r="AW539" s="453">
        <f t="shared" si="190"/>
        <v>242.41666666666666</v>
      </c>
      <c r="AX539" s="451">
        <f t="shared" si="191"/>
        <v>12703</v>
      </c>
      <c r="AY539" s="454">
        <f t="shared" si="192"/>
        <v>529.29166666666663</v>
      </c>
      <c r="AZ539" s="455">
        <f t="shared" si="193"/>
        <v>9610.3166666666657</v>
      </c>
      <c r="BA539" s="451">
        <f t="shared" si="194"/>
        <v>9589.2249999999985</v>
      </c>
    </row>
    <row r="540" spans="1:53">
      <c r="A540" s="594" t="s">
        <v>234</v>
      </c>
      <c r="B540" s="595" t="s">
        <v>774</v>
      </c>
      <c r="C540" s="598" t="s">
        <v>681</v>
      </c>
      <c r="D540" s="735">
        <v>228714</v>
      </c>
      <c r="E540" s="707">
        <v>6</v>
      </c>
      <c r="F540" s="491" t="s">
        <v>41</v>
      </c>
      <c r="G540" s="492"/>
      <c r="H540" s="456"/>
      <c r="I540" s="493"/>
      <c r="J540" s="456">
        <v>26114</v>
      </c>
      <c r="K540" s="731">
        <v>27892</v>
      </c>
      <c r="L540" s="456">
        <v>4804</v>
      </c>
      <c r="M540" s="731">
        <v>4984</v>
      </c>
      <c r="N540" s="456">
        <v>29602</v>
      </c>
      <c r="O540" s="732">
        <v>29566</v>
      </c>
      <c r="P540" s="449">
        <f t="shared" si="177"/>
        <v>60520</v>
      </c>
      <c r="Q540" s="450">
        <f t="shared" si="178"/>
        <v>2017.3333333333333</v>
      </c>
      <c r="R540" s="451">
        <f t="shared" si="179"/>
        <v>62442</v>
      </c>
      <c r="S540" s="452">
        <f t="shared" si="180"/>
        <v>2081.4</v>
      </c>
      <c r="T540" s="456">
        <v>0</v>
      </c>
      <c r="U540" s="733">
        <v>0</v>
      </c>
      <c r="V540" s="449">
        <f t="shared" si="181"/>
        <v>60520</v>
      </c>
      <c r="W540" s="448">
        <f t="shared" si="182"/>
        <v>62442</v>
      </c>
      <c r="X540" s="456"/>
      <c r="Y540" s="493"/>
      <c r="Z540" s="456"/>
      <c r="AA540" s="493"/>
      <c r="AB540" s="456"/>
      <c r="AC540" s="493"/>
      <c r="AD540" s="456"/>
      <c r="AE540" s="493"/>
      <c r="AF540" s="449">
        <f t="shared" si="183"/>
        <v>0</v>
      </c>
      <c r="AG540" s="450">
        <f t="shared" si="184"/>
        <v>0</v>
      </c>
      <c r="AH540" s="451">
        <f t="shared" si="185"/>
        <v>0</v>
      </c>
      <c r="AI540" s="451">
        <f t="shared" si="186"/>
        <v>0</v>
      </c>
      <c r="AJ540" s="456"/>
      <c r="AK540" s="493"/>
      <c r="AL540" s="449">
        <f t="shared" si="187"/>
        <v>0</v>
      </c>
      <c r="AM540" s="452">
        <f t="shared" si="188"/>
        <v>0</v>
      </c>
      <c r="AN540" s="456"/>
      <c r="AO540" s="493"/>
      <c r="AP540" s="456">
        <v>915</v>
      </c>
      <c r="AQ540" s="733">
        <v>956</v>
      </c>
      <c r="AR540" s="456">
        <v>314</v>
      </c>
      <c r="AS540" s="733">
        <v>248</v>
      </c>
      <c r="AT540" s="456">
        <v>857</v>
      </c>
      <c r="AU540" s="731">
        <v>1006</v>
      </c>
      <c r="AV540" s="449">
        <f t="shared" si="189"/>
        <v>2086</v>
      </c>
      <c r="AW540" s="453">
        <f t="shared" si="190"/>
        <v>86.916666666666671</v>
      </c>
      <c r="AX540" s="451">
        <f t="shared" si="191"/>
        <v>2210</v>
      </c>
      <c r="AY540" s="454">
        <f t="shared" si="192"/>
        <v>92.083333333333329</v>
      </c>
      <c r="AZ540" s="455">
        <f t="shared" si="193"/>
        <v>2104.25</v>
      </c>
      <c r="BA540" s="451">
        <f t="shared" si="194"/>
        <v>2173.4833333333336</v>
      </c>
    </row>
    <row r="541" spans="1:53">
      <c r="A541" s="594" t="s">
        <v>234</v>
      </c>
      <c r="B541" s="739" t="s">
        <v>775</v>
      </c>
      <c r="C541" s="740"/>
      <c r="D541" s="729">
        <v>223506</v>
      </c>
      <c r="E541" s="730">
        <v>7</v>
      </c>
      <c r="F541" s="491" t="s">
        <v>41</v>
      </c>
      <c r="G541" s="492"/>
      <c r="H541" s="456">
        <v>30477</v>
      </c>
      <c r="I541" s="493">
        <v>29871</v>
      </c>
      <c r="J541" s="456">
        <v>10046</v>
      </c>
      <c r="K541" s="731">
        <v>10028</v>
      </c>
      <c r="L541" s="456">
        <v>3253</v>
      </c>
      <c r="M541" s="731">
        <v>3968</v>
      </c>
      <c r="N541" s="456">
        <v>31172</v>
      </c>
      <c r="O541" s="732">
        <v>30818</v>
      </c>
      <c r="P541" s="449">
        <f t="shared" si="177"/>
        <v>74948</v>
      </c>
      <c r="Q541" s="450">
        <f t="shared" si="178"/>
        <v>2498.2666666666669</v>
      </c>
      <c r="R541" s="451">
        <f t="shared" si="179"/>
        <v>74685</v>
      </c>
      <c r="S541" s="452">
        <f t="shared" si="180"/>
        <v>2489.5</v>
      </c>
      <c r="T541" s="456">
        <v>9490</v>
      </c>
      <c r="U541" s="731">
        <v>11058</v>
      </c>
      <c r="V541" s="449">
        <f t="shared" si="181"/>
        <v>74948</v>
      </c>
      <c r="W541" s="448">
        <f t="shared" si="182"/>
        <v>74685</v>
      </c>
      <c r="X541" s="456">
        <v>8933</v>
      </c>
      <c r="Y541" s="731">
        <v>7034</v>
      </c>
      <c r="Z541" s="456">
        <v>6995</v>
      </c>
      <c r="AA541" s="731">
        <v>9257</v>
      </c>
      <c r="AB541" s="456">
        <v>6001</v>
      </c>
      <c r="AC541" s="731">
        <v>5883</v>
      </c>
      <c r="AD541" s="456">
        <v>4739</v>
      </c>
      <c r="AE541" s="731">
        <v>7615</v>
      </c>
      <c r="AF541" s="449">
        <f t="shared" si="183"/>
        <v>26668</v>
      </c>
      <c r="AG541" s="450">
        <f t="shared" si="184"/>
        <v>29.63111111111111</v>
      </c>
      <c r="AH541" s="451">
        <f t="shared" si="185"/>
        <v>29789</v>
      </c>
      <c r="AI541" s="451">
        <f t="shared" si="186"/>
        <v>33.098888888888887</v>
      </c>
      <c r="AJ541" s="456"/>
      <c r="AK541" s="493"/>
      <c r="AL541" s="449">
        <f t="shared" si="187"/>
        <v>0</v>
      </c>
      <c r="AM541" s="452">
        <f t="shared" si="188"/>
        <v>0</v>
      </c>
      <c r="AN541" s="456"/>
      <c r="AO541" s="493"/>
      <c r="AP541" s="456"/>
      <c r="AQ541" s="733"/>
      <c r="AR541" s="456"/>
      <c r="AS541" s="733"/>
      <c r="AT541" s="456"/>
      <c r="AU541" s="733"/>
      <c r="AV541" s="449">
        <f t="shared" si="189"/>
        <v>0</v>
      </c>
      <c r="AW541" s="453">
        <f t="shared" si="190"/>
        <v>0</v>
      </c>
      <c r="AX541" s="451">
        <f t="shared" si="191"/>
        <v>0</v>
      </c>
      <c r="AY541" s="454">
        <f t="shared" si="192"/>
        <v>0</v>
      </c>
      <c r="AZ541" s="455">
        <f t="shared" si="193"/>
        <v>2527.8977777777782</v>
      </c>
      <c r="BA541" s="451">
        <f t="shared" si="194"/>
        <v>2522.5988888888887</v>
      </c>
    </row>
    <row r="542" spans="1:53">
      <c r="A542" s="594" t="s">
        <v>234</v>
      </c>
      <c r="B542" s="739" t="s">
        <v>776</v>
      </c>
      <c r="C542" s="740"/>
      <c r="D542" s="729">
        <v>226806</v>
      </c>
      <c r="E542" s="730">
        <v>7</v>
      </c>
      <c r="F542" s="491" t="s">
        <v>41</v>
      </c>
      <c r="G542" s="492"/>
      <c r="H542" s="456">
        <v>42475</v>
      </c>
      <c r="I542" s="493">
        <v>42765</v>
      </c>
      <c r="J542" s="456">
        <v>11795</v>
      </c>
      <c r="K542" s="731">
        <v>13035</v>
      </c>
      <c r="L542" s="456">
        <v>9112</v>
      </c>
      <c r="M542" s="731">
        <v>9233</v>
      </c>
      <c r="N542" s="456">
        <v>38689</v>
      </c>
      <c r="O542" s="732">
        <v>42475</v>
      </c>
      <c r="P542" s="449">
        <f t="shared" si="177"/>
        <v>102071</v>
      </c>
      <c r="Q542" s="450">
        <f t="shared" si="178"/>
        <v>3402.3666666666668</v>
      </c>
      <c r="R542" s="451">
        <f t="shared" si="179"/>
        <v>107508</v>
      </c>
      <c r="S542" s="452">
        <f t="shared" si="180"/>
        <v>3583.6</v>
      </c>
      <c r="T542" s="456">
        <v>5592</v>
      </c>
      <c r="U542" s="731">
        <v>10716</v>
      </c>
      <c r="V542" s="449">
        <f t="shared" si="181"/>
        <v>102071</v>
      </c>
      <c r="W542" s="448">
        <f t="shared" si="182"/>
        <v>107508</v>
      </c>
      <c r="X542" s="456">
        <v>61834</v>
      </c>
      <c r="Y542" s="731">
        <v>47429</v>
      </c>
      <c r="Z542" s="456">
        <v>49783</v>
      </c>
      <c r="AA542" s="731">
        <v>40021</v>
      </c>
      <c r="AB542" s="456">
        <v>65899</v>
      </c>
      <c r="AC542" s="731">
        <v>55056</v>
      </c>
      <c r="AD542" s="456">
        <v>64072</v>
      </c>
      <c r="AE542" s="731">
        <v>49700</v>
      </c>
      <c r="AF542" s="449">
        <f t="shared" si="183"/>
        <v>241588</v>
      </c>
      <c r="AG542" s="450">
        <f t="shared" si="184"/>
        <v>268.43111111111114</v>
      </c>
      <c r="AH542" s="451">
        <f t="shared" si="185"/>
        <v>192206</v>
      </c>
      <c r="AI542" s="451">
        <f t="shared" si="186"/>
        <v>213.56222222222223</v>
      </c>
      <c r="AJ542" s="456"/>
      <c r="AK542" s="493"/>
      <c r="AL542" s="449">
        <f t="shared" si="187"/>
        <v>0</v>
      </c>
      <c r="AM542" s="452">
        <f t="shared" si="188"/>
        <v>0</v>
      </c>
      <c r="AN542" s="456"/>
      <c r="AO542" s="493"/>
      <c r="AP542" s="456"/>
      <c r="AQ542" s="733"/>
      <c r="AR542" s="456"/>
      <c r="AS542" s="733"/>
      <c r="AT542" s="456"/>
      <c r="AU542" s="733"/>
      <c r="AV542" s="449">
        <f t="shared" si="189"/>
        <v>0</v>
      </c>
      <c r="AW542" s="453">
        <f t="shared" si="190"/>
        <v>0</v>
      </c>
      <c r="AX542" s="451">
        <f t="shared" si="191"/>
        <v>0</v>
      </c>
      <c r="AY542" s="454">
        <f t="shared" si="192"/>
        <v>0</v>
      </c>
      <c r="AZ542" s="455">
        <f t="shared" si="193"/>
        <v>3670.7977777777778</v>
      </c>
      <c r="BA542" s="451">
        <f t="shared" si="194"/>
        <v>3797.1622222222222</v>
      </c>
    </row>
    <row r="543" spans="1:53">
      <c r="A543" s="594" t="s">
        <v>234</v>
      </c>
      <c r="B543" s="739" t="s">
        <v>777</v>
      </c>
      <c r="C543" s="740"/>
      <c r="D543" s="741">
        <v>409315</v>
      </c>
      <c r="E543" s="742">
        <v>7</v>
      </c>
      <c r="F543" s="491" t="s">
        <v>41</v>
      </c>
      <c r="G543" s="492"/>
      <c r="H543" s="456">
        <v>248566</v>
      </c>
      <c r="I543" s="493">
        <v>247175</v>
      </c>
      <c r="J543" s="456">
        <v>45014</v>
      </c>
      <c r="K543" s="731">
        <v>48822</v>
      </c>
      <c r="L543" s="456">
        <v>32000</v>
      </c>
      <c r="M543" s="731">
        <v>35647</v>
      </c>
      <c r="N543" s="456">
        <v>250656</v>
      </c>
      <c r="O543" s="732">
        <v>271880</v>
      </c>
      <c r="P543" s="449">
        <f t="shared" si="177"/>
        <v>576236</v>
      </c>
      <c r="Q543" s="450">
        <f t="shared" si="178"/>
        <v>19207.866666666665</v>
      </c>
      <c r="R543" s="451">
        <f t="shared" si="179"/>
        <v>603524</v>
      </c>
      <c r="S543" s="452">
        <f t="shared" si="180"/>
        <v>20117.466666666667</v>
      </c>
      <c r="T543" s="456">
        <v>159824</v>
      </c>
      <c r="U543" s="731">
        <v>183431</v>
      </c>
      <c r="V543" s="449">
        <f t="shared" si="181"/>
        <v>576236</v>
      </c>
      <c r="W543" s="448">
        <f t="shared" si="182"/>
        <v>603524</v>
      </c>
      <c r="X543" s="456">
        <v>100667</v>
      </c>
      <c r="Y543" s="731">
        <v>136782</v>
      </c>
      <c r="Z543" s="456">
        <v>156490</v>
      </c>
      <c r="AA543" s="731">
        <v>102854</v>
      </c>
      <c r="AB543" s="456">
        <v>89829</v>
      </c>
      <c r="AC543" s="731">
        <v>102282</v>
      </c>
      <c r="AD543" s="456">
        <v>388630</v>
      </c>
      <c r="AE543" s="731">
        <v>431892</v>
      </c>
      <c r="AF543" s="449">
        <f t="shared" si="183"/>
        <v>735616</v>
      </c>
      <c r="AG543" s="450">
        <f t="shared" si="184"/>
        <v>817.35111111111109</v>
      </c>
      <c r="AH543" s="451">
        <f t="shared" si="185"/>
        <v>773810</v>
      </c>
      <c r="AI543" s="451">
        <f t="shared" si="186"/>
        <v>859.78888888888889</v>
      </c>
      <c r="AJ543" s="456"/>
      <c r="AK543" s="493"/>
      <c r="AL543" s="449">
        <f t="shared" si="187"/>
        <v>0</v>
      </c>
      <c r="AM543" s="452">
        <f t="shared" si="188"/>
        <v>0</v>
      </c>
      <c r="AN543" s="456"/>
      <c r="AO543" s="493"/>
      <c r="AP543" s="456"/>
      <c r="AQ543" s="733"/>
      <c r="AR543" s="456"/>
      <c r="AS543" s="733"/>
      <c r="AT543" s="456"/>
      <c r="AU543" s="733"/>
      <c r="AV543" s="449">
        <f t="shared" si="189"/>
        <v>0</v>
      </c>
      <c r="AW543" s="453">
        <f t="shared" si="190"/>
        <v>0</v>
      </c>
      <c r="AX543" s="451">
        <f t="shared" si="191"/>
        <v>0</v>
      </c>
      <c r="AY543" s="454">
        <f t="shared" si="192"/>
        <v>0</v>
      </c>
      <c r="AZ543" s="455">
        <f t="shared" si="193"/>
        <v>20025.217777777776</v>
      </c>
      <c r="BA543" s="451">
        <f t="shared" si="194"/>
        <v>20977.255555555555</v>
      </c>
    </row>
    <row r="544" spans="1:53">
      <c r="A544" s="594" t="s">
        <v>234</v>
      </c>
      <c r="B544" s="595" t="s">
        <v>778</v>
      </c>
      <c r="C544" s="743"/>
      <c r="D544" s="729">
        <v>222576</v>
      </c>
      <c r="E544" s="730">
        <v>8</v>
      </c>
      <c r="F544" s="491" t="s">
        <v>41</v>
      </c>
      <c r="G544" s="492"/>
      <c r="H544" s="456">
        <v>78683</v>
      </c>
      <c r="I544" s="493">
        <v>77487</v>
      </c>
      <c r="J544" s="456">
        <v>21093</v>
      </c>
      <c r="K544" s="731">
        <v>20982</v>
      </c>
      <c r="L544" s="456">
        <v>0</v>
      </c>
      <c r="M544" s="733">
        <v>0</v>
      </c>
      <c r="N544" s="456">
        <v>76377</v>
      </c>
      <c r="O544" s="732">
        <v>73768</v>
      </c>
      <c r="P544" s="449">
        <f t="shared" si="177"/>
        <v>176153</v>
      </c>
      <c r="Q544" s="450">
        <f t="shared" si="178"/>
        <v>5871.7666666666664</v>
      </c>
      <c r="R544" s="451">
        <f t="shared" si="179"/>
        <v>172237</v>
      </c>
      <c r="S544" s="452">
        <f t="shared" si="180"/>
        <v>5741.2333333333336</v>
      </c>
      <c r="T544" s="456">
        <v>20995</v>
      </c>
      <c r="U544" s="731">
        <v>23204</v>
      </c>
      <c r="V544" s="449">
        <f t="shared" si="181"/>
        <v>176153</v>
      </c>
      <c r="W544" s="448">
        <f t="shared" si="182"/>
        <v>172237</v>
      </c>
      <c r="X544" s="456">
        <v>122083</v>
      </c>
      <c r="Y544" s="731">
        <v>92533</v>
      </c>
      <c r="Z544" s="456">
        <v>132916</v>
      </c>
      <c r="AA544" s="731">
        <v>132243</v>
      </c>
      <c r="AB544" s="456">
        <v>112352</v>
      </c>
      <c r="AC544" s="731">
        <v>108166</v>
      </c>
      <c r="AD544" s="456">
        <v>137218</v>
      </c>
      <c r="AE544" s="731">
        <v>131129</v>
      </c>
      <c r="AF544" s="449">
        <f t="shared" si="183"/>
        <v>504569</v>
      </c>
      <c r="AG544" s="450">
        <f t="shared" si="184"/>
        <v>560.63222222222225</v>
      </c>
      <c r="AH544" s="451">
        <f t="shared" si="185"/>
        <v>464071</v>
      </c>
      <c r="AI544" s="451">
        <f t="shared" si="186"/>
        <v>515.6344444444444</v>
      </c>
      <c r="AJ544" s="456"/>
      <c r="AK544" s="493"/>
      <c r="AL544" s="449">
        <f t="shared" si="187"/>
        <v>0</v>
      </c>
      <c r="AM544" s="452">
        <f t="shared" si="188"/>
        <v>0</v>
      </c>
      <c r="AN544" s="456"/>
      <c r="AO544" s="493"/>
      <c r="AP544" s="456"/>
      <c r="AQ544" s="733"/>
      <c r="AR544" s="456"/>
      <c r="AS544" s="733"/>
      <c r="AT544" s="456"/>
      <c r="AU544" s="733"/>
      <c r="AV544" s="449">
        <f t="shared" si="189"/>
        <v>0</v>
      </c>
      <c r="AW544" s="453">
        <f t="shared" si="190"/>
        <v>0</v>
      </c>
      <c r="AX544" s="451">
        <f t="shared" si="191"/>
        <v>0</v>
      </c>
      <c r="AY544" s="454">
        <f t="shared" si="192"/>
        <v>0</v>
      </c>
      <c r="AZ544" s="455">
        <f t="shared" si="193"/>
        <v>6432.3988888888889</v>
      </c>
      <c r="BA544" s="451">
        <f t="shared" si="194"/>
        <v>6256.8677777777775</v>
      </c>
    </row>
    <row r="545" spans="1:53">
      <c r="A545" s="594" t="s">
        <v>234</v>
      </c>
      <c r="B545" s="595" t="s">
        <v>779</v>
      </c>
      <c r="C545" s="743"/>
      <c r="D545" s="729">
        <v>222992</v>
      </c>
      <c r="E545" s="730">
        <v>8</v>
      </c>
      <c r="F545" s="491" t="s">
        <v>41</v>
      </c>
      <c r="G545" s="492"/>
      <c r="H545" s="456">
        <v>294441</v>
      </c>
      <c r="I545" s="493">
        <v>298769</v>
      </c>
      <c r="J545" s="456">
        <v>157929</v>
      </c>
      <c r="K545" s="731">
        <v>156806</v>
      </c>
      <c r="L545" s="456">
        <v>0</v>
      </c>
      <c r="M545" s="733">
        <v>0</v>
      </c>
      <c r="N545" s="456">
        <v>275405</v>
      </c>
      <c r="O545" s="732">
        <v>279347</v>
      </c>
      <c r="P545" s="449">
        <f t="shared" si="177"/>
        <v>727775</v>
      </c>
      <c r="Q545" s="450">
        <f t="shared" si="178"/>
        <v>24259.166666666668</v>
      </c>
      <c r="R545" s="451">
        <f t="shared" si="179"/>
        <v>734922</v>
      </c>
      <c r="S545" s="452">
        <f t="shared" si="180"/>
        <v>24497.4</v>
      </c>
      <c r="T545" s="456">
        <v>60305</v>
      </c>
      <c r="U545" s="731">
        <v>66324</v>
      </c>
      <c r="V545" s="449">
        <f t="shared" si="181"/>
        <v>727775</v>
      </c>
      <c r="W545" s="448">
        <f t="shared" si="182"/>
        <v>734922</v>
      </c>
      <c r="X545" s="456">
        <v>154583</v>
      </c>
      <c r="Y545" s="731">
        <v>118359</v>
      </c>
      <c r="Z545" s="456">
        <v>77184</v>
      </c>
      <c r="AA545" s="731">
        <v>77575</v>
      </c>
      <c r="AB545" s="456">
        <v>158838</v>
      </c>
      <c r="AC545" s="731">
        <v>193385</v>
      </c>
      <c r="AD545" s="456">
        <v>95381</v>
      </c>
      <c r="AE545" s="731">
        <v>127573</v>
      </c>
      <c r="AF545" s="449">
        <f t="shared" si="183"/>
        <v>485986</v>
      </c>
      <c r="AG545" s="450">
        <f t="shared" si="184"/>
        <v>539.98444444444442</v>
      </c>
      <c r="AH545" s="451">
        <f t="shared" si="185"/>
        <v>516892</v>
      </c>
      <c r="AI545" s="451">
        <f t="shared" si="186"/>
        <v>574.32444444444445</v>
      </c>
      <c r="AJ545" s="456"/>
      <c r="AK545" s="493"/>
      <c r="AL545" s="449">
        <f t="shared" si="187"/>
        <v>0</v>
      </c>
      <c r="AM545" s="452">
        <f t="shared" si="188"/>
        <v>0</v>
      </c>
      <c r="AN545" s="456"/>
      <c r="AO545" s="493"/>
      <c r="AP545" s="456"/>
      <c r="AQ545" s="733"/>
      <c r="AR545" s="456"/>
      <c r="AS545" s="733"/>
      <c r="AT545" s="456"/>
      <c r="AU545" s="733"/>
      <c r="AV545" s="449">
        <f t="shared" si="189"/>
        <v>0</v>
      </c>
      <c r="AW545" s="453">
        <f t="shared" si="190"/>
        <v>0</v>
      </c>
      <c r="AX545" s="451">
        <f t="shared" si="191"/>
        <v>0</v>
      </c>
      <c r="AY545" s="454">
        <f t="shared" si="192"/>
        <v>0</v>
      </c>
      <c r="AZ545" s="455">
        <f t="shared" si="193"/>
        <v>24799.151111111114</v>
      </c>
      <c r="BA545" s="451">
        <f t="shared" si="194"/>
        <v>25071.724444444444</v>
      </c>
    </row>
    <row r="546" spans="1:53">
      <c r="A546" s="594" t="s">
        <v>234</v>
      </c>
      <c r="B546" s="595" t="s">
        <v>780</v>
      </c>
      <c r="C546" s="743"/>
      <c r="D546" s="729">
        <v>223427</v>
      </c>
      <c r="E546" s="730">
        <v>8</v>
      </c>
      <c r="F546" s="491" t="s">
        <v>41</v>
      </c>
      <c r="G546" s="492"/>
      <c r="H546" s="456">
        <v>172976</v>
      </c>
      <c r="I546" s="493">
        <v>180570</v>
      </c>
      <c r="J546" s="456">
        <v>36288</v>
      </c>
      <c r="K546" s="731">
        <v>36960</v>
      </c>
      <c r="L546" s="456">
        <v>17710</v>
      </c>
      <c r="M546" s="731">
        <v>16697</v>
      </c>
      <c r="N546" s="456">
        <v>188064</v>
      </c>
      <c r="O546" s="732">
        <v>192492</v>
      </c>
      <c r="P546" s="449">
        <f t="shared" si="177"/>
        <v>415038</v>
      </c>
      <c r="Q546" s="450">
        <f t="shared" si="178"/>
        <v>13834.6</v>
      </c>
      <c r="R546" s="451">
        <f t="shared" si="179"/>
        <v>426719</v>
      </c>
      <c r="S546" s="452">
        <f t="shared" si="180"/>
        <v>14223.966666666667</v>
      </c>
      <c r="T546" s="456">
        <v>15054</v>
      </c>
      <c r="U546" s="731">
        <v>14855</v>
      </c>
      <c r="V546" s="449">
        <f t="shared" si="181"/>
        <v>415038</v>
      </c>
      <c r="W546" s="448">
        <f t="shared" si="182"/>
        <v>426719</v>
      </c>
      <c r="X546" s="456">
        <v>26264</v>
      </c>
      <c r="Y546" s="731">
        <v>50604</v>
      </c>
      <c r="Z546" s="456">
        <v>32974</v>
      </c>
      <c r="AA546" s="731">
        <v>46312</v>
      </c>
      <c r="AB546" s="456">
        <v>35338</v>
      </c>
      <c r="AC546" s="731">
        <v>37280</v>
      </c>
      <c r="AD546" s="456">
        <v>54335</v>
      </c>
      <c r="AE546" s="731">
        <v>28340</v>
      </c>
      <c r="AF546" s="449">
        <f t="shared" si="183"/>
        <v>148911</v>
      </c>
      <c r="AG546" s="450">
        <f t="shared" si="184"/>
        <v>165.45666666666668</v>
      </c>
      <c r="AH546" s="451">
        <f t="shared" si="185"/>
        <v>162536</v>
      </c>
      <c r="AI546" s="451">
        <f t="shared" si="186"/>
        <v>180.59555555555556</v>
      </c>
      <c r="AJ546" s="456"/>
      <c r="AK546" s="493"/>
      <c r="AL546" s="449">
        <f t="shared" si="187"/>
        <v>0</v>
      </c>
      <c r="AM546" s="452">
        <f t="shared" si="188"/>
        <v>0</v>
      </c>
      <c r="AN546" s="456"/>
      <c r="AO546" s="493"/>
      <c r="AP546" s="456"/>
      <c r="AQ546" s="733"/>
      <c r="AR546" s="456"/>
      <c r="AS546" s="733"/>
      <c r="AT546" s="456"/>
      <c r="AU546" s="733"/>
      <c r="AV546" s="449">
        <f t="shared" si="189"/>
        <v>0</v>
      </c>
      <c r="AW546" s="453">
        <f t="shared" si="190"/>
        <v>0</v>
      </c>
      <c r="AX546" s="451">
        <f t="shared" si="191"/>
        <v>0</v>
      </c>
      <c r="AY546" s="454">
        <f t="shared" si="192"/>
        <v>0</v>
      </c>
      <c r="AZ546" s="455">
        <f t="shared" si="193"/>
        <v>14000.056666666667</v>
      </c>
      <c r="BA546" s="451">
        <f t="shared" si="194"/>
        <v>14404.562222222223</v>
      </c>
    </row>
    <row r="547" spans="1:53">
      <c r="A547" s="594" t="s">
        <v>234</v>
      </c>
      <c r="B547" s="744" t="s">
        <v>781</v>
      </c>
      <c r="C547" s="743"/>
      <c r="D547" s="729">
        <v>223524</v>
      </c>
      <c r="E547" s="730">
        <v>8</v>
      </c>
      <c r="F547" s="491" t="s">
        <v>41</v>
      </c>
      <c r="G547" s="492"/>
      <c r="H547" s="456">
        <v>77664</v>
      </c>
      <c r="I547" s="493">
        <v>75078</v>
      </c>
      <c r="J547" s="456">
        <v>44488</v>
      </c>
      <c r="K547" s="731">
        <v>48072</v>
      </c>
      <c r="L547" s="456">
        <v>0</v>
      </c>
      <c r="M547" s="733">
        <v>0</v>
      </c>
      <c r="N547" s="456">
        <v>63012</v>
      </c>
      <c r="O547" s="732">
        <v>65049</v>
      </c>
      <c r="P547" s="449">
        <f t="shared" si="177"/>
        <v>185164</v>
      </c>
      <c r="Q547" s="450">
        <f t="shared" si="178"/>
        <v>6172.1333333333332</v>
      </c>
      <c r="R547" s="451">
        <f t="shared" si="179"/>
        <v>188199</v>
      </c>
      <c r="S547" s="452">
        <f t="shared" si="180"/>
        <v>6273.3</v>
      </c>
      <c r="T547" s="456">
        <v>10725</v>
      </c>
      <c r="U547" s="731">
        <v>11358</v>
      </c>
      <c r="V547" s="449">
        <f t="shared" si="181"/>
        <v>185164</v>
      </c>
      <c r="W547" s="448">
        <f t="shared" si="182"/>
        <v>188199</v>
      </c>
      <c r="X547" s="456">
        <v>47875</v>
      </c>
      <c r="Y547" s="731">
        <v>45900</v>
      </c>
      <c r="Z547" s="456">
        <v>47612</v>
      </c>
      <c r="AA547" s="731">
        <v>49887</v>
      </c>
      <c r="AB547" s="456">
        <v>55297</v>
      </c>
      <c r="AC547" s="731">
        <v>61753</v>
      </c>
      <c r="AD547" s="456">
        <v>70277</v>
      </c>
      <c r="AE547" s="731">
        <v>72283</v>
      </c>
      <c r="AF547" s="449">
        <f t="shared" si="183"/>
        <v>221061</v>
      </c>
      <c r="AG547" s="450">
        <f t="shared" si="184"/>
        <v>245.62333333333333</v>
      </c>
      <c r="AH547" s="451">
        <f t="shared" si="185"/>
        <v>229823</v>
      </c>
      <c r="AI547" s="451">
        <f t="shared" si="186"/>
        <v>255.35888888888888</v>
      </c>
      <c r="AJ547" s="456"/>
      <c r="AK547" s="493"/>
      <c r="AL547" s="449">
        <f t="shared" si="187"/>
        <v>0</v>
      </c>
      <c r="AM547" s="452">
        <f t="shared" si="188"/>
        <v>0</v>
      </c>
      <c r="AN547" s="456"/>
      <c r="AO547" s="493"/>
      <c r="AP547" s="456"/>
      <c r="AQ547" s="733"/>
      <c r="AR547" s="456"/>
      <c r="AS547" s="733"/>
      <c r="AT547" s="456"/>
      <c r="AU547" s="733"/>
      <c r="AV547" s="449">
        <f t="shared" si="189"/>
        <v>0</v>
      </c>
      <c r="AW547" s="453">
        <f t="shared" si="190"/>
        <v>0</v>
      </c>
      <c r="AX547" s="451">
        <f t="shared" si="191"/>
        <v>0</v>
      </c>
      <c r="AY547" s="454">
        <f t="shared" si="192"/>
        <v>0</v>
      </c>
      <c r="AZ547" s="455">
        <f t="shared" si="193"/>
        <v>6417.7566666666662</v>
      </c>
      <c r="BA547" s="451">
        <f t="shared" si="194"/>
        <v>6528.6588888888891</v>
      </c>
    </row>
    <row r="548" spans="1:53">
      <c r="A548" s="594" t="s">
        <v>234</v>
      </c>
      <c r="B548" s="739" t="s">
        <v>782</v>
      </c>
      <c r="C548" s="743"/>
      <c r="D548" s="729">
        <v>223816</v>
      </c>
      <c r="E548" s="730">
        <v>8</v>
      </c>
      <c r="F548" s="491" t="s">
        <v>41</v>
      </c>
      <c r="G548" s="492"/>
      <c r="H548" s="456">
        <v>109845</v>
      </c>
      <c r="I548" s="493">
        <v>112824</v>
      </c>
      <c r="J548" s="456">
        <v>71716</v>
      </c>
      <c r="K548" s="731">
        <v>60545</v>
      </c>
      <c r="L548" s="456">
        <v>2755</v>
      </c>
      <c r="M548" s="731">
        <v>7292</v>
      </c>
      <c r="N548" s="456">
        <v>88708</v>
      </c>
      <c r="O548" s="732">
        <v>80869</v>
      </c>
      <c r="P548" s="449">
        <f t="shared" si="177"/>
        <v>273024</v>
      </c>
      <c r="Q548" s="450">
        <f t="shared" si="178"/>
        <v>9100.7999999999993</v>
      </c>
      <c r="R548" s="451">
        <f t="shared" si="179"/>
        <v>261530</v>
      </c>
      <c r="S548" s="452">
        <f t="shared" si="180"/>
        <v>8717.6666666666661</v>
      </c>
      <c r="T548" s="456">
        <v>16065</v>
      </c>
      <c r="U548" s="731">
        <v>16164</v>
      </c>
      <c r="V548" s="449">
        <f t="shared" si="181"/>
        <v>273024</v>
      </c>
      <c r="W548" s="448">
        <f t="shared" si="182"/>
        <v>261530</v>
      </c>
      <c r="X548" s="456">
        <v>55046</v>
      </c>
      <c r="Y548" s="731">
        <v>90859</v>
      </c>
      <c r="Z548" s="456">
        <v>70884</v>
      </c>
      <c r="AA548" s="731">
        <v>88222</v>
      </c>
      <c r="AB548" s="456">
        <v>71294</v>
      </c>
      <c r="AC548" s="731">
        <v>100807</v>
      </c>
      <c r="AD548" s="456">
        <v>86363</v>
      </c>
      <c r="AE548" s="731">
        <v>88136</v>
      </c>
      <c r="AF548" s="449">
        <f t="shared" si="183"/>
        <v>283587</v>
      </c>
      <c r="AG548" s="450">
        <f t="shared" si="184"/>
        <v>315.09666666666669</v>
      </c>
      <c r="AH548" s="451">
        <f t="shared" si="185"/>
        <v>368024</v>
      </c>
      <c r="AI548" s="451">
        <f t="shared" si="186"/>
        <v>408.91555555555556</v>
      </c>
      <c r="AJ548" s="456"/>
      <c r="AK548" s="493"/>
      <c r="AL548" s="449">
        <f t="shared" si="187"/>
        <v>0</v>
      </c>
      <c r="AM548" s="452">
        <f t="shared" si="188"/>
        <v>0</v>
      </c>
      <c r="AN548" s="456"/>
      <c r="AO548" s="493"/>
      <c r="AP548" s="456"/>
      <c r="AQ548" s="733"/>
      <c r="AR548" s="456"/>
      <c r="AS548" s="733"/>
      <c r="AT548" s="456"/>
      <c r="AU548" s="733"/>
      <c r="AV548" s="449">
        <f t="shared" si="189"/>
        <v>0</v>
      </c>
      <c r="AW548" s="453">
        <f t="shared" si="190"/>
        <v>0</v>
      </c>
      <c r="AX548" s="451">
        <f t="shared" si="191"/>
        <v>0</v>
      </c>
      <c r="AY548" s="454">
        <f t="shared" si="192"/>
        <v>0</v>
      </c>
      <c r="AZ548" s="455">
        <f t="shared" si="193"/>
        <v>9415.8966666666656</v>
      </c>
      <c r="BA548" s="451">
        <f t="shared" si="194"/>
        <v>9126.5822222222214</v>
      </c>
    </row>
    <row r="549" spans="1:53">
      <c r="A549" s="594" t="s">
        <v>234</v>
      </c>
      <c r="B549" s="739" t="s">
        <v>783</v>
      </c>
      <c r="C549" s="743"/>
      <c r="D549" s="729">
        <v>247834</v>
      </c>
      <c r="E549" s="730">
        <v>8</v>
      </c>
      <c r="F549" s="491" t="s">
        <v>41</v>
      </c>
      <c r="G549" s="492"/>
      <c r="H549" s="456">
        <v>222394</v>
      </c>
      <c r="I549" s="493">
        <v>220760</v>
      </c>
      <c r="J549" s="456">
        <v>45826</v>
      </c>
      <c r="K549" s="731">
        <v>62130</v>
      </c>
      <c r="L549" s="456">
        <v>39430</v>
      </c>
      <c r="M549" s="733">
        <v>0</v>
      </c>
      <c r="N549" s="456">
        <v>231752</v>
      </c>
      <c r="O549" s="732">
        <v>254521</v>
      </c>
      <c r="P549" s="449">
        <f t="shared" si="177"/>
        <v>539402</v>
      </c>
      <c r="Q549" s="450">
        <f t="shared" si="178"/>
        <v>17980.066666666666</v>
      </c>
      <c r="R549" s="451">
        <f t="shared" si="179"/>
        <v>537411</v>
      </c>
      <c r="S549" s="452">
        <f t="shared" si="180"/>
        <v>17913.7</v>
      </c>
      <c r="T549" s="456">
        <v>26725</v>
      </c>
      <c r="U549" s="731">
        <v>31907</v>
      </c>
      <c r="V549" s="449">
        <f t="shared" si="181"/>
        <v>539402</v>
      </c>
      <c r="W549" s="448">
        <f t="shared" si="182"/>
        <v>537411</v>
      </c>
      <c r="X549" s="456">
        <v>139918</v>
      </c>
      <c r="Y549" s="731">
        <v>156530</v>
      </c>
      <c r="Z549" s="456">
        <v>135402</v>
      </c>
      <c r="AA549" s="731">
        <v>108651</v>
      </c>
      <c r="AB549" s="456">
        <v>125410</v>
      </c>
      <c r="AC549" s="731">
        <v>140827</v>
      </c>
      <c r="AD549" s="456">
        <v>209134</v>
      </c>
      <c r="AE549" s="731">
        <v>226331</v>
      </c>
      <c r="AF549" s="449">
        <f t="shared" si="183"/>
        <v>609864</v>
      </c>
      <c r="AG549" s="450">
        <f t="shared" si="184"/>
        <v>677.62666666666667</v>
      </c>
      <c r="AH549" s="451">
        <f t="shared" si="185"/>
        <v>632339</v>
      </c>
      <c r="AI549" s="451">
        <f t="shared" si="186"/>
        <v>702.59888888888884</v>
      </c>
      <c r="AJ549" s="456"/>
      <c r="AK549" s="493"/>
      <c r="AL549" s="449">
        <f t="shared" si="187"/>
        <v>0</v>
      </c>
      <c r="AM549" s="452">
        <f t="shared" si="188"/>
        <v>0</v>
      </c>
      <c r="AN549" s="456"/>
      <c r="AO549" s="493"/>
      <c r="AP549" s="456"/>
      <c r="AQ549" s="733"/>
      <c r="AR549" s="456"/>
      <c r="AS549" s="733"/>
      <c r="AT549" s="456"/>
      <c r="AU549" s="733"/>
      <c r="AV549" s="449">
        <f t="shared" si="189"/>
        <v>0</v>
      </c>
      <c r="AW549" s="453">
        <f t="shared" si="190"/>
        <v>0</v>
      </c>
      <c r="AX549" s="451">
        <f t="shared" si="191"/>
        <v>0</v>
      </c>
      <c r="AY549" s="454">
        <f t="shared" si="192"/>
        <v>0</v>
      </c>
      <c r="AZ549" s="455">
        <f t="shared" si="193"/>
        <v>18657.693333333333</v>
      </c>
      <c r="BA549" s="451">
        <f t="shared" si="194"/>
        <v>18616.29888888889</v>
      </c>
    </row>
    <row r="550" spans="1:53">
      <c r="A550" s="594" t="s">
        <v>234</v>
      </c>
      <c r="B550" s="739" t="s">
        <v>784</v>
      </c>
      <c r="C550" s="743"/>
      <c r="D550" s="729">
        <v>224350</v>
      </c>
      <c r="E550" s="730">
        <v>8</v>
      </c>
      <c r="F550" s="491" t="s">
        <v>41</v>
      </c>
      <c r="G550" s="492"/>
      <c r="H550" s="456">
        <v>78742</v>
      </c>
      <c r="I550" s="493">
        <v>78898</v>
      </c>
      <c r="J550" s="456">
        <v>20910</v>
      </c>
      <c r="K550" s="731">
        <v>21794</v>
      </c>
      <c r="L550" s="456">
        <v>9453</v>
      </c>
      <c r="M550" s="731">
        <v>8751</v>
      </c>
      <c r="N550" s="456">
        <v>82965</v>
      </c>
      <c r="O550" s="732">
        <v>86258</v>
      </c>
      <c r="P550" s="449">
        <f t="shared" si="177"/>
        <v>192070</v>
      </c>
      <c r="Q550" s="450">
        <f t="shared" si="178"/>
        <v>6402.333333333333</v>
      </c>
      <c r="R550" s="451">
        <f t="shared" si="179"/>
        <v>195701</v>
      </c>
      <c r="S550" s="452">
        <f t="shared" si="180"/>
        <v>6523.3666666666668</v>
      </c>
      <c r="T550" s="456">
        <v>17656</v>
      </c>
      <c r="U550" s="731">
        <v>22882</v>
      </c>
      <c r="V550" s="449">
        <f t="shared" si="181"/>
        <v>192070</v>
      </c>
      <c r="W550" s="448">
        <f t="shared" si="182"/>
        <v>195701</v>
      </c>
      <c r="X550" s="456">
        <v>134321</v>
      </c>
      <c r="Y550" s="731">
        <v>130032</v>
      </c>
      <c r="Z550" s="456">
        <v>82829</v>
      </c>
      <c r="AA550" s="731">
        <v>89582</v>
      </c>
      <c r="AB550" s="456">
        <v>80002</v>
      </c>
      <c r="AC550" s="731">
        <v>68392</v>
      </c>
      <c r="AD550" s="456">
        <v>126364</v>
      </c>
      <c r="AE550" s="731">
        <v>340330</v>
      </c>
      <c r="AF550" s="449">
        <f t="shared" si="183"/>
        <v>423516</v>
      </c>
      <c r="AG550" s="450">
        <f t="shared" si="184"/>
        <v>470.57333333333332</v>
      </c>
      <c r="AH550" s="451">
        <f t="shared" si="185"/>
        <v>628336</v>
      </c>
      <c r="AI550" s="451">
        <f t="shared" si="186"/>
        <v>698.15111111111116</v>
      </c>
      <c r="AJ550" s="456"/>
      <c r="AK550" s="493"/>
      <c r="AL550" s="449">
        <f t="shared" si="187"/>
        <v>0</v>
      </c>
      <c r="AM550" s="452">
        <f t="shared" si="188"/>
        <v>0</v>
      </c>
      <c r="AN550" s="456"/>
      <c r="AO550" s="493"/>
      <c r="AP550" s="456"/>
      <c r="AQ550" s="733"/>
      <c r="AR550" s="456"/>
      <c r="AS550" s="733"/>
      <c r="AT550" s="456"/>
      <c r="AU550" s="733"/>
      <c r="AV550" s="449">
        <f t="shared" si="189"/>
        <v>0</v>
      </c>
      <c r="AW550" s="453">
        <f t="shared" si="190"/>
        <v>0</v>
      </c>
      <c r="AX550" s="451">
        <f t="shared" si="191"/>
        <v>0</v>
      </c>
      <c r="AY550" s="454">
        <f t="shared" si="192"/>
        <v>0</v>
      </c>
      <c r="AZ550" s="455">
        <f t="shared" si="193"/>
        <v>6872.9066666666668</v>
      </c>
      <c r="BA550" s="451">
        <f t="shared" si="194"/>
        <v>7221.5177777777781</v>
      </c>
    </row>
    <row r="551" spans="1:53">
      <c r="A551" s="594" t="s">
        <v>234</v>
      </c>
      <c r="B551" s="744" t="s">
        <v>785</v>
      </c>
      <c r="C551" s="743"/>
      <c r="D551" s="729">
        <v>224572</v>
      </c>
      <c r="E551" s="730">
        <v>8</v>
      </c>
      <c r="F551" s="491" t="s">
        <v>41</v>
      </c>
      <c r="G551" s="492"/>
      <c r="H551" s="456">
        <v>98909</v>
      </c>
      <c r="I551" s="493">
        <v>104046</v>
      </c>
      <c r="J551" s="456">
        <v>55019</v>
      </c>
      <c r="K551" s="731">
        <v>54829</v>
      </c>
      <c r="L551" s="456">
        <v>0</v>
      </c>
      <c r="M551" s="733">
        <v>0</v>
      </c>
      <c r="N551" s="456">
        <v>82649</v>
      </c>
      <c r="O551" s="732">
        <v>77686</v>
      </c>
      <c r="P551" s="449">
        <f t="shared" si="177"/>
        <v>236577</v>
      </c>
      <c r="Q551" s="450">
        <f t="shared" si="178"/>
        <v>7885.9</v>
      </c>
      <c r="R551" s="451">
        <f t="shared" si="179"/>
        <v>236561</v>
      </c>
      <c r="S551" s="452">
        <f t="shared" si="180"/>
        <v>7885.3666666666668</v>
      </c>
      <c r="T551" s="456">
        <v>22506</v>
      </c>
      <c r="U551" s="731">
        <v>26052</v>
      </c>
      <c r="V551" s="449">
        <f t="shared" si="181"/>
        <v>236577</v>
      </c>
      <c r="W551" s="448">
        <f t="shared" si="182"/>
        <v>236561</v>
      </c>
      <c r="X551" s="456">
        <v>54466</v>
      </c>
      <c r="Y551" s="731">
        <v>63715</v>
      </c>
      <c r="Z551" s="456">
        <v>53127</v>
      </c>
      <c r="AA551" s="731">
        <v>73818</v>
      </c>
      <c r="AB551" s="456">
        <v>58732</v>
      </c>
      <c r="AC551" s="731">
        <v>77246</v>
      </c>
      <c r="AD551" s="456">
        <v>83441</v>
      </c>
      <c r="AE551" s="731">
        <v>77972</v>
      </c>
      <c r="AF551" s="449">
        <f t="shared" si="183"/>
        <v>249766</v>
      </c>
      <c r="AG551" s="450">
        <f t="shared" si="184"/>
        <v>277.51777777777778</v>
      </c>
      <c r="AH551" s="451">
        <f t="shared" si="185"/>
        <v>292751</v>
      </c>
      <c r="AI551" s="451">
        <f t="shared" si="186"/>
        <v>325.2788888888889</v>
      </c>
      <c r="AJ551" s="456"/>
      <c r="AK551" s="493"/>
      <c r="AL551" s="449">
        <f t="shared" si="187"/>
        <v>0</v>
      </c>
      <c r="AM551" s="452">
        <f t="shared" si="188"/>
        <v>0</v>
      </c>
      <c r="AN551" s="456"/>
      <c r="AO551" s="493"/>
      <c r="AP551" s="456"/>
      <c r="AQ551" s="733"/>
      <c r="AR551" s="456"/>
      <c r="AS551" s="733"/>
      <c r="AT551" s="456"/>
      <c r="AU551" s="733"/>
      <c r="AV551" s="449">
        <f t="shared" si="189"/>
        <v>0</v>
      </c>
      <c r="AW551" s="453">
        <f t="shared" si="190"/>
        <v>0</v>
      </c>
      <c r="AX551" s="451">
        <f t="shared" si="191"/>
        <v>0</v>
      </c>
      <c r="AY551" s="454">
        <f t="shared" si="192"/>
        <v>0</v>
      </c>
      <c r="AZ551" s="455">
        <f t="shared" si="193"/>
        <v>8163.4177777777777</v>
      </c>
      <c r="BA551" s="451">
        <f t="shared" si="194"/>
        <v>8210.6455555555549</v>
      </c>
    </row>
    <row r="552" spans="1:53">
      <c r="A552" s="594" t="s">
        <v>234</v>
      </c>
      <c r="B552" s="744" t="s">
        <v>786</v>
      </c>
      <c r="C552" s="740"/>
      <c r="D552" s="735">
        <v>224615</v>
      </c>
      <c r="E552" s="707">
        <v>8</v>
      </c>
      <c r="F552" s="491" t="s">
        <v>41</v>
      </c>
      <c r="G552" s="492"/>
      <c r="H552" s="456">
        <v>74012</v>
      </c>
      <c r="I552" s="493">
        <v>69440</v>
      </c>
      <c r="J552" s="456">
        <v>25758</v>
      </c>
      <c r="K552" s="731">
        <v>26077</v>
      </c>
      <c r="L552" s="456">
        <v>0</v>
      </c>
      <c r="M552" s="733">
        <v>0</v>
      </c>
      <c r="N552" s="456">
        <v>63911</v>
      </c>
      <c r="O552" s="732">
        <v>60371</v>
      </c>
      <c r="P552" s="449">
        <f t="shared" si="177"/>
        <v>163681</v>
      </c>
      <c r="Q552" s="450">
        <f t="shared" si="178"/>
        <v>5456.0333333333338</v>
      </c>
      <c r="R552" s="451">
        <f t="shared" si="179"/>
        <v>155888</v>
      </c>
      <c r="S552" s="452">
        <f t="shared" si="180"/>
        <v>5196.2666666666664</v>
      </c>
      <c r="T552" s="456">
        <v>12409</v>
      </c>
      <c r="U552" s="731">
        <v>15090</v>
      </c>
      <c r="V552" s="449">
        <f t="shared" si="181"/>
        <v>163681</v>
      </c>
      <c r="W552" s="448">
        <f t="shared" si="182"/>
        <v>155888</v>
      </c>
      <c r="X552" s="456">
        <v>286422</v>
      </c>
      <c r="Y552" s="731">
        <v>291136</v>
      </c>
      <c r="Z552" s="456">
        <v>309904</v>
      </c>
      <c r="AA552" s="731">
        <v>329586</v>
      </c>
      <c r="AB552" s="456">
        <v>249699</v>
      </c>
      <c r="AC552" s="731">
        <v>275549</v>
      </c>
      <c r="AD552" s="456">
        <v>294052</v>
      </c>
      <c r="AE552" s="731">
        <v>294081</v>
      </c>
      <c r="AF552" s="449">
        <f t="shared" si="183"/>
        <v>1140077</v>
      </c>
      <c r="AG552" s="450">
        <f t="shared" si="184"/>
        <v>1266.7522222222221</v>
      </c>
      <c r="AH552" s="451">
        <f t="shared" si="185"/>
        <v>1190352</v>
      </c>
      <c r="AI552" s="451">
        <f t="shared" si="186"/>
        <v>1322.6133333333332</v>
      </c>
      <c r="AJ552" s="456"/>
      <c r="AK552" s="493"/>
      <c r="AL552" s="449">
        <f t="shared" si="187"/>
        <v>0</v>
      </c>
      <c r="AM552" s="452">
        <f t="shared" si="188"/>
        <v>0</v>
      </c>
      <c r="AN552" s="456"/>
      <c r="AO552" s="493"/>
      <c r="AP552" s="456"/>
      <c r="AQ552" s="733"/>
      <c r="AR552" s="456"/>
      <c r="AS552" s="733"/>
      <c r="AT552" s="456"/>
      <c r="AU552" s="733"/>
      <c r="AV552" s="449">
        <f t="shared" si="189"/>
        <v>0</v>
      </c>
      <c r="AW552" s="453">
        <f t="shared" si="190"/>
        <v>0</v>
      </c>
      <c r="AX552" s="451">
        <f t="shared" si="191"/>
        <v>0</v>
      </c>
      <c r="AY552" s="454">
        <f t="shared" si="192"/>
        <v>0</v>
      </c>
      <c r="AZ552" s="455">
        <f t="shared" si="193"/>
        <v>6722.7855555555561</v>
      </c>
      <c r="BA552" s="451">
        <f t="shared" si="194"/>
        <v>6518.8799999999992</v>
      </c>
    </row>
    <row r="553" spans="1:53">
      <c r="A553" s="594" t="s">
        <v>234</v>
      </c>
      <c r="B553" s="739" t="s">
        <v>787</v>
      </c>
      <c r="C553" s="743"/>
      <c r="D553" s="729">
        <v>224642</v>
      </c>
      <c r="E553" s="730">
        <v>8</v>
      </c>
      <c r="F553" s="491" t="s">
        <v>41</v>
      </c>
      <c r="G553" s="492"/>
      <c r="H553" s="456">
        <v>229906</v>
      </c>
      <c r="I553" s="493">
        <v>223941</v>
      </c>
      <c r="J553" s="456">
        <v>56515</v>
      </c>
      <c r="K553" s="731">
        <v>52906</v>
      </c>
      <c r="L553" s="456">
        <v>0</v>
      </c>
      <c r="M553" s="733">
        <v>0</v>
      </c>
      <c r="N553" s="456">
        <v>243557</v>
      </c>
      <c r="O553" s="732">
        <v>239078</v>
      </c>
      <c r="P553" s="449">
        <f t="shared" si="177"/>
        <v>529978</v>
      </c>
      <c r="Q553" s="450">
        <f t="shared" si="178"/>
        <v>17665.933333333334</v>
      </c>
      <c r="R553" s="451">
        <f t="shared" si="179"/>
        <v>515925</v>
      </c>
      <c r="S553" s="452">
        <f t="shared" si="180"/>
        <v>17197.5</v>
      </c>
      <c r="T553" s="456">
        <v>63137</v>
      </c>
      <c r="U553" s="731">
        <v>74850</v>
      </c>
      <c r="V553" s="449">
        <f t="shared" si="181"/>
        <v>529978</v>
      </c>
      <c r="W553" s="448">
        <f t="shared" si="182"/>
        <v>515925</v>
      </c>
      <c r="X553" s="456">
        <v>106392</v>
      </c>
      <c r="Y553" s="731">
        <v>108159</v>
      </c>
      <c r="Z553" s="456">
        <v>106368</v>
      </c>
      <c r="AA553" s="731">
        <v>103110</v>
      </c>
      <c r="AB553" s="456">
        <v>104162</v>
      </c>
      <c r="AC553" s="731">
        <v>120682</v>
      </c>
      <c r="AD553" s="456">
        <v>133083</v>
      </c>
      <c r="AE553" s="731">
        <v>132866</v>
      </c>
      <c r="AF553" s="449">
        <f t="shared" si="183"/>
        <v>450005</v>
      </c>
      <c r="AG553" s="450">
        <f t="shared" si="184"/>
        <v>500.00555555555553</v>
      </c>
      <c r="AH553" s="451">
        <f t="shared" si="185"/>
        <v>464817</v>
      </c>
      <c r="AI553" s="451">
        <f t="shared" si="186"/>
        <v>516.46333333333337</v>
      </c>
      <c r="AJ553" s="456"/>
      <c r="AK553" s="493"/>
      <c r="AL553" s="449">
        <f t="shared" si="187"/>
        <v>0</v>
      </c>
      <c r="AM553" s="452">
        <f t="shared" si="188"/>
        <v>0</v>
      </c>
      <c r="AN553" s="456"/>
      <c r="AO553" s="493"/>
      <c r="AP553" s="456"/>
      <c r="AQ553" s="733"/>
      <c r="AR553" s="456"/>
      <c r="AS553" s="733"/>
      <c r="AT553" s="456"/>
      <c r="AU553" s="733"/>
      <c r="AV553" s="449">
        <f t="shared" si="189"/>
        <v>0</v>
      </c>
      <c r="AW553" s="453">
        <f t="shared" si="190"/>
        <v>0</v>
      </c>
      <c r="AX553" s="451">
        <f t="shared" si="191"/>
        <v>0</v>
      </c>
      <c r="AY553" s="454">
        <f t="shared" si="192"/>
        <v>0</v>
      </c>
      <c r="AZ553" s="455">
        <f t="shared" si="193"/>
        <v>18165.93888888889</v>
      </c>
      <c r="BA553" s="451">
        <f t="shared" si="194"/>
        <v>17713.963333333333</v>
      </c>
    </row>
    <row r="554" spans="1:53">
      <c r="A554" s="594" t="s">
        <v>234</v>
      </c>
      <c r="B554" s="739" t="s">
        <v>788</v>
      </c>
      <c r="C554" s="743"/>
      <c r="D554" s="729">
        <v>225423</v>
      </c>
      <c r="E554" s="730">
        <v>8</v>
      </c>
      <c r="F554" s="491" t="s">
        <v>41</v>
      </c>
      <c r="G554" s="492"/>
      <c r="H554" s="456">
        <v>469431</v>
      </c>
      <c r="I554" s="493">
        <v>485439</v>
      </c>
      <c r="J554" s="456">
        <v>265714</v>
      </c>
      <c r="K554" s="731">
        <v>274483</v>
      </c>
      <c r="L554" s="456">
        <v>0</v>
      </c>
      <c r="M554" s="733">
        <v>0</v>
      </c>
      <c r="N554" s="456">
        <v>355376</v>
      </c>
      <c r="O554" s="732">
        <v>347588</v>
      </c>
      <c r="P554" s="449">
        <f t="shared" si="177"/>
        <v>1090521</v>
      </c>
      <c r="Q554" s="450">
        <f t="shared" si="178"/>
        <v>36350.699999999997</v>
      </c>
      <c r="R554" s="451">
        <f t="shared" si="179"/>
        <v>1107510</v>
      </c>
      <c r="S554" s="452">
        <f t="shared" si="180"/>
        <v>36917</v>
      </c>
      <c r="T554" s="456">
        <v>68884</v>
      </c>
      <c r="U554" s="731">
        <v>72303</v>
      </c>
      <c r="V554" s="449">
        <f t="shared" si="181"/>
        <v>1090521</v>
      </c>
      <c r="W554" s="448">
        <f t="shared" si="182"/>
        <v>1107510</v>
      </c>
      <c r="X554" s="456">
        <v>544076</v>
      </c>
      <c r="Y554" s="731">
        <v>627990</v>
      </c>
      <c r="Z554" s="456">
        <v>422407</v>
      </c>
      <c r="AA554" s="731">
        <v>486298</v>
      </c>
      <c r="AB554" s="456">
        <v>401685</v>
      </c>
      <c r="AC554" s="731">
        <v>439365</v>
      </c>
      <c r="AD554" s="456">
        <v>734509</v>
      </c>
      <c r="AE554" s="731">
        <v>760044</v>
      </c>
      <c r="AF554" s="449">
        <f t="shared" si="183"/>
        <v>2102677</v>
      </c>
      <c r="AG554" s="450">
        <f t="shared" si="184"/>
        <v>2336.3077777777776</v>
      </c>
      <c r="AH554" s="451">
        <f t="shared" si="185"/>
        <v>2313697</v>
      </c>
      <c r="AI554" s="451">
        <f t="shared" si="186"/>
        <v>2570.7744444444443</v>
      </c>
      <c r="AJ554" s="456"/>
      <c r="AK554" s="493"/>
      <c r="AL554" s="449">
        <f t="shared" si="187"/>
        <v>0</v>
      </c>
      <c r="AM554" s="452">
        <f t="shared" si="188"/>
        <v>0</v>
      </c>
      <c r="AN554" s="456"/>
      <c r="AO554" s="493"/>
      <c r="AP554" s="456"/>
      <c r="AQ554" s="733"/>
      <c r="AR554" s="456"/>
      <c r="AS554" s="733"/>
      <c r="AT554" s="456"/>
      <c r="AU554" s="733"/>
      <c r="AV554" s="449">
        <f t="shared" si="189"/>
        <v>0</v>
      </c>
      <c r="AW554" s="453">
        <f t="shared" si="190"/>
        <v>0</v>
      </c>
      <c r="AX554" s="451">
        <f t="shared" si="191"/>
        <v>0</v>
      </c>
      <c r="AY554" s="454">
        <f t="shared" si="192"/>
        <v>0</v>
      </c>
      <c r="AZ554" s="455">
        <f t="shared" si="193"/>
        <v>38687.007777777777</v>
      </c>
      <c r="BA554" s="451">
        <f t="shared" si="194"/>
        <v>39487.774444444447</v>
      </c>
    </row>
    <row r="555" spans="1:53">
      <c r="A555" s="594" t="s">
        <v>234</v>
      </c>
      <c r="B555" s="734" t="s">
        <v>789</v>
      </c>
      <c r="C555" s="737" t="s">
        <v>514</v>
      </c>
      <c r="D555" s="729">
        <v>226019</v>
      </c>
      <c r="E555" s="751">
        <v>9</v>
      </c>
      <c r="F555" s="491" t="s">
        <v>41</v>
      </c>
      <c r="G555" s="492"/>
      <c r="H555" s="456">
        <v>53214</v>
      </c>
      <c r="I555" s="493">
        <v>48648</v>
      </c>
      <c r="J555" s="456">
        <v>9682</v>
      </c>
      <c r="K555" s="731">
        <v>8222</v>
      </c>
      <c r="L555" s="456">
        <v>4654</v>
      </c>
      <c r="M555" s="731">
        <v>3596</v>
      </c>
      <c r="N555" s="456">
        <v>55116</v>
      </c>
      <c r="O555" s="732">
        <v>51106</v>
      </c>
      <c r="P555" s="449">
        <f t="shared" si="177"/>
        <v>122666</v>
      </c>
      <c r="Q555" s="450">
        <f t="shared" si="178"/>
        <v>4088.8666666666668</v>
      </c>
      <c r="R555" s="451">
        <f t="shared" si="179"/>
        <v>111572</v>
      </c>
      <c r="S555" s="452">
        <f t="shared" si="180"/>
        <v>3719.0666666666666</v>
      </c>
      <c r="T555" s="456">
        <v>10223</v>
      </c>
      <c r="U555" s="731">
        <v>10155</v>
      </c>
      <c r="V555" s="449">
        <f t="shared" si="181"/>
        <v>122666</v>
      </c>
      <c r="W555" s="448">
        <f t="shared" si="182"/>
        <v>111572</v>
      </c>
      <c r="X555" s="456">
        <v>129968</v>
      </c>
      <c r="Y555" s="731">
        <v>137223</v>
      </c>
      <c r="Z555" s="456">
        <v>125494</v>
      </c>
      <c r="AA555" s="731">
        <v>123916</v>
      </c>
      <c r="AB555" s="456">
        <v>137340</v>
      </c>
      <c r="AC555" s="731">
        <v>155975</v>
      </c>
      <c r="AD555" s="456">
        <v>117676</v>
      </c>
      <c r="AE555" s="731">
        <v>93064</v>
      </c>
      <c r="AF555" s="449">
        <f t="shared" si="183"/>
        <v>510478</v>
      </c>
      <c r="AG555" s="450">
        <f t="shared" si="184"/>
        <v>567.19777777777779</v>
      </c>
      <c r="AH555" s="451">
        <f t="shared" si="185"/>
        <v>510178</v>
      </c>
      <c r="AI555" s="451">
        <f t="shared" si="186"/>
        <v>566.86444444444442</v>
      </c>
      <c r="AJ555" s="456"/>
      <c r="AK555" s="493"/>
      <c r="AL555" s="449">
        <f t="shared" si="187"/>
        <v>0</v>
      </c>
      <c r="AM555" s="452">
        <f t="shared" si="188"/>
        <v>0</v>
      </c>
      <c r="AN555" s="456"/>
      <c r="AO555" s="493"/>
      <c r="AP555" s="456"/>
      <c r="AQ555" s="733"/>
      <c r="AR555" s="456"/>
      <c r="AS555" s="733"/>
      <c r="AT555" s="456"/>
      <c r="AU555" s="733"/>
      <c r="AV555" s="449">
        <f t="shared" si="189"/>
        <v>0</v>
      </c>
      <c r="AW555" s="453">
        <f t="shared" si="190"/>
        <v>0</v>
      </c>
      <c r="AX555" s="451">
        <f t="shared" si="191"/>
        <v>0</v>
      </c>
      <c r="AY555" s="454">
        <f t="shared" si="192"/>
        <v>0</v>
      </c>
      <c r="AZ555" s="455">
        <f t="shared" si="193"/>
        <v>4656.0644444444442</v>
      </c>
      <c r="BA555" s="451">
        <f t="shared" si="194"/>
        <v>4285.931111111111</v>
      </c>
    </row>
    <row r="556" spans="1:53">
      <c r="A556" s="594" t="s">
        <v>234</v>
      </c>
      <c r="B556" s="739" t="s">
        <v>790</v>
      </c>
      <c r="C556" s="743"/>
      <c r="D556" s="729">
        <v>226134</v>
      </c>
      <c r="E556" s="730">
        <v>8</v>
      </c>
      <c r="F556" s="491" t="s">
        <v>41</v>
      </c>
      <c r="G556" s="492"/>
      <c r="H556" s="456">
        <v>67677</v>
      </c>
      <c r="I556" s="493">
        <v>65528</v>
      </c>
      <c r="J556" s="456">
        <v>12840</v>
      </c>
      <c r="K556" s="731">
        <v>12366</v>
      </c>
      <c r="L556" s="456">
        <v>3936</v>
      </c>
      <c r="M556" s="731">
        <v>4017</v>
      </c>
      <c r="N556" s="456">
        <v>71207</v>
      </c>
      <c r="O556" s="732">
        <v>68759</v>
      </c>
      <c r="P556" s="449">
        <f t="shared" si="177"/>
        <v>155660</v>
      </c>
      <c r="Q556" s="450">
        <f t="shared" si="178"/>
        <v>5188.666666666667</v>
      </c>
      <c r="R556" s="451">
        <f t="shared" si="179"/>
        <v>150670</v>
      </c>
      <c r="S556" s="452">
        <f t="shared" si="180"/>
        <v>5022.333333333333</v>
      </c>
      <c r="T556" s="456">
        <v>7936</v>
      </c>
      <c r="U556" s="731">
        <v>9109</v>
      </c>
      <c r="V556" s="449">
        <f t="shared" si="181"/>
        <v>155660</v>
      </c>
      <c r="W556" s="448">
        <f t="shared" si="182"/>
        <v>150670</v>
      </c>
      <c r="X556" s="456">
        <v>17416</v>
      </c>
      <c r="Y556" s="731">
        <v>22645</v>
      </c>
      <c r="Z556" s="456">
        <v>20396</v>
      </c>
      <c r="AA556" s="731">
        <v>27573</v>
      </c>
      <c r="AB556" s="456">
        <v>22574</v>
      </c>
      <c r="AC556" s="731">
        <v>27472</v>
      </c>
      <c r="AD556" s="456">
        <v>18956</v>
      </c>
      <c r="AE556" s="731">
        <v>17610</v>
      </c>
      <c r="AF556" s="449">
        <f t="shared" si="183"/>
        <v>79342</v>
      </c>
      <c r="AG556" s="450">
        <f t="shared" si="184"/>
        <v>88.157777777777781</v>
      </c>
      <c r="AH556" s="451">
        <f t="shared" si="185"/>
        <v>95300</v>
      </c>
      <c r="AI556" s="451">
        <f t="shared" si="186"/>
        <v>105.88888888888889</v>
      </c>
      <c r="AJ556" s="456"/>
      <c r="AK556" s="493"/>
      <c r="AL556" s="449">
        <f t="shared" si="187"/>
        <v>0</v>
      </c>
      <c r="AM556" s="452">
        <f t="shared" si="188"/>
        <v>0</v>
      </c>
      <c r="AN556" s="456"/>
      <c r="AO556" s="493"/>
      <c r="AP556" s="456"/>
      <c r="AQ556" s="733"/>
      <c r="AR556" s="456"/>
      <c r="AS556" s="733"/>
      <c r="AT556" s="456"/>
      <c r="AU556" s="733"/>
      <c r="AV556" s="449">
        <f t="shared" si="189"/>
        <v>0</v>
      </c>
      <c r="AW556" s="453">
        <f t="shared" si="190"/>
        <v>0</v>
      </c>
      <c r="AX556" s="451">
        <f t="shared" si="191"/>
        <v>0</v>
      </c>
      <c r="AY556" s="454">
        <f t="shared" si="192"/>
        <v>0</v>
      </c>
      <c r="AZ556" s="455">
        <f t="shared" si="193"/>
        <v>5276.8244444444445</v>
      </c>
      <c r="BA556" s="451">
        <f t="shared" si="194"/>
        <v>5128.2222222222217</v>
      </c>
    </row>
    <row r="557" spans="1:53">
      <c r="A557" s="594" t="s">
        <v>234</v>
      </c>
      <c r="B557" s="595" t="s">
        <v>791</v>
      </c>
      <c r="C557" s="598"/>
      <c r="D557" s="729">
        <v>227182</v>
      </c>
      <c r="E557" s="730">
        <v>8</v>
      </c>
      <c r="F557" s="491" t="s">
        <v>41</v>
      </c>
      <c r="G557" s="492"/>
      <c r="H557" s="456">
        <v>526847</v>
      </c>
      <c r="I557" s="493">
        <v>526670</v>
      </c>
      <c r="J557" s="456">
        <v>247451</v>
      </c>
      <c r="K557" s="731">
        <v>257257</v>
      </c>
      <c r="L557" s="456">
        <v>0</v>
      </c>
      <c r="M557" s="733">
        <v>0</v>
      </c>
      <c r="N557" s="456">
        <v>484283</v>
      </c>
      <c r="O557" s="732">
        <v>484207</v>
      </c>
      <c r="P557" s="449">
        <f t="shared" si="177"/>
        <v>1258581</v>
      </c>
      <c r="Q557" s="450">
        <f t="shared" si="178"/>
        <v>41952.7</v>
      </c>
      <c r="R557" s="451">
        <f t="shared" si="179"/>
        <v>1268134</v>
      </c>
      <c r="S557" s="452">
        <f t="shared" si="180"/>
        <v>42271.133333333331</v>
      </c>
      <c r="T557" s="456">
        <v>92883</v>
      </c>
      <c r="U557" s="731">
        <v>113657</v>
      </c>
      <c r="V557" s="449">
        <f t="shared" si="181"/>
        <v>1258581</v>
      </c>
      <c r="W557" s="448">
        <f t="shared" si="182"/>
        <v>1268134</v>
      </c>
      <c r="X557" s="456">
        <v>116390</v>
      </c>
      <c r="Y557" s="731">
        <v>147976</v>
      </c>
      <c r="Z557" s="456">
        <v>115399</v>
      </c>
      <c r="AA557" s="731">
        <v>150855</v>
      </c>
      <c r="AB557" s="456">
        <v>107093</v>
      </c>
      <c r="AC557" s="731">
        <v>116489</v>
      </c>
      <c r="AD557" s="456">
        <v>171524</v>
      </c>
      <c r="AE557" s="731">
        <v>179314</v>
      </c>
      <c r="AF557" s="449">
        <f t="shared" si="183"/>
        <v>510406</v>
      </c>
      <c r="AG557" s="450">
        <f t="shared" si="184"/>
        <v>567.11777777777775</v>
      </c>
      <c r="AH557" s="451">
        <f t="shared" si="185"/>
        <v>594634</v>
      </c>
      <c r="AI557" s="451">
        <f t="shared" si="186"/>
        <v>660.70444444444445</v>
      </c>
      <c r="AJ557" s="456"/>
      <c r="AK557" s="493"/>
      <c r="AL557" s="449">
        <f t="shared" si="187"/>
        <v>0</v>
      </c>
      <c r="AM557" s="452">
        <f t="shared" si="188"/>
        <v>0</v>
      </c>
      <c r="AN557" s="456"/>
      <c r="AO557" s="493"/>
      <c r="AP557" s="456"/>
      <c r="AQ557" s="733"/>
      <c r="AR557" s="456"/>
      <c r="AS557" s="733"/>
      <c r="AT557" s="456"/>
      <c r="AU557" s="733"/>
      <c r="AV557" s="449">
        <f t="shared" si="189"/>
        <v>0</v>
      </c>
      <c r="AW557" s="453">
        <f t="shared" si="190"/>
        <v>0</v>
      </c>
      <c r="AX557" s="451">
        <f t="shared" si="191"/>
        <v>0</v>
      </c>
      <c r="AY557" s="454">
        <f t="shared" si="192"/>
        <v>0</v>
      </c>
      <c r="AZ557" s="455">
        <f t="shared" si="193"/>
        <v>42519.817777777775</v>
      </c>
      <c r="BA557" s="451">
        <f t="shared" si="194"/>
        <v>42931.837777777779</v>
      </c>
    </row>
    <row r="558" spans="1:53">
      <c r="A558" s="594" t="s">
        <v>234</v>
      </c>
      <c r="B558" s="739" t="s">
        <v>792</v>
      </c>
      <c r="C558" s="743"/>
      <c r="D558" s="729">
        <v>226578</v>
      </c>
      <c r="E558" s="730">
        <v>8</v>
      </c>
      <c r="F558" s="491" t="s">
        <v>41</v>
      </c>
      <c r="G558" s="492"/>
      <c r="H558" s="456">
        <v>76488</v>
      </c>
      <c r="I558" s="493">
        <v>73925</v>
      </c>
      <c r="J558" s="456">
        <v>17501</v>
      </c>
      <c r="K558" s="731">
        <v>17671</v>
      </c>
      <c r="L558" s="456">
        <v>9455</v>
      </c>
      <c r="M558" s="731">
        <v>9913</v>
      </c>
      <c r="N558" s="456">
        <v>76749</v>
      </c>
      <c r="O558" s="732">
        <v>75271</v>
      </c>
      <c r="P558" s="449">
        <f t="shared" si="177"/>
        <v>180193</v>
      </c>
      <c r="Q558" s="450">
        <f t="shared" si="178"/>
        <v>6006.4333333333334</v>
      </c>
      <c r="R558" s="451">
        <f t="shared" si="179"/>
        <v>176780</v>
      </c>
      <c r="S558" s="452">
        <f t="shared" si="180"/>
        <v>5892.666666666667</v>
      </c>
      <c r="T558" s="456">
        <v>9648</v>
      </c>
      <c r="U558" s="731">
        <v>11567</v>
      </c>
      <c r="V558" s="449">
        <f t="shared" si="181"/>
        <v>180193</v>
      </c>
      <c r="W558" s="448">
        <f t="shared" si="182"/>
        <v>176780</v>
      </c>
      <c r="X558" s="456">
        <v>47756</v>
      </c>
      <c r="Y558" s="731">
        <v>45371</v>
      </c>
      <c r="Z558" s="456">
        <v>33175</v>
      </c>
      <c r="AA558" s="731">
        <v>26415</v>
      </c>
      <c r="AB558" s="456">
        <v>56084</v>
      </c>
      <c r="AC558" s="731">
        <v>54811</v>
      </c>
      <c r="AD558" s="456">
        <v>42841</v>
      </c>
      <c r="AE558" s="731">
        <v>58285</v>
      </c>
      <c r="AF558" s="449">
        <f t="shared" si="183"/>
        <v>179856</v>
      </c>
      <c r="AG558" s="450">
        <f t="shared" si="184"/>
        <v>199.84</v>
      </c>
      <c r="AH558" s="451">
        <f t="shared" si="185"/>
        <v>184882</v>
      </c>
      <c r="AI558" s="451">
        <f t="shared" si="186"/>
        <v>205.42444444444445</v>
      </c>
      <c r="AJ558" s="456"/>
      <c r="AK558" s="493"/>
      <c r="AL558" s="449">
        <f t="shared" si="187"/>
        <v>0</v>
      </c>
      <c r="AM558" s="452">
        <f t="shared" si="188"/>
        <v>0</v>
      </c>
      <c r="AN558" s="456"/>
      <c r="AO558" s="493"/>
      <c r="AP558" s="456"/>
      <c r="AQ558" s="733"/>
      <c r="AR558" s="456"/>
      <c r="AS558" s="733"/>
      <c r="AT558" s="456"/>
      <c r="AU558" s="733"/>
      <c r="AV558" s="449">
        <f t="shared" si="189"/>
        <v>0</v>
      </c>
      <c r="AW558" s="453">
        <f t="shared" si="190"/>
        <v>0</v>
      </c>
      <c r="AX558" s="451">
        <f t="shared" si="191"/>
        <v>0</v>
      </c>
      <c r="AY558" s="454">
        <f t="shared" si="192"/>
        <v>0</v>
      </c>
      <c r="AZ558" s="455">
        <f t="shared" si="193"/>
        <v>6206.2733333333335</v>
      </c>
      <c r="BA558" s="451">
        <f t="shared" si="194"/>
        <v>6098.0911111111118</v>
      </c>
    </row>
    <row r="559" spans="1:53">
      <c r="A559" s="594" t="s">
        <v>234</v>
      </c>
      <c r="B559" s="739" t="s">
        <v>793</v>
      </c>
      <c r="C559" s="745"/>
      <c r="D559" s="741">
        <v>227146</v>
      </c>
      <c r="E559" s="742">
        <v>8</v>
      </c>
      <c r="F559" s="491" t="s">
        <v>41</v>
      </c>
      <c r="G559" s="492"/>
      <c r="H559" s="456">
        <v>95036</v>
      </c>
      <c r="I559" s="493">
        <v>89473</v>
      </c>
      <c r="J559" s="456">
        <v>19208</v>
      </c>
      <c r="K559" s="731">
        <v>20694</v>
      </c>
      <c r="L559" s="456">
        <v>7293</v>
      </c>
      <c r="M559" s="731">
        <v>6298</v>
      </c>
      <c r="N559" s="456">
        <v>91846</v>
      </c>
      <c r="O559" s="732">
        <v>85634</v>
      </c>
      <c r="P559" s="449">
        <f t="shared" si="177"/>
        <v>213383</v>
      </c>
      <c r="Q559" s="450">
        <f t="shared" si="178"/>
        <v>7112.7666666666664</v>
      </c>
      <c r="R559" s="451">
        <f t="shared" si="179"/>
        <v>202099</v>
      </c>
      <c r="S559" s="452">
        <f t="shared" si="180"/>
        <v>6736.6333333333332</v>
      </c>
      <c r="T559" s="456">
        <v>30362</v>
      </c>
      <c r="U559" s="731">
        <v>34270</v>
      </c>
      <c r="V559" s="449">
        <f t="shared" si="181"/>
        <v>213383</v>
      </c>
      <c r="W559" s="448">
        <f t="shared" si="182"/>
        <v>202099</v>
      </c>
      <c r="X559" s="456">
        <v>44496</v>
      </c>
      <c r="Y559" s="731">
        <v>38819</v>
      </c>
      <c r="Z559" s="456">
        <v>47013</v>
      </c>
      <c r="AA559" s="731">
        <v>46989</v>
      </c>
      <c r="AB559" s="456">
        <v>51231</v>
      </c>
      <c r="AC559" s="731">
        <v>35110</v>
      </c>
      <c r="AD559" s="456">
        <v>53473</v>
      </c>
      <c r="AE559" s="731">
        <v>58321</v>
      </c>
      <c r="AF559" s="449">
        <f t="shared" si="183"/>
        <v>196213</v>
      </c>
      <c r="AG559" s="450">
        <f t="shared" si="184"/>
        <v>218.01444444444445</v>
      </c>
      <c r="AH559" s="451">
        <f t="shared" si="185"/>
        <v>179239</v>
      </c>
      <c r="AI559" s="451">
        <f t="shared" si="186"/>
        <v>199.15444444444444</v>
      </c>
      <c r="AJ559" s="456"/>
      <c r="AK559" s="493"/>
      <c r="AL559" s="449">
        <f t="shared" si="187"/>
        <v>0</v>
      </c>
      <c r="AM559" s="452">
        <f t="shared" si="188"/>
        <v>0</v>
      </c>
      <c r="AN559" s="456"/>
      <c r="AO559" s="493"/>
      <c r="AP559" s="456"/>
      <c r="AQ559" s="733"/>
      <c r="AR559" s="456"/>
      <c r="AS559" s="733"/>
      <c r="AT559" s="456"/>
      <c r="AU559" s="733"/>
      <c r="AV559" s="449">
        <f t="shared" si="189"/>
        <v>0</v>
      </c>
      <c r="AW559" s="453">
        <f t="shared" si="190"/>
        <v>0</v>
      </c>
      <c r="AX559" s="451">
        <f t="shared" si="191"/>
        <v>0</v>
      </c>
      <c r="AY559" s="454">
        <f t="shared" si="192"/>
        <v>0</v>
      </c>
      <c r="AZ559" s="455">
        <f t="shared" si="193"/>
        <v>7330.7811111111105</v>
      </c>
      <c r="BA559" s="451">
        <f t="shared" si="194"/>
        <v>6935.7877777777776</v>
      </c>
    </row>
    <row r="560" spans="1:53">
      <c r="A560" s="594" t="s">
        <v>234</v>
      </c>
      <c r="B560" s="746" t="s">
        <v>794</v>
      </c>
      <c r="C560" s="740"/>
      <c r="D560" s="735">
        <v>224110</v>
      </c>
      <c r="E560" s="707">
        <v>8</v>
      </c>
      <c r="F560" s="491" t="s">
        <v>41</v>
      </c>
      <c r="G560" s="492"/>
      <c r="H560" s="456">
        <v>80363</v>
      </c>
      <c r="I560" s="493">
        <v>78630</v>
      </c>
      <c r="J560" s="456">
        <v>24674</v>
      </c>
      <c r="K560" s="731">
        <v>24398</v>
      </c>
      <c r="L560" s="456">
        <v>0</v>
      </c>
      <c r="M560" s="733">
        <v>0</v>
      </c>
      <c r="N560" s="456">
        <v>83580</v>
      </c>
      <c r="O560" s="732">
        <v>76457</v>
      </c>
      <c r="P560" s="449">
        <f t="shared" si="177"/>
        <v>188617</v>
      </c>
      <c r="Q560" s="450">
        <f t="shared" si="178"/>
        <v>6287.2333333333336</v>
      </c>
      <c r="R560" s="451">
        <f t="shared" si="179"/>
        <v>179485</v>
      </c>
      <c r="S560" s="452">
        <f t="shared" si="180"/>
        <v>5982.833333333333</v>
      </c>
      <c r="T560" s="456">
        <v>17801</v>
      </c>
      <c r="U560" s="731">
        <v>16147</v>
      </c>
      <c r="V560" s="449">
        <f t="shared" si="181"/>
        <v>188617</v>
      </c>
      <c r="W560" s="448">
        <f t="shared" si="182"/>
        <v>179485</v>
      </c>
      <c r="X560" s="456">
        <v>25462</v>
      </c>
      <c r="Y560" s="731">
        <v>17319</v>
      </c>
      <c r="Z560" s="456">
        <v>13858</v>
      </c>
      <c r="AA560" s="731">
        <v>7251</v>
      </c>
      <c r="AB560" s="456">
        <v>22816</v>
      </c>
      <c r="AC560" s="731">
        <v>10154</v>
      </c>
      <c r="AD560" s="456">
        <v>28863</v>
      </c>
      <c r="AE560" s="731">
        <v>19576</v>
      </c>
      <c r="AF560" s="449">
        <f t="shared" si="183"/>
        <v>90999</v>
      </c>
      <c r="AG560" s="450">
        <f t="shared" si="184"/>
        <v>101.11</v>
      </c>
      <c r="AH560" s="451">
        <f t="shared" si="185"/>
        <v>54300</v>
      </c>
      <c r="AI560" s="451">
        <f t="shared" si="186"/>
        <v>60.333333333333336</v>
      </c>
      <c r="AJ560" s="456"/>
      <c r="AK560" s="493"/>
      <c r="AL560" s="449">
        <f t="shared" si="187"/>
        <v>0</v>
      </c>
      <c r="AM560" s="452">
        <f t="shared" si="188"/>
        <v>0</v>
      </c>
      <c r="AN560" s="456"/>
      <c r="AO560" s="493"/>
      <c r="AP560" s="456"/>
      <c r="AQ560" s="733"/>
      <c r="AR560" s="456"/>
      <c r="AS560" s="733"/>
      <c r="AT560" s="456"/>
      <c r="AU560" s="733"/>
      <c r="AV560" s="449">
        <f t="shared" si="189"/>
        <v>0</v>
      </c>
      <c r="AW560" s="453">
        <f t="shared" si="190"/>
        <v>0</v>
      </c>
      <c r="AX560" s="451">
        <f t="shared" si="191"/>
        <v>0</v>
      </c>
      <c r="AY560" s="454">
        <f t="shared" si="192"/>
        <v>0</v>
      </c>
      <c r="AZ560" s="455">
        <f t="shared" si="193"/>
        <v>6388.3433333333332</v>
      </c>
      <c r="BA560" s="451">
        <f t="shared" si="194"/>
        <v>6043.1666666666661</v>
      </c>
    </row>
    <row r="561" spans="1:53">
      <c r="A561" s="594" t="s">
        <v>234</v>
      </c>
      <c r="B561" s="744" t="s">
        <v>795</v>
      </c>
      <c r="C561" s="743"/>
      <c r="D561" s="729">
        <v>227191</v>
      </c>
      <c r="E561" s="730">
        <v>8</v>
      </c>
      <c r="F561" s="491" t="s">
        <v>41</v>
      </c>
      <c r="G561" s="492"/>
      <c r="H561" s="456">
        <v>71263</v>
      </c>
      <c r="I561" s="493">
        <v>68132</v>
      </c>
      <c r="J561" s="456">
        <v>43865</v>
      </c>
      <c r="K561" s="731">
        <v>42220</v>
      </c>
      <c r="L561" s="456">
        <v>0</v>
      </c>
      <c r="M561" s="733">
        <v>0</v>
      </c>
      <c r="N561" s="456">
        <v>60791</v>
      </c>
      <c r="O561" s="732">
        <v>57340</v>
      </c>
      <c r="P561" s="449">
        <f t="shared" si="177"/>
        <v>175919</v>
      </c>
      <c r="Q561" s="450">
        <f t="shared" si="178"/>
        <v>5863.9666666666662</v>
      </c>
      <c r="R561" s="451">
        <f t="shared" si="179"/>
        <v>167692</v>
      </c>
      <c r="S561" s="452">
        <f t="shared" si="180"/>
        <v>5589.7333333333336</v>
      </c>
      <c r="T561" s="456">
        <v>9413</v>
      </c>
      <c r="U561" s="731">
        <v>9762</v>
      </c>
      <c r="V561" s="449">
        <f t="shared" si="181"/>
        <v>175919</v>
      </c>
      <c r="W561" s="448">
        <f t="shared" si="182"/>
        <v>167692</v>
      </c>
      <c r="X561" s="456">
        <v>126657</v>
      </c>
      <c r="Y561" s="731">
        <v>133503</v>
      </c>
      <c r="Z561" s="456">
        <v>59743</v>
      </c>
      <c r="AA561" s="731">
        <v>132114</v>
      </c>
      <c r="AB561" s="456">
        <v>77419</v>
      </c>
      <c r="AC561" s="731">
        <v>103195</v>
      </c>
      <c r="AD561" s="456">
        <v>183545</v>
      </c>
      <c r="AE561" s="731">
        <v>216893</v>
      </c>
      <c r="AF561" s="449">
        <f t="shared" si="183"/>
        <v>447364</v>
      </c>
      <c r="AG561" s="450">
        <f t="shared" si="184"/>
        <v>497.07111111111112</v>
      </c>
      <c r="AH561" s="451">
        <f t="shared" si="185"/>
        <v>585705</v>
      </c>
      <c r="AI561" s="451">
        <f t="shared" si="186"/>
        <v>650.7833333333333</v>
      </c>
      <c r="AJ561" s="456"/>
      <c r="AK561" s="493"/>
      <c r="AL561" s="449">
        <f t="shared" si="187"/>
        <v>0</v>
      </c>
      <c r="AM561" s="452">
        <f t="shared" si="188"/>
        <v>0</v>
      </c>
      <c r="AN561" s="456"/>
      <c r="AO561" s="493"/>
      <c r="AP561" s="456"/>
      <c r="AQ561" s="733"/>
      <c r="AR561" s="456"/>
      <c r="AS561" s="733"/>
      <c r="AT561" s="456"/>
      <c r="AU561" s="733"/>
      <c r="AV561" s="449">
        <f t="shared" si="189"/>
        <v>0</v>
      </c>
      <c r="AW561" s="453">
        <f t="shared" si="190"/>
        <v>0</v>
      </c>
      <c r="AX561" s="451">
        <f t="shared" si="191"/>
        <v>0</v>
      </c>
      <c r="AY561" s="454">
        <f t="shared" si="192"/>
        <v>0</v>
      </c>
      <c r="AZ561" s="455">
        <f t="shared" si="193"/>
        <v>6361.0377777777776</v>
      </c>
      <c r="BA561" s="451">
        <f t="shared" si="194"/>
        <v>6240.5166666666664</v>
      </c>
    </row>
    <row r="562" spans="1:53">
      <c r="A562" s="594" t="s">
        <v>234</v>
      </c>
      <c r="B562" s="747" t="s">
        <v>796</v>
      </c>
      <c r="C562" s="743"/>
      <c r="D562" s="729">
        <v>420398</v>
      </c>
      <c r="E562" s="730">
        <v>8</v>
      </c>
      <c r="F562" s="491" t="s">
        <v>41</v>
      </c>
      <c r="G562" s="492"/>
      <c r="H562" s="456">
        <v>121246</v>
      </c>
      <c r="I562" s="493">
        <v>121549</v>
      </c>
      <c r="J562" s="456">
        <v>40838</v>
      </c>
      <c r="K562" s="731">
        <v>42171</v>
      </c>
      <c r="L562" s="456">
        <v>0</v>
      </c>
      <c r="M562" s="733">
        <v>0</v>
      </c>
      <c r="N562" s="456">
        <v>119242</v>
      </c>
      <c r="O562" s="732">
        <v>126459</v>
      </c>
      <c r="P562" s="449">
        <f t="shared" si="177"/>
        <v>281326</v>
      </c>
      <c r="Q562" s="450">
        <f t="shared" si="178"/>
        <v>9377.5333333333328</v>
      </c>
      <c r="R562" s="451">
        <f t="shared" si="179"/>
        <v>290179</v>
      </c>
      <c r="S562" s="452">
        <f t="shared" si="180"/>
        <v>9672.6333333333332</v>
      </c>
      <c r="T562" s="456">
        <v>25779</v>
      </c>
      <c r="U562" s="731">
        <v>29434</v>
      </c>
      <c r="V562" s="449">
        <f t="shared" si="181"/>
        <v>281326</v>
      </c>
      <c r="W562" s="448">
        <f t="shared" si="182"/>
        <v>290179</v>
      </c>
      <c r="X562" s="456">
        <v>11580</v>
      </c>
      <c r="Y562" s="731">
        <v>13052</v>
      </c>
      <c r="Z562" s="456">
        <v>20611</v>
      </c>
      <c r="AA562" s="731">
        <v>22794</v>
      </c>
      <c r="AB562" s="456">
        <v>18893</v>
      </c>
      <c r="AC562" s="731">
        <v>22328</v>
      </c>
      <c r="AD562" s="456">
        <v>19323</v>
      </c>
      <c r="AE562" s="731">
        <v>16037</v>
      </c>
      <c r="AF562" s="449">
        <f t="shared" si="183"/>
        <v>70407</v>
      </c>
      <c r="AG562" s="450">
        <f t="shared" si="184"/>
        <v>78.23</v>
      </c>
      <c r="AH562" s="451">
        <f t="shared" si="185"/>
        <v>74211</v>
      </c>
      <c r="AI562" s="451">
        <f t="shared" si="186"/>
        <v>82.456666666666663</v>
      </c>
      <c r="AJ562" s="456"/>
      <c r="AK562" s="493"/>
      <c r="AL562" s="449">
        <f t="shared" si="187"/>
        <v>0</v>
      </c>
      <c r="AM562" s="452">
        <f t="shared" si="188"/>
        <v>0</v>
      </c>
      <c r="AN562" s="456"/>
      <c r="AO562" s="493"/>
      <c r="AP562" s="456"/>
      <c r="AQ562" s="733"/>
      <c r="AR562" s="456"/>
      <c r="AS562" s="733"/>
      <c r="AT562" s="456"/>
      <c r="AU562" s="733"/>
      <c r="AV562" s="449">
        <f t="shared" si="189"/>
        <v>0</v>
      </c>
      <c r="AW562" s="453">
        <f t="shared" si="190"/>
        <v>0</v>
      </c>
      <c r="AX562" s="451">
        <f t="shared" si="191"/>
        <v>0</v>
      </c>
      <c r="AY562" s="454">
        <f t="shared" si="192"/>
        <v>0</v>
      </c>
      <c r="AZ562" s="455">
        <f t="shared" si="193"/>
        <v>9455.7633333333324</v>
      </c>
      <c r="BA562" s="451">
        <f t="shared" si="194"/>
        <v>9755.09</v>
      </c>
    </row>
    <row r="563" spans="1:53">
      <c r="A563" s="594" t="s">
        <v>234</v>
      </c>
      <c r="B563" s="747" t="s">
        <v>797</v>
      </c>
      <c r="C563" s="598" t="s">
        <v>683</v>
      </c>
      <c r="D563" s="729">
        <v>246354</v>
      </c>
      <c r="E563" s="730">
        <v>8</v>
      </c>
      <c r="F563" s="491" t="s">
        <v>41</v>
      </c>
      <c r="G563" s="492"/>
      <c r="H563" s="456">
        <v>62622</v>
      </c>
      <c r="I563" s="493">
        <v>62146</v>
      </c>
      <c r="J563" s="456">
        <v>26685</v>
      </c>
      <c r="K563" s="731">
        <v>27960</v>
      </c>
      <c r="L563" s="456">
        <v>0</v>
      </c>
      <c r="M563" s="733">
        <v>0</v>
      </c>
      <c r="N563" s="456">
        <v>56204</v>
      </c>
      <c r="O563" s="732">
        <v>56708</v>
      </c>
      <c r="P563" s="449">
        <f t="shared" si="177"/>
        <v>145511</v>
      </c>
      <c r="Q563" s="450">
        <f t="shared" si="178"/>
        <v>4850.3666666666668</v>
      </c>
      <c r="R563" s="451">
        <f t="shared" si="179"/>
        <v>146814</v>
      </c>
      <c r="S563" s="452">
        <f t="shared" si="180"/>
        <v>4893.8</v>
      </c>
      <c r="T563" s="456">
        <v>14575</v>
      </c>
      <c r="U563" s="731">
        <v>15970</v>
      </c>
      <c r="V563" s="449">
        <f t="shared" si="181"/>
        <v>145511</v>
      </c>
      <c r="W563" s="448">
        <f t="shared" si="182"/>
        <v>146814</v>
      </c>
      <c r="X563" s="456">
        <v>35859</v>
      </c>
      <c r="Y563" s="731">
        <v>8340</v>
      </c>
      <c r="Z563" s="456">
        <v>39324</v>
      </c>
      <c r="AA563" s="731">
        <v>9478</v>
      </c>
      <c r="AB563" s="456">
        <v>39426</v>
      </c>
      <c r="AC563" s="731">
        <v>2832</v>
      </c>
      <c r="AD563" s="456">
        <v>17034</v>
      </c>
      <c r="AE563" s="731">
        <v>16524</v>
      </c>
      <c r="AF563" s="449">
        <f t="shared" si="183"/>
        <v>131643</v>
      </c>
      <c r="AG563" s="450">
        <f t="shared" si="184"/>
        <v>146.27000000000001</v>
      </c>
      <c r="AH563" s="451">
        <f t="shared" si="185"/>
        <v>37174</v>
      </c>
      <c r="AI563" s="451">
        <f t="shared" si="186"/>
        <v>41.304444444444442</v>
      </c>
      <c r="AJ563" s="456"/>
      <c r="AK563" s="493"/>
      <c r="AL563" s="449">
        <f t="shared" si="187"/>
        <v>0</v>
      </c>
      <c r="AM563" s="452">
        <f t="shared" si="188"/>
        <v>0</v>
      </c>
      <c r="AN563" s="456"/>
      <c r="AO563" s="493"/>
      <c r="AP563" s="456"/>
      <c r="AQ563" s="733"/>
      <c r="AR563" s="456"/>
      <c r="AS563" s="733"/>
      <c r="AT563" s="456"/>
      <c r="AU563" s="733"/>
      <c r="AV563" s="449">
        <f t="shared" si="189"/>
        <v>0</v>
      </c>
      <c r="AW563" s="453">
        <f t="shared" si="190"/>
        <v>0</v>
      </c>
      <c r="AX563" s="451">
        <f t="shared" si="191"/>
        <v>0</v>
      </c>
      <c r="AY563" s="454">
        <f t="shared" si="192"/>
        <v>0</v>
      </c>
      <c r="AZ563" s="455">
        <f t="shared" si="193"/>
        <v>4996.6366666666672</v>
      </c>
      <c r="BA563" s="451">
        <f t="shared" si="194"/>
        <v>4935.1044444444442</v>
      </c>
    </row>
    <row r="564" spans="1:53">
      <c r="A564" s="594" t="s">
        <v>234</v>
      </c>
      <c r="B564" s="744" t="s">
        <v>798</v>
      </c>
      <c r="C564" s="743"/>
      <c r="D564" s="729">
        <v>227766</v>
      </c>
      <c r="E564" s="730">
        <v>8</v>
      </c>
      <c r="F564" s="491" t="s">
        <v>41</v>
      </c>
      <c r="G564" s="492"/>
      <c r="H564" s="456">
        <v>135958</v>
      </c>
      <c r="I564" s="493">
        <v>135377</v>
      </c>
      <c r="J564" s="456">
        <v>76165</v>
      </c>
      <c r="K564" s="731">
        <v>74807</v>
      </c>
      <c r="L564" s="456">
        <v>0</v>
      </c>
      <c r="M564" s="733">
        <v>0</v>
      </c>
      <c r="N564" s="456">
        <v>110908</v>
      </c>
      <c r="O564" s="732">
        <v>112141</v>
      </c>
      <c r="P564" s="449">
        <f t="shared" si="177"/>
        <v>323031</v>
      </c>
      <c r="Q564" s="450">
        <f t="shared" si="178"/>
        <v>10767.7</v>
      </c>
      <c r="R564" s="451">
        <f t="shared" si="179"/>
        <v>322325</v>
      </c>
      <c r="S564" s="452">
        <f t="shared" si="180"/>
        <v>10744.166666666666</v>
      </c>
      <c r="T564" s="456">
        <v>35938</v>
      </c>
      <c r="U564" s="731">
        <v>37140</v>
      </c>
      <c r="V564" s="449">
        <f t="shared" si="181"/>
        <v>323031</v>
      </c>
      <c r="W564" s="448">
        <f t="shared" si="182"/>
        <v>322325</v>
      </c>
      <c r="X564" s="456">
        <v>126204</v>
      </c>
      <c r="Y564" s="731">
        <v>133327</v>
      </c>
      <c r="Z564" s="456">
        <v>147080</v>
      </c>
      <c r="AA564" s="731">
        <v>158354</v>
      </c>
      <c r="AB564" s="456">
        <v>140590</v>
      </c>
      <c r="AC564" s="731">
        <v>150596</v>
      </c>
      <c r="AD564" s="456">
        <v>176506</v>
      </c>
      <c r="AE564" s="731">
        <v>196736</v>
      </c>
      <c r="AF564" s="449">
        <f t="shared" si="183"/>
        <v>590380</v>
      </c>
      <c r="AG564" s="450">
        <f t="shared" si="184"/>
        <v>655.97777777777776</v>
      </c>
      <c r="AH564" s="451">
        <f t="shared" si="185"/>
        <v>639013</v>
      </c>
      <c r="AI564" s="451">
        <f t="shared" si="186"/>
        <v>710.01444444444439</v>
      </c>
      <c r="AJ564" s="456"/>
      <c r="AK564" s="493"/>
      <c r="AL564" s="449">
        <f t="shared" si="187"/>
        <v>0</v>
      </c>
      <c r="AM564" s="452">
        <f t="shared" si="188"/>
        <v>0</v>
      </c>
      <c r="AN564" s="456"/>
      <c r="AO564" s="493"/>
      <c r="AP564" s="456"/>
      <c r="AQ564" s="733"/>
      <c r="AR564" s="456"/>
      <c r="AS564" s="733"/>
      <c r="AT564" s="456"/>
      <c r="AU564" s="733"/>
      <c r="AV564" s="449">
        <f t="shared" si="189"/>
        <v>0</v>
      </c>
      <c r="AW564" s="453">
        <f t="shared" si="190"/>
        <v>0</v>
      </c>
      <c r="AX564" s="451">
        <f t="shared" si="191"/>
        <v>0</v>
      </c>
      <c r="AY564" s="454">
        <f t="shared" si="192"/>
        <v>0</v>
      </c>
      <c r="AZ564" s="455">
        <f t="shared" si="193"/>
        <v>11423.677777777779</v>
      </c>
      <c r="BA564" s="451">
        <f t="shared" si="194"/>
        <v>11454.181111111111</v>
      </c>
    </row>
    <row r="565" spans="1:53">
      <c r="A565" s="597" t="s">
        <v>234</v>
      </c>
      <c r="B565" s="747" t="s">
        <v>799</v>
      </c>
      <c r="C565" s="743"/>
      <c r="D565" s="729">
        <v>227924</v>
      </c>
      <c r="E565" s="730">
        <v>8</v>
      </c>
      <c r="F565" s="491" t="s">
        <v>41</v>
      </c>
      <c r="G565" s="492"/>
      <c r="H565" s="456">
        <v>183914</v>
      </c>
      <c r="I565" s="493">
        <v>167140</v>
      </c>
      <c r="J565" s="456">
        <v>68187</v>
      </c>
      <c r="K565" s="731">
        <v>64441</v>
      </c>
      <c r="L565" s="456">
        <v>0</v>
      </c>
      <c r="M565" s="733">
        <v>0</v>
      </c>
      <c r="N565" s="456">
        <v>152037</v>
      </c>
      <c r="O565" s="732">
        <v>136780</v>
      </c>
      <c r="P565" s="449">
        <f t="shared" si="177"/>
        <v>404138</v>
      </c>
      <c r="Q565" s="450">
        <f t="shared" si="178"/>
        <v>13471.266666666666</v>
      </c>
      <c r="R565" s="451">
        <f t="shared" si="179"/>
        <v>368361</v>
      </c>
      <c r="S565" s="452">
        <f t="shared" si="180"/>
        <v>12278.7</v>
      </c>
      <c r="T565" s="456">
        <v>28000</v>
      </c>
      <c r="U565" s="731">
        <v>29763</v>
      </c>
      <c r="V565" s="449">
        <f t="shared" si="181"/>
        <v>404138</v>
      </c>
      <c r="W565" s="448">
        <f t="shared" si="182"/>
        <v>368361</v>
      </c>
      <c r="X565" s="456">
        <v>40761</v>
      </c>
      <c r="Y565" s="731">
        <v>64687</v>
      </c>
      <c r="Z565" s="456">
        <v>55164</v>
      </c>
      <c r="AA565" s="731">
        <v>58639</v>
      </c>
      <c r="AB565" s="456">
        <v>69059</v>
      </c>
      <c r="AC565" s="731">
        <v>55450</v>
      </c>
      <c r="AD565" s="456">
        <v>73909</v>
      </c>
      <c r="AE565" s="731">
        <v>48012</v>
      </c>
      <c r="AF565" s="449">
        <f t="shared" si="183"/>
        <v>238893</v>
      </c>
      <c r="AG565" s="450">
        <f t="shared" si="184"/>
        <v>265.43666666666667</v>
      </c>
      <c r="AH565" s="451">
        <f t="shared" si="185"/>
        <v>226788</v>
      </c>
      <c r="AI565" s="451">
        <f t="shared" si="186"/>
        <v>251.98666666666668</v>
      </c>
      <c r="AJ565" s="456"/>
      <c r="AK565" s="493"/>
      <c r="AL565" s="449">
        <f t="shared" si="187"/>
        <v>0</v>
      </c>
      <c r="AM565" s="452">
        <f t="shared" si="188"/>
        <v>0</v>
      </c>
      <c r="AN565" s="456"/>
      <c r="AO565" s="493"/>
      <c r="AP565" s="456"/>
      <c r="AQ565" s="733"/>
      <c r="AR565" s="456"/>
      <c r="AS565" s="733"/>
      <c r="AT565" s="456"/>
      <c r="AU565" s="733"/>
      <c r="AV565" s="449">
        <f t="shared" si="189"/>
        <v>0</v>
      </c>
      <c r="AW565" s="453">
        <f t="shared" si="190"/>
        <v>0</v>
      </c>
      <c r="AX565" s="451">
        <f t="shared" si="191"/>
        <v>0</v>
      </c>
      <c r="AY565" s="454">
        <f t="shared" si="192"/>
        <v>0</v>
      </c>
      <c r="AZ565" s="455">
        <f t="shared" si="193"/>
        <v>13736.703333333333</v>
      </c>
      <c r="BA565" s="451">
        <f t="shared" si="194"/>
        <v>12530.686666666668</v>
      </c>
    </row>
    <row r="566" spans="1:53">
      <c r="A566" s="597" t="s">
        <v>234</v>
      </c>
      <c r="B566" s="739" t="s">
        <v>800</v>
      </c>
      <c r="C566" s="743"/>
      <c r="D566" s="729">
        <v>227979</v>
      </c>
      <c r="E566" s="730">
        <v>8</v>
      </c>
      <c r="F566" s="491" t="s">
        <v>41</v>
      </c>
      <c r="G566" s="492"/>
      <c r="H566" s="456">
        <v>237007</v>
      </c>
      <c r="I566" s="493">
        <v>232986</v>
      </c>
      <c r="J566" s="456">
        <v>102176</v>
      </c>
      <c r="K566" s="731">
        <v>107137</v>
      </c>
      <c r="L566" s="456">
        <v>0</v>
      </c>
      <c r="M566" s="733">
        <v>0</v>
      </c>
      <c r="N566" s="456">
        <v>222313</v>
      </c>
      <c r="O566" s="732">
        <v>219630</v>
      </c>
      <c r="P566" s="449">
        <f t="shared" si="177"/>
        <v>561496</v>
      </c>
      <c r="Q566" s="450">
        <f t="shared" si="178"/>
        <v>18716.533333333333</v>
      </c>
      <c r="R566" s="451">
        <f t="shared" si="179"/>
        <v>559753</v>
      </c>
      <c r="S566" s="452">
        <f t="shared" si="180"/>
        <v>18658.433333333334</v>
      </c>
      <c r="T566" s="456">
        <v>33098</v>
      </c>
      <c r="U566" s="731">
        <v>39056</v>
      </c>
      <c r="V566" s="449">
        <f t="shared" si="181"/>
        <v>561496</v>
      </c>
      <c r="W566" s="448">
        <f t="shared" si="182"/>
        <v>559753</v>
      </c>
      <c r="X566" s="456">
        <v>86583</v>
      </c>
      <c r="Y566" s="731">
        <v>100816</v>
      </c>
      <c r="Z566" s="456">
        <v>55285</v>
      </c>
      <c r="AA566" s="731">
        <v>68733</v>
      </c>
      <c r="AB566" s="456">
        <v>72295</v>
      </c>
      <c r="AC566" s="731">
        <v>114969</v>
      </c>
      <c r="AD566" s="456">
        <v>108311</v>
      </c>
      <c r="AE566" s="731">
        <v>101482</v>
      </c>
      <c r="AF566" s="449">
        <f t="shared" si="183"/>
        <v>322474</v>
      </c>
      <c r="AG566" s="450">
        <f t="shared" si="184"/>
        <v>358.30444444444447</v>
      </c>
      <c r="AH566" s="451">
        <f t="shared" si="185"/>
        <v>386000</v>
      </c>
      <c r="AI566" s="451">
        <f t="shared" si="186"/>
        <v>428.88888888888891</v>
      </c>
      <c r="AJ566" s="456"/>
      <c r="AK566" s="493"/>
      <c r="AL566" s="449">
        <f t="shared" si="187"/>
        <v>0</v>
      </c>
      <c r="AM566" s="452">
        <f t="shared" si="188"/>
        <v>0</v>
      </c>
      <c r="AN566" s="456"/>
      <c r="AO566" s="493"/>
      <c r="AP566" s="456"/>
      <c r="AQ566" s="733"/>
      <c r="AR566" s="456"/>
      <c r="AS566" s="733"/>
      <c r="AT566" s="456"/>
      <c r="AU566" s="733"/>
      <c r="AV566" s="449">
        <f t="shared" si="189"/>
        <v>0</v>
      </c>
      <c r="AW566" s="453">
        <f t="shared" si="190"/>
        <v>0</v>
      </c>
      <c r="AX566" s="451">
        <f t="shared" si="191"/>
        <v>0</v>
      </c>
      <c r="AY566" s="454">
        <f t="shared" si="192"/>
        <v>0</v>
      </c>
      <c r="AZ566" s="455">
        <f t="shared" si="193"/>
        <v>19074.837777777779</v>
      </c>
      <c r="BA566" s="451">
        <f t="shared" si="194"/>
        <v>19087.322222222225</v>
      </c>
    </row>
    <row r="567" spans="1:53">
      <c r="A567" s="597" t="s">
        <v>234</v>
      </c>
      <c r="B567" s="739" t="s">
        <v>801</v>
      </c>
      <c r="C567" s="743"/>
      <c r="D567" s="729">
        <v>228158</v>
      </c>
      <c r="E567" s="730">
        <v>8</v>
      </c>
      <c r="F567" s="491" t="s">
        <v>41</v>
      </c>
      <c r="G567" s="492"/>
      <c r="H567" s="456">
        <v>85873</v>
      </c>
      <c r="I567" s="493">
        <v>86540</v>
      </c>
      <c r="J567" s="456">
        <v>13697</v>
      </c>
      <c r="K567" s="731">
        <v>13479</v>
      </c>
      <c r="L567" s="456">
        <v>6882</v>
      </c>
      <c r="M567" s="731">
        <v>6696</v>
      </c>
      <c r="N567" s="456">
        <v>93572</v>
      </c>
      <c r="O567" s="732">
        <v>90191</v>
      </c>
      <c r="P567" s="449">
        <f t="shared" si="177"/>
        <v>200024</v>
      </c>
      <c r="Q567" s="450">
        <f t="shared" si="178"/>
        <v>6667.4666666666662</v>
      </c>
      <c r="R567" s="451">
        <f t="shared" si="179"/>
        <v>196906</v>
      </c>
      <c r="S567" s="452">
        <f t="shared" si="180"/>
        <v>6563.5333333333338</v>
      </c>
      <c r="T567" s="456">
        <v>18078</v>
      </c>
      <c r="U567" s="731">
        <v>16574</v>
      </c>
      <c r="V567" s="449">
        <f t="shared" si="181"/>
        <v>200024</v>
      </c>
      <c r="W567" s="448">
        <f t="shared" si="182"/>
        <v>196906</v>
      </c>
      <c r="X567" s="456">
        <v>42860</v>
      </c>
      <c r="Y567" s="731">
        <v>54026</v>
      </c>
      <c r="Z567" s="456">
        <v>59755</v>
      </c>
      <c r="AA567" s="731">
        <v>62626</v>
      </c>
      <c r="AB567" s="456">
        <v>51848</v>
      </c>
      <c r="AC567" s="731">
        <v>54780</v>
      </c>
      <c r="AD567" s="456">
        <v>65397</v>
      </c>
      <c r="AE567" s="731">
        <v>71749</v>
      </c>
      <c r="AF567" s="449">
        <f t="shared" si="183"/>
        <v>219860</v>
      </c>
      <c r="AG567" s="450">
        <f t="shared" si="184"/>
        <v>244.28888888888889</v>
      </c>
      <c r="AH567" s="451">
        <f t="shared" si="185"/>
        <v>243181</v>
      </c>
      <c r="AI567" s="451">
        <f t="shared" si="186"/>
        <v>270.20111111111112</v>
      </c>
      <c r="AJ567" s="456"/>
      <c r="AK567" s="493"/>
      <c r="AL567" s="449">
        <f t="shared" si="187"/>
        <v>0</v>
      </c>
      <c r="AM567" s="452">
        <f t="shared" si="188"/>
        <v>0</v>
      </c>
      <c r="AN567" s="456"/>
      <c r="AO567" s="493"/>
      <c r="AP567" s="456"/>
      <c r="AQ567" s="733"/>
      <c r="AR567" s="456"/>
      <c r="AS567" s="733"/>
      <c r="AT567" s="456"/>
      <c r="AU567" s="733"/>
      <c r="AV567" s="449">
        <f t="shared" si="189"/>
        <v>0</v>
      </c>
      <c r="AW567" s="453">
        <f t="shared" si="190"/>
        <v>0</v>
      </c>
      <c r="AX567" s="451">
        <f t="shared" si="191"/>
        <v>0</v>
      </c>
      <c r="AY567" s="454">
        <f t="shared" si="192"/>
        <v>0</v>
      </c>
      <c r="AZ567" s="455">
        <f t="shared" si="193"/>
        <v>6911.7555555555555</v>
      </c>
      <c r="BA567" s="451">
        <f t="shared" si="194"/>
        <v>6833.7344444444452</v>
      </c>
    </row>
    <row r="568" spans="1:53">
      <c r="A568" s="597" t="s">
        <v>234</v>
      </c>
      <c r="B568" s="747" t="s">
        <v>802</v>
      </c>
      <c r="C568" s="743"/>
      <c r="D568" s="729">
        <v>227854</v>
      </c>
      <c r="E568" s="730">
        <v>8</v>
      </c>
      <c r="F568" s="491" t="s">
        <v>41</v>
      </c>
      <c r="G568" s="492"/>
      <c r="H568" s="456">
        <v>75400</v>
      </c>
      <c r="I568" s="493">
        <v>80150</v>
      </c>
      <c r="J568" s="456">
        <v>31386</v>
      </c>
      <c r="K568" s="731">
        <v>34872</v>
      </c>
      <c r="L568" s="456">
        <v>0</v>
      </c>
      <c r="M568" s="733">
        <v>0</v>
      </c>
      <c r="N568" s="456">
        <v>67031</v>
      </c>
      <c r="O568" s="732">
        <v>69848</v>
      </c>
      <c r="P568" s="449">
        <f t="shared" si="177"/>
        <v>173817</v>
      </c>
      <c r="Q568" s="450">
        <f t="shared" si="178"/>
        <v>5793.9</v>
      </c>
      <c r="R568" s="451">
        <f t="shared" si="179"/>
        <v>184870</v>
      </c>
      <c r="S568" s="452">
        <f t="shared" si="180"/>
        <v>6162.333333333333</v>
      </c>
      <c r="T568" s="456">
        <v>18269</v>
      </c>
      <c r="U568" s="731">
        <v>26669</v>
      </c>
      <c r="V568" s="449">
        <f t="shared" si="181"/>
        <v>173817</v>
      </c>
      <c r="W568" s="448">
        <f t="shared" si="182"/>
        <v>184870</v>
      </c>
      <c r="X568" s="456">
        <v>18274</v>
      </c>
      <c r="Y568" s="731">
        <v>35755</v>
      </c>
      <c r="Z568" s="456">
        <v>22232</v>
      </c>
      <c r="AA568" s="731">
        <v>33708</v>
      </c>
      <c r="AB568" s="456">
        <v>20209</v>
      </c>
      <c r="AC568" s="731">
        <v>32559</v>
      </c>
      <c r="AD568" s="456">
        <v>27477</v>
      </c>
      <c r="AE568" s="731">
        <v>28255</v>
      </c>
      <c r="AF568" s="449">
        <f t="shared" si="183"/>
        <v>88192</v>
      </c>
      <c r="AG568" s="450">
        <f t="shared" si="184"/>
        <v>97.99111111111111</v>
      </c>
      <c r="AH568" s="451">
        <f t="shared" si="185"/>
        <v>130277</v>
      </c>
      <c r="AI568" s="451">
        <f t="shared" si="186"/>
        <v>144.75222222222223</v>
      </c>
      <c r="AJ568" s="456"/>
      <c r="AK568" s="493"/>
      <c r="AL568" s="449">
        <f t="shared" si="187"/>
        <v>0</v>
      </c>
      <c r="AM568" s="452">
        <f t="shared" si="188"/>
        <v>0</v>
      </c>
      <c r="AN568" s="456"/>
      <c r="AO568" s="493"/>
      <c r="AP568" s="456"/>
      <c r="AQ568" s="733"/>
      <c r="AR568" s="456"/>
      <c r="AS568" s="733"/>
      <c r="AT568" s="456"/>
      <c r="AU568" s="733"/>
      <c r="AV568" s="449">
        <f t="shared" si="189"/>
        <v>0</v>
      </c>
      <c r="AW568" s="453">
        <f t="shared" si="190"/>
        <v>0</v>
      </c>
      <c r="AX568" s="451">
        <f t="shared" si="191"/>
        <v>0</v>
      </c>
      <c r="AY568" s="454">
        <f t="shared" si="192"/>
        <v>0</v>
      </c>
      <c r="AZ568" s="455">
        <f t="shared" si="193"/>
        <v>5891.8911111111111</v>
      </c>
      <c r="BA568" s="451">
        <f t="shared" si="194"/>
        <v>6307.0855555555554</v>
      </c>
    </row>
    <row r="569" spans="1:53">
      <c r="A569" s="597" t="s">
        <v>234</v>
      </c>
      <c r="B569" s="739" t="s">
        <v>803</v>
      </c>
      <c r="C569" s="743"/>
      <c r="D569" s="729">
        <v>228547</v>
      </c>
      <c r="E569" s="730">
        <v>8</v>
      </c>
      <c r="F569" s="491" t="s">
        <v>41</v>
      </c>
      <c r="G569" s="492"/>
      <c r="H569" s="456">
        <v>393671</v>
      </c>
      <c r="I569" s="493">
        <v>388247</v>
      </c>
      <c r="J569" s="456">
        <v>210796</v>
      </c>
      <c r="K569" s="731">
        <v>199216</v>
      </c>
      <c r="L569" s="456">
        <v>0</v>
      </c>
      <c r="M569" s="733">
        <v>0</v>
      </c>
      <c r="N569" s="456">
        <v>362706</v>
      </c>
      <c r="O569" s="732">
        <v>364906</v>
      </c>
      <c r="P569" s="449">
        <f t="shared" si="177"/>
        <v>967173</v>
      </c>
      <c r="Q569" s="450">
        <f t="shared" si="178"/>
        <v>32239.1</v>
      </c>
      <c r="R569" s="451">
        <f t="shared" si="179"/>
        <v>952369</v>
      </c>
      <c r="S569" s="452">
        <f t="shared" si="180"/>
        <v>31745.633333333335</v>
      </c>
      <c r="T569" s="456">
        <v>61116</v>
      </c>
      <c r="U569" s="731">
        <v>49687</v>
      </c>
      <c r="V569" s="449">
        <f t="shared" si="181"/>
        <v>967173</v>
      </c>
      <c r="W569" s="448">
        <f t="shared" si="182"/>
        <v>952369</v>
      </c>
      <c r="X569" s="456">
        <v>157768</v>
      </c>
      <c r="Y569" s="731">
        <v>200454</v>
      </c>
      <c r="Z569" s="456">
        <v>241323</v>
      </c>
      <c r="AA569" s="731">
        <v>190411</v>
      </c>
      <c r="AB569" s="456">
        <v>177499</v>
      </c>
      <c r="AC569" s="731">
        <v>186594</v>
      </c>
      <c r="AD569" s="456">
        <v>239440</v>
      </c>
      <c r="AE569" s="731">
        <v>225357</v>
      </c>
      <c r="AF569" s="449">
        <f t="shared" si="183"/>
        <v>816030</v>
      </c>
      <c r="AG569" s="450">
        <f t="shared" si="184"/>
        <v>906.7</v>
      </c>
      <c r="AH569" s="451">
        <f t="shared" si="185"/>
        <v>802816</v>
      </c>
      <c r="AI569" s="451">
        <f t="shared" si="186"/>
        <v>892.01777777777772</v>
      </c>
      <c r="AJ569" s="456"/>
      <c r="AK569" s="493"/>
      <c r="AL569" s="449">
        <f t="shared" si="187"/>
        <v>0</v>
      </c>
      <c r="AM569" s="452">
        <f t="shared" si="188"/>
        <v>0</v>
      </c>
      <c r="AN569" s="456"/>
      <c r="AO569" s="493"/>
      <c r="AP569" s="456"/>
      <c r="AQ569" s="733"/>
      <c r="AR569" s="456"/>
      <c r="AS569" s="733"/>
      <c r="AT569" s="456"/>
      <c r="AU569" s="733"/>
      <c r="AV569" s="449">
        <f t="shared" si="189"/>
        <v>0</v>
      </c>
      <c r="AW569" s="453">
        <f t="shared" si="190"/>
        <v>0</v>
      </c>
      <c r="AX569" s="451">
        <f t="shared" si="191"/>
        <v>0</v>
      </c>
      <c r="AY569" s="454">
        <f t="shared" si="192"/>
        <v>0</v>
      </c>
      <c r="AZ569" s="455">
        <f t="shared" si="193"/>
        <v>33145.799999999996</v>
      </c>
      <c r="BA569" s="451">
        <f t="shared" si="194"/>
        <v>32637.651111111114</v>
      </c>
    </row>
    <row r="570" spans="1:53">
      <c r="A570" s="597" t="s">
        <v>234</v>
      </c>
      <c r="B570" s="595" t="s">
        <v>804</v>
      </c>
      <c r="C570" s="737"/>
      <c r="D570" s="729">
        <v>225308</v>
      </c>
      <c r="E570" s="707">
        <v>8</v>
      </c>
      <c r="F570" s="491" t="s">
        <v>41</v>
      </c>
      <c r="G570" s="492"/>
      <c r="H570" s="456">
        <v>60952</v>
      </c>
      <c r="I570" s="493">
        <v>58850</v>
      </c>
      <c r="J570" s="456">
        <v>14005</v>
      </c>
      <c r="K570" s="731">
        <v>12876</v>
      </c>
      <c r="L570" s="456">
        <v>11834</v>
      </c>
      <c r="M570" s="731">
        <v>11288</v>
      </c>
      <c r="N570" s="456">
        <v>61545</v>
      </c>
      <c r="O570" s="732">
        <v>58858</v>
      </c>
      <c r="P570" s="449">
        <f t="shared" si="177"/>
        <v>148336</v>
      </c>
      <c r="Q570" s="450">
        <f t="shared" si="178"/>
        <v>4944.5333333333338</v>
      </c>
      <c r="R570" s="451">
        <f t="shared" si="179"/>
        <v>141872</v>
      </c>
      <c r="S570" s="452">
        <f t="shared" si="180"/>
        <v>4729.0666666666666</v>
      </c>
      <c r="T570" s="456">
        <v>16675</v>
      </c>
      <c r="U570" s="731">
        <v>22796</v>
      </c>
      <c r="V570" s="449">
        <f t="shared" si="181"/>
        <v>148336</v>
      </c>
      <c r="W570" s="448">
        <f t="shared" si="182"/>
        <v>141872</v>
      </c>
      <c r="X570" s="456">
        <v>36919</v>
      </c>
      <c r="Y570" s="731">
        <v>73122</v>
      </c>
      <c r="Z570" s="456">
        <v>39048</v>
      </c>
      <c r="AA570" s="731">
        <v>41052</v>
      </c>
      <c r="AB570" s="456">
        <v>83453</v>
      </c>
      <c r="AC570" s="731">
        <v>82730</v>
      </c>
      <c r="AD570" s="456">
        <v>70648</v>
      </c>
      <c r="AE570" s="731">
        <v>65378</v>
      </c>
      <c r="AF570" s="449">
        <f t="shared" si="183"/>
        <v>230068</v>
      </c>
      <c r="AG570" s="450">
        <f t="shared" si="184"/>
        <v>255.63111111111112</v>
      </c>
      <c r="AH570" s="451">
        <f t="shared" si="185"/>
        <v>262282</v>
      </c>
      <c r="AI570" s="451">
        <f t="shared" si="186"/>
        <v>291.42444444444442</v>
      </c>
      <c r="AJ570" s="456"/>
      <c r="AK570" s="493"/>
      <c r="AL570" s="449">
        <f t="shared" si="187"/>
        <v>0</v>
      </c>
      <c r="AM570" s="452">
        <f t="shared" si="188"/>
        <v>0</v>
      </c>
      <c r="AN570" s="456"/>
      <c r="AO570" s="493"/>
      <c r="AP570" s="456"/>
      <c r="AQ570" s="733"/>
      <c r="AR570" s="456"/>
      <c r="AS570" s="733"/>
      <c r="AT570" s="456"/>
      <c r="AU570" s="733"/>
      <c r="AV570" s="449">
        <f t="shared" si="189"/>
        <v>0</v>
      </c>
      <c r="AW570" s="453">
        <f t="shared" si="190"/>
        <v>0</v>
      </c>
      <c r="AX570" s="451">
        <f t="shared" si="191"/>
        <v>0</v>
      </c>
      <c r="AY570" s="454">
        <f t="shared" si="192"/>
        <v>0</v>
      </c>
      <c r="AZ570" s="455">
        <f t="shared" si="193"/>
        <v>5200.1644444444446</v>
      </c>
      <c r="BA570" s="451">
        <f t="shared" si="194"/>
        <v>5020.4911111111114</v>
      </c>
    </row>
    <row r="571" spans="1:53">
      <c r="A571" s="597" t="s">
        <v>234</v>
      </c>
      <c r="B571" s="739" t="s">
        <v>805</v>
      </c>
      <c r="C571" s="743"/>
      <c r="D571" s="729">
        <v>229355</v>
      </c>
      <c r="E571" s="730">
        <v>8</v>
      </c>
      <c r="F571" s="491" t="s">
        <v>41</v>
      </c>
      <c r="G571" s="492"/>
      <c r="H571" s="456">
        <v>103420</v>
      </c>
      <c r="I571" s="493">
        <v>103583</v>
      </c>
      <c r="J571" s="456">
        <v>27472</v>
      </c>
      <c r="K571" s="731">
        <v>25643</v>
      </c>
      <c r="L571" s="456">
        <v>7383</v>
      </c>
      <c r="M571" s="731">
        <v>7056</v>
      </c>
      <c r="N571" s="456">
        <v>99722</v>
      </c>
      <c r="O571" s="732">
        <v>96088</v>
      </c>
      <c r="P571" s="449">
        <f t="shared" si="177"/>
        <v>237997</v>
      </c>
      <c r="Q571" s="450">
        <f t="shared" si="178"/>
        <v>7933.2333333333336</v>
      </c>
      <c r="R571" s="451">
        <f t="shared" si="179"/>
        <v>232370</v>
      </c>
      <c r="S571" s="452">
        <f t="shared" si="180"/>
        <v>7745.666666666667</v>
      </c>
      <c r="T571" s="456">
        <v>18728</v>
      </c>
      <c r="U571" s="731">
        <v>19804</v>
      </c>
      <c r="V571" s="449">
        <f t="shared" si="181"/>
        <v>237997</v>
      </c>
      <c r="W571" s="448">
        <f t="shared" si="182"/>
        <v>232370</v>
      </c>
      <c r="X571" s="456">
        <v>55961</v>
      </c>
      <c r="Y571" s="731">
        <v>58370</v>
      </c>
      <c r="Z571" s="456">
        <v>55932</v>
      </c>
      <c r="AA571" s="731">
        <v>31229</v>
      </c>
      <c r="AB571" s="456">
        <v>60819</v>
      </c>
      <c r="AC571" s="731">
        <v>44245</v>
      </c>
      <c r="AD571" s="456">
        <v>54138</v>
      </c>
      <c r="AE571" s="731">
        <v>46697</v>
      </c>
      <c r="AF571" s="449">
        <f t="shared" si="183"/>
        <v>226850</v>
      </c>
      <c r="AG571" s="450">
        <f t="shared" si="184"/>
        <v>252.05555555555554</v>
      </c>
      <c r="AH571" s="451">
        <f t="shared" si="185"/>
        <v>180541</v>
      </c>
      <c r="AI571" s="451">
        <f t="shared" si="186"/>
        <v>200.60111111111112</v>
      </c>
      <c r="AJ571" s="456"/>
      <c r="AK571" s="493"/>
      <c r="AL571" s="449">
        <f t="shared" si="187"/>
        <v>0</v>
      </c>
      <c r="AM571" s="452">
        <f t="shared" si="188"/>
        <v>0</v>
      </c>
      <c r="AN571" s="456"/>
      <c r="AO571" s="493"/>
      <c r="AP571" s="456"/>
      <c r="AQ571" s="733"/>
      <c r="AR571" s="456"/>
      <c r="AS571" s="733"/>
      <c r="AT571" s="456"/>
      <c r="AU571" s="733"/>
      <c r="AV571" s="449">
        <f t="shared" si="189"/>
        <v>0</v>
      </c>
      <c r="AW571" s="453">
        <f t="shared" si="190"/>
        <v>0</v>
      </c>
      <c r="AX571" s="451">
        <f t="shared" si="191"/>
        <v>0</v>
      </c>
      <c r="AY571" s="454">
        <f t="shared" si="192"/>
        <v>0</v>
      </c>
      <c r="AZ571" s="455">
        <f t="shared" si="193"/>
        <v>8185.2888888888892</v>
      </c>
      <c r="BA571" s="451">
        <f t="shared" si="194"/>
        <v>7946.2677777777781</v>
      </c>
    </row>
    <row r="572" spans="1:53">
      <c r="A572" s="597" t="s">
        <v>234</v>
      </c>
      <c r="B572" s="739" t="s">
        <v>806</v>
      </c>
      <c r="C572" s="743"/>
      <c r="D572" s="729">
        <v>222567</v>
      </c>
      <c r="E572" s="730">
        <v>9</v>
      </c>
      <c r="F572" s="491" t="s">
        <v>41</v>
      </c>
      <c r="G572" s="492"/>
      <c r="H572" s="456">
        <v>40060</v>
      </c>
      <c r="I572" s="493">
        <v>39806</v>
      </c>
      <c r="J572" s="456">
        <v>18000</v>
      </c>
      <c r="K572" s="731">
        <v>17370</v>
      </c>
      <c r="L572" s="456">
        <v>0</v>
      </c>
      <c r="M572" s="733">
        <v>0</v>
      </c>
      <c r="N572" s="456">
        <v>39950</v>
      </c>
      <c r="O572" s="732">
        <v>40333</v>
      </c>
      <c r="P572" s="449">
        <f t="shared" si="177"/>
        <v>98010</v>
      </c>
      <c r="Q572" s="450">
        <f t="shared" si="178"/>
        <v>3267</v>
      </c>
      <c r="R572" s="451">
        <f t="shared" si="179"/>
        <v>97509</v>
      </c>
      <c r="S572" s="452">
        <f t="shared" si="180"/>
        <v>3250.3</v>
      </c>
      <c r="T572" s="456">
        <v>15234</v>
      </c>
      <c r="U572" s="731">
        <v>16792</v>
      </c>
      <c r="V572" s="449">
        <f t="shared" si="181"/>
        <v>98010</v>
      </c>
      <c r="W572" s="448">
        <f t="shared" si="182"/>
        <v>97509</v>
      </c>
      <c r="X572" s="456">
        <v>25126</v>
      </c>
      <c r="Y572" s="731">
        <v>32476</v>
      </c>
      <c r="Z572" s="456">
        <v>27785</v>
      </c>
      <c r="AA572" s="731">
        <v>30660</v>
      </c>
      <c r="AB572" s="456">
        <v>23173</v>
      </c>
      <c r="AC572" s="731">
        <v>35120</v>
      </c>
      <c r="AD572" s="456">
        <v>37041</v>
      </c>
      <c r="AE572" s="731">
        <v>23917</v>
      </c>
      <c r="AF572" s="449">
        <f t="shared" si="183"/>
        <v>113125</v>
      </c>
      <c r="AG572" s="450">
        <f t="shared" si="184"/>
        <v>125.69444444444444</v>
      </c>
      <c r="AH572" s="451">
        <f t="shared" si="185"/>
        <v>122173</v>
      </c>
      <c r="AI572" s="451">
        <f t="shared" si="186"/>
        <v>135.74777777777777</v>
      </c>
      <c r="AJ572" s="456"/>
      <c r="AK572" s="493"/>
      <c r="AL572" s="449">
        <f t="shared" si="187"/>
        <v>0</v>
      </c>
      <c r="AM572" s="452">
        <f t="shared" si="188"/>
        <v>0</v>
      </c>
      <c r="AN572" s="456"/>
      <c r="AO572" s="493"/>
      <c r="AP572" s="456"/>
      <c r="AQ572" s="733"/>
      <c r="AR572" s="456"/>
      <c r="AS572" s="733"/>
      <c r="AT572" s="456"/>
      <c r="AU572" s="733"/>
      <c r="AV572" s="449">
        <f t="shared" si="189"/>
        <v>0</v>
      </c>
      <c r="AW572" s="453">
        <f t="shared" si="190"/>
        <v>0</v>
      </c>
      <c r="AX572" s="451">
        <f t="shared" si="191"/>
        <v>0</v>
      </c>
      <c r="AY572" s="454">
        <f t="shared" si="192"/>
        <v>0</v>
      </c>
      <c r="AZ572" s="455">
        <f t="shared" si="193"/>
        <v>3392.6944444444443</v>
      </c>
      <c r="BA572" s="451">
        <f t="shared" si="194"/>
        <v>3386.0477777777778</v>
      </c>
    </row>
    <row r="573" spans="1:53">
      <c r="A573" s="597" t="s">
        <v>234</v>
      </c>
      <c r="B573" s="739" t="s">
        <v>807</v>
      </c>
      <c r="C573" s="743"/>
      <c r="D573" s="729">
        <v>222822</v>
      </c>
      <c r="E573" s="730">
        <v>9</v>
      </c>
      <c r="F573" s="491" t="s">
        <v>41</v>
      </c>
      <c r="G573" s="492"/>
      <c r="H573" s="456">
        <v>42311</v>
      </c>
      <c r="I573" s="493">
        <v>40585</v>
      </c>
      <c r="J573" s="456">
        <v>7862</v>
      </c>
      <c r="K573" s="731">
        <v>7499</v>
      </c>
      <c r="L573" s="456">
        <v>4053</v>
      </c>
      <c r="M573" s="731">
        <v>4345</v>
      </c>
      <c r="N573" s="456">
        <v>43565</v>
      </c>
      <c r="O573" s="732">
        <v>42371</v>
      </c>
      <c r="P573" s="449">
        <f t="shared" si="177"/>
        <v>97791</v>
      </c>
      <c r="Q573" s="450">
        <f t="shared" si="178"/>
        <v>3259.7</v>
      </c>
      <c r="R573" s="451">
        <f t="shared" si="179"/>
        <v>94800</v>
      </c>
      <c r="S573" s="452">
        <f t="shared" si="180"/>
        <v>3160</v>
      </c>
      <c r="T573" s="456">
        <v>14979</v>
      </c>
      <c r="U573" s="731">
        <v>15867</v>
      </c>
      <c r="V573" s="449">
        <f t="shared" si="181"/>
        <v>97791</v>
      </c>
      <c r="W573" s="448">
        <f t="shared" si="182"/>
        <v>94800</v>
      </c>
      <c r="X573" s="456">
        <v>46903</v>
      </c>
      <c r="Y573" s="731">
        <v>80767</v>
      </c>
      <c r="Z573" s="456">
        <v>46789</v>
      </c>
      <c r="AA573" s="731">
        <v>16796</v>
      </c>
      <c r="AB573" s="456">
        <v>79345</v>
      </c>
      <c r="AC573" s="731">
        <v>81471</v>
      </c>
      <c r="AD573" s="456">
        <v>42710</v>
      </c>
      <c r="AE573" s="731">
        <v>43712</v>
      </c>
      <c r="AF573" s="449">
        <f t="shared" si="183"/>
        <v>215747</v>
      </c>
      <c r="AG573" s="450">
        <f t="shared" si="184"/>
        <v>239.7188888888889</v>
      </c>
      <c r="AH573" s="451">
        <f t="shared" si="185"/>
        <v>222746</v>
      </c>
      <c r="AI573" s="451">
        <f t="shared" si="186"/>
        <v>247.49555555555557</v>
      </c>
      <c r="AJ573" s="456"/>
      <c r="AK573" s="493"/>
      <c r="AL573" s="449">
        <f t="shared" si="187"/>
        <v>0</v>
      </c>
      <c r="AM573" s="452">
        <f t="shared" si="188"/>
        <v>0</v>
      </c>
      <c r="AN573" s="456"/>
      <c r="AO573" s="493"/>
      <c r="AP573" s="456"/>
      <c r="AQ573" s="733"/>
      <c r="AR573" s="456"/>
      <c r="AS573" s="733"/>
      <c r="AT573" s="456"/>
      <c r="AU573" s="733"/>
      <c r="AV573" s="449">
        <f t="shared" si="189"/>
        <v>0</v>
      </c>
      <c r="AW573" s="453">
        <f t="shared" si="190"/>
        <v>0</v>
      </c>
      <c r="AX573" s="451">
        <f t="shared" si="191"/>
        <v>0</v>
      </c>
      <c r="AY573" s="454">
        <f t="shared" si="192"/>
        <v>0</v>
      </c>
      <c r="AZ573" s="455">
        <f t="shared" si="193"/>
        <v>3499.4188888888889</v>
      </c>
      <c r="BA573" s="451">
        <f t="shared" si="194"/>
        <v>3407.4955555555557</v>
      </c>
    </row>
    <row r="574" spans="1:53">
      <c r="A574" s="597" t="s">
        <v>234</v>
      </c>
      <c r="B574" s="748" t="s">
        <v>808</v>
      </c>
      <c r="C574" s="743"/>
      <c r="D574" s="729">
        <v>223773</v>
      </c>
      <c r="E574" s="730">
        <v>9</v>
      </c>
      <c r="F574" s="491" t="s">
        <v>41</v>
      </c>
      <c r="G574" s="492"/>
      <c r="H574" s="456">
        <v>44312</v>
      </c>
      <c r="I574" s="493">
        <v>43999</v>
      </c>
      <c r="J574" s="456">
        <v>22875</v>
      </c>
      <c r="K574" s="731">
        <v>25497</v>
      </c>
      <c r="L574" s="456">
        <v>0</v>
      </c>
      <c r="M574" s="733">
        <v>0</v>
      </c>
      <c r="N574" s="456">
        <v>36712</v>
      </c>
      <c r="O574" s="732">
        <v>37118</v>
      </c>
      <c r="P574" s="449">
        <f t="shared" si="177"/>
        <v>103899</v>
      </c>
      <c r="Q574" s="450">
        <f t="shared" si="178"/>
        <v>3463.3</v>
      </c>
      <c r="R574" s="451">
        <f t="shared" si="179"/>
        <v>106614</v>
      </c>
      <c r="S574" s="452">
        <f t="shared" si="180"/>
        <v>3553.8</v>
      </c>
      <c r="T574" s="456">
        <v>14767</v>
      </c>
      <c r="U574" s="731">
        <v>17439</v>
      </c>
      <c r="V574" s="449">
        <f t="shared" si="181"/>
        <v>103899</v>
      </c>
      <c r="W574" s="448">
        <f t="shared" si="182"/>
        <v>106614</v>
      </c>
      <c r="X574" s="456">
        <v>25955</v>
      </c>
      <c r="Y574" s="731">
        <v>42851</v>
      </c>
      <c r="Z574" s="456">
        <v>36752</v>
      </c>
      <c r="AA574" s="731">
        <v>48234</v>
      </c>
      <c r="AB574" s="456">
        <v>42779</v>
      </c>
      <c r="AC574" s="731">
        <v>33029</v>
      </c>
      <c r="AD574" s="456">
        <v>37631</v>
      </c>
      <c r="AE574" s="731">
        <v>68273</v>
      </c>
      <c r="AF574" s="449">
        <f t="shared" si="183"/>
        <v>143117</v>
      </c>
      <c r="AG574" s="450">
        <f t="shared" si="184"/>
        <v>159.01888888888888</v>
      </c>
      <c r="AH574" s="451">
        <f t="shared" si="185"/>
        <v>192387</v>
      </c>
      <c r="AI574" s="451">
        <f t="shared" si="186"/>
        <v>213.76333333333332</v>
      </c>
      <c r="AJ574" s="456"/>
      <c r="AK574" s="493"/>
      <c r="AL574" s="449">
        <f t="shared" si="187"/>
        <v>0</v>
      </c>
      <c r="AM574" s="452">
        <f t="shared" si="188"/>
        <v>0</v>
      </c>
      <c r="AN574" s="456"/>
      <c r="AO574" s="493"/>
      <c r="AP574" s="456"/>
      <c r="AQ574" s="733"/>
      <c r="AR574" s="456"/>
      <c r="AS574" s="733"/>
      <c r="AT574" s="456"/>
      <c r="AU574" s="733"/>
      <c r="AV574" s="449">
        <f t="shared" si="189"/>
        <v>0</v>
      </c>
      <c r="AW574" s="453">
        <f t="shared" si="190"/>
        <v>0</v>
      </c>
      <c r="AX574" s="451">
        <f t="shared" si="191"/>
        <v>0</v>
      </c>
      <c r="AY574" s="454">
        <f t="shared" si="192"/>
        <v>0</v>
      </c>
      <c r="AZ574" s="455">
        <f t="shared" si="193"/>
        <v>3622.318888888889</v>
      </c>
      <c r="BA574" s="451">
        <f t="shared" si="194"/>
        <v>3767.5633333333335</v>
      </c>
    </row>
    <row r="575" spans="1:53">
      <c r="A575" s="597" t="s">
        <v>234</v>
      </c>
      <c r="B575" s="739" t="s">
        <v>809</v>
      </c>
      <c r="C575" s="743"/>
      <c r="D575" s="729">
        <v>223898</v>
      </c>
      <c r="E575" s="730">
        <v>9</v>
      </c>
      <c r="F575" s="491" t="s">
        <v>41</v>
      </c>
      <c r="G575" s="492"/>
      <c r="H575" s="456">
        <v>33568</v>
      </c>
      <c r="I575" s="493">
        <v>32444</v>
      </c>
      <c r="J575" s="456">
        <v>5885</v>
      </c>
      <c r="K575" s="731">
        <v>5614</v>
      </c>
      <c r="L575" s="456">
        <v>1885</v>
      </c>
      <c r="M575" s="731">
        <v>1801</v>
      </c>
      <c r="N575" s="456">
        <v>33765</v>
      </c>
      <c r="O575" s="732">
        <v>31207</v>
      </c>
      <c r="P575" s="449">
        <f t="shared" si="177"/>
        <v>75103</v>
      </c>
      <c r="Q575" s="450">
        <f t="shared" si="178"/>
        <v>2503.4333333333334</v>
      </c>
      <c r="R575" s="451">
        <f t="shared" si="179"/>
        <v>71066</v>
      </c>
      <c r="S575" s="452">
        <f t="shared" si="180"/>
        <v>2368.8666666666668</v>
      </c>
      <c r="T575" s="456">
        <v>7846</v>
      </c>
      <c r="U575" s="731">
        <v>8040</v>
      </c>
      <c r="V575" s="449">
        <f t="shared" si="181"/>
        <v>75103</v>
      </c>
      <c r="W575" s="448">
        <f t="shared" si="182"/>
        <v>71066</v>
      </c>
      <c r="X575" s="456">
        <v>2040</v>
      </c>
      <c r="Y575" s="731">
        <v>1968</v>
      </c>
      <c r="Z575" s="456">
        <v>7352</v>
      </c>
      <c r="AA575" s="731">
        <v>4224</v>
      </c>
      <c r="AB575" s="456">
        <v>6652</v>
      </c>
      <c r="AC575" s="731">
        <v>2700</v>
      </c>
      <c r="AD575" s="456">
        <v>3672</v>
      </c>
      <c r="AE575" s="731">
        <v>7620</v>
      </c>
      <c r="AF575" s="449">
        <f t="shared" si="183"/>
        <v>19716</v>
      </c>
      <c r="AG575" s="450">
        <f t="shared" si="184"/>
        <v>21.906666666666666</v>
      </c>
      <c r="AH575" s="451">
        <f t="shared" si="185"/>
        <v>16512</v>
      </c>
      <c r="AI575" s="451">
        <f t="shared" si="186"/>
        <v>18.346666666666668</v>
      </c>
      <c r="AJ575" s="456"/>
      <c r="AK575" s="493"/>
      <c r="AL575" s="449">
        <f t="shared" si="187"/>
        <v>0</v>
      </c>
      <c r="AM575" s="452">
        <f t="shared" si="188"/>
        <v>0</v>
      </c>
      <c r="AN575" s="456"/>
      <c r="AO575" s="493"/>
      <c r="AP575" s="456"/>
      <c r="AQ575" s="733"/>
      <c r="AR575" s="456"/>
      <c r="AS575" s="733"/>
      <c r="AT575" s="456"/>
      <c r="AU575" s="733"/>
      <c r="AV575" s="449">
        <f t="shared" si="189"/>
        <v>0</v>
      </c>
      <c r="AW575" s="453">
        <f t="shared" si="190"/>
        <v>0</v>
      </c>
      <c r="AX575" s="451">
        <f t="shared" si="191"/>
        <v>0</v>
      </c>
      <c r="AY575" s="454">
        <f t="shared" si="192"/>
        <v>0</v>
      </c>
      <c r="AZ575" s="455">
        <f t="shared" si="193"/>
        <v>2525.34</v>
      </c>
      <c r="BA575" s="451">
        <f t="shared" si="194"/>
        <v>2387.2133333333336</v>
      </c>
    </row>
    <row r="576" spans="1:53">
      <c r="A576" s="597" t="s">
        <v>234</v>
      </c>
      <c r="B576" s="739" t="s">
        <v>810</v>
      </c>
      <c r="C576" s="743"/>
      <c r="D576" s="729">
        <v>223320</v>
      </c>
      <c r="E576" s="730">
        <v>9</v>
      </c>
      <c r="F576" s="491" t="s">
        <v>41</v>
      </c>
      <c r="G576" s="492"/>
      <c r="H576" s="456">
        <v>29193</v>
      </c>
      <c r="I576" s="493">
        <v>31051</v>
      </c>
      <c r="J576" s="456">
        <v>7157</v>
      </c>
      <c r="K576" s="731">
        <v>6445</v>
      </c>
      <c r="L576" s="456">
        <v>2010</v>
      </c>
      <c r="M576" s="731">
        <v>3212</v>
      </c>
      <c r="N576" s="456">
        <v>32315</v>
      </c>
      <c r="O576" s="732">
        <v>35280</v>
      </c>
      <c r="P576" s="449">
        <f t="shared" si="177"/>
        <v>70675</v>
      </c>
      <c r="Q576" s="450">
        <f t="shared" si="178"/>
        <v>2355.8333333333335</v>
      </c>
      <c r="R576" s="451">
        <f t="shared" si="179"/>
        <v>75988</v>
      </c>
      <c r="S576" s="452">
        <f t="shared" si="180"/>
        <v>2532.9333333333334</v>
      </c>
      <c r="T576" s="456">
        <v>9371</v>
      </c>
      <c r="U576" s="731">
        <v>13740</v>
      </c>
      <c r="V576" s="449">
        <f t="shared" si="181"/>
        <v>70675</v>
      </c>
      <c r="W576" s="448">
        <f t="shared" si="182"/>
        <v>75988</v>
      </c>
      <c r="X576" s="456">
        <v>42425</v>
      </c>
      <c r="Y576" s="731">
        <v>30553</v>
      </c>
      <c r="Z576" s="456">
        <v>85443</v>
      </c>
      <c r="AA576" s="731">
        <v>47851</v>
      </c>
      <c r="AB576" s="456">
        <v>60195</v>
      </c>
      <c r="AC576" s="731">
        <v>42918</v>
      </c>
      <c r="AD576" s="456">
        <v>29058</v>
      </c>
      <c r="AE576" s="731">
        <v>62204</v>
      </c>
      <c r="AF576" s="449">
        <f t="shared" si="183"/>
        <v>217121</v>
      </c>
      <c r="AG576" s="450">
        <f t="shared" si="184"/>
        <v>241.24555555555557</v>
      </c>
      <c r="AH576" s="451">
        <f t="shared" si="185"/>
        <v>183526</v>
      </c>
      <c r="AI576" s="451">
        <f t="shared" si="186"/>
        <v>203.91777777777779</v>
      </c>
      <c r="AJ576" s="456"/>
      <c r="AK576" s="493"/>
      <c r="AL576" s="449">
        <f t="shared" si="187"/>
        <v>0</v>
      </c>
      <c r="AM576" s="452">
        <f t="shared" si="188"/>
        <v>0</v>
      </c>
      <c r="AN576" s="456"/>
      <c r="AO576" s="493"/>
      <c r="AP576" s="456"/>
      <c r="AQ576" s="733"/>
      <c r="AR576" s="456"/>
      <c r="AS576" s="733"/>
      <c r="AT576" s="456"/>
      <c r="AU576" s="733"/>
      <c r="AV576" s="449">
        <f t="shared" si="189"/>
        <v>0</v>
      </c>
      <c r="AW576" s="453">
        <f t="shared" si="190"/>
        <v>0</v>
      </c>
      <c r="AX576" s="451">
        <f t="shared" si="191"/>
        <v>0</v>
      </c>
      <c r="AY576" s="454">
        <f t="shared" si="192"/>
        <v>0</v>
      </c>
      <c r="AZ576" s="455">
        <f t="shared" si="193"/>
        <v>2597.0788888888892</v>
      </c>
      <c r="BA576" s="451">
        <f t="shared" si="194"/>
        <v>2736.8511111111111</v>
      </c>
    </row>
    <row r="577" spans="1:53">
      <c r="A577" s="597" t="s">
        <v>234</v>
      </c>
      <c r="B577" s="739" t="s">
        <v>811</v>
      </c>
      <c r="C577" s="743"/>
      <c r="D577" s="729">
        <v>226408</v>
      </c>
      <c r="E577" s="730">
        <v>9</v>
      </c>
      <c r="F577" s="491" t="s">
        <v>41</v>
      </c>
      <c r="G577" s="492"/>
      <c r="H577" s="456">
        <v>33329</v>
      </c>
      <c r="I577" s="493">
        <v>32025</v>
      </c>
      <c r="J577" s="456">
        <v>8494</v>
      </c>
      <c r="K577" s="731">
        <v>7189</v>
      </c>
      <c r="L577" s="456">
        <v>6762</v>
      </c>
      <c r="M577" s="731">
        <v>6237</v>
      </c>
      <c r="N577" s="456">
        <v>30577</v>
      </c>
      <c r="O577" s="732">
        <v>30814</v>
      </c>
      <c r="P577" s="449">
        <f t="shared" si="177"/>
        <v>79162</v>
      </c>
      <c r="Q577" s="450">
        <f t="shared" si="178"/>
        <v>2638.7333333333331</v>
      </c>
      <c r="R577" s="451">
        <f t="shared" si="179"/>
        <v>76265</v>
      </c>
      <c r="S577" s="452">
        <f t="shared" si="180"/>
        <v>2542.1666666666665</v>
      </c>
      <c r="T577" s="456">
        <v>14087</v>
      </c>
      <c r="U577" s="731">
        <v>14165</v>
      </c>
      <c r="V577" s="449">
        <f t="shared" si="181"/>
        <v>79162</v>
      </c>
      <c r="W577" s="448">
        <f t="shared" si="182"/>
        <v>76265</v>
      </c>
      <c r="X577" s="456">
        <v>27232</v>
      </c>
      <c r="Y577" s="731">
        <v>46317</v>
      </c>
      <c r="Z577" s="456">
        <v>29172</v>
      </c>
      <c r="AA577" s="731">
        <v>23915</v>
      </c>
      <c r="AB577" s="456">
        <v>34974</v>
      </c>
      <c r="AC577" s="731">
        <v>34422</v>
      </c>
      <c r="AD577" s="456">
        <v>28486</v>
      </c>
      <c r="AE577" s="731">
        <v>19956</v>
      </c>
      <c r="AF577" s="449">
        <f t="shared" si="183"/>
        <v>119864</v>
      </c>
      <c r="AG577" s="450">
        <f t="shared" si="184"/>
        <v>133.18222222222221</v>
      </c>
      <c r="AH577" s="451">
        <f t="shared" si="185"/>
        <v>124610</v>
      </c>
      <c r="AI577" s="451">
        <f t="shared" si="186"/>
        <v>138.45555555555555</v>
      </c>
      <c r="AJ577" s="456"/>
      <c r="AK577" s="493"/>
      <c r="AL577" s="449">
        <f t="shared" si="187"/>
        <v>0</v>
      </c>
      <c r="AM577" s="452">
        <f t="shared" si="188"/>
        <v>0</v>
      </c>
      <c r="AN577" s="456"/>
      <c r="AO577" s="493"/>
      <c r="AP577" s="456"/>
      <c r="AQ577" s="733"/>
      <c r="AR577" s="456"/>
      <c r="AS577" s="733"/>
      <c r="AT577" s="456"/>
      <c r="AU577" s="733"/>
      <c r="AV577" s="449">
        <f t="shared" si="189"/>
        <v>0</v>
      </c>
      <c r="AW577" s="453">
        <f t="shared" si="190"/>
        <v>0</v>
      </c>
      <c r="AX577" s="451">
        <f t="shared" si="191"/>
        <v>0</v>
      </c>
      <c r="AY577" s="454">
        <f t="shared" si="192"/>
        <v>0</v>
      </c>
      <c r="AZ577" s="455">
        <f t="shared" si="193"/>
        <v>2771.9155555555553</v>
      </c>
      <c r="BA577" s="451">
        <f t="shared" si="194"/>
        <v>2680.6222222222223</v>
      </c>
    </row>
    <row r="578" spans="1:53">
      <c r="A578" s="597" t="s">
        <v>234</v>
      </c>
      <c r="B578" s="739" t="s">
        <v>812</v>
      </c>
      <c r="C578" s="743"/>
      <c r="D578" s="729">
        <v>225070</v>
      </c>
      <c r="E578" s="730">
        <v>9</v>
      </c>
      <c r="F578" s="491" t="s">
        <v>41</v>
      </c>
      <c r="G578" s="492"/>
      <c r="H578" s="456">
        <v>43095</v>
      </c>
      <c r="I578" s="493">
        <v>40085</v>
      </c>
      <c r="J578" s="456">
        <v>9040</v>
      </c>
      <c r="K578" s="731">
        <v>7662</v>
      </c>
      <c r="L578" s="456">
        <v>2461</v>
      </c>
      <c r="M578" s="731">
        <v>2816</v>
      </c>
      <c r="N578" s="456">
        <v>43465</v>
      </c>
      <c r="O578" s="732">
        <v>41111</v>
      </c>
      <c r="P578" s="449">
        <f t="shared" si="177"/>
        <v>98061</v>
      </c>
      <c r="Q578" s="450">
        <f t="shared" si="178"/>
        <v>3268.7</v>
      </c>
      <c r="R578" s="451">
        <f t="shared" si="179"/>
        <v>91674</v>
      </c>
      <c r="S578" s="452">
        <f t="shared" si="180"/>
        <v>3055.8</v>
      </c>
      <c r="T578" s="456">
        <v>7499</v>
      </c>
      <c r="U578" s="731">
        <v>8366</v>
      </c>
      <c r="V578" s="449">
        <f t="shared" si="181"/>
        <v>98061</v>
      </c>
      <c r="W578" s="448">
        <f t="shared" si="182"/>
        <v>91674</v>
      </c>
      <c r="X578" s="456">
        <v>15078</v>
      </c>
      <c r="Y578" s="731">
        <v>14929</v>
      </c>
      <c r="Z578" s="456">
        <v>16341</v>
      </c>
      <c r="AA578" s="731">
        <v>15581</v>
      </c>
      <c r="AB578" s="456">
        <v>17411</v>
      </c>
      <c r="AC578" s="731">
        <v>11852</v>
      </c>
      <c r="AD578" s="456">
        <v>17244</v>
      </c>
      <c r="AE578" s="731">
        <v>17688</v>
      </c>
      <c r="AF578" s="449">
        <f t="shared" si="183"/>
        <v>66074</v>
      </c>
      <c r="AG578" s="450">
        <f t="shared" si="184"/>
        <v>73.415555555555557</v>
      </c>
      <c r="AH578" s="451">
        <f t="shared" si="185"/>
        <v>60050</v>
      </c>
      <c r="AI578" s="451">
        <f t="shared" si="186"/>
        <v>66.722222222222229</v>
      </c>
      <c r="AJ578" s="456"/>
      <c r="AK578" s="493"/>
      <c r="AL578" s="449">
        <f t="shared" si="187"/>
        <v>0</v>
      </c>
      <c r="AM578" s="452">
        <f t="shared" si="188"/>
        <v>0</v>
      </c>
      <c r="AN578" s="456"/>
      <c r="AO578" s="493"/>
      <c r="AP578" s="456"/>
      <c r="AQ578" s="733"/>
      <c r="AR578" s="456"/>
      <c r="AS578" s="733"/>
      <c r="AT578" s="456"/>
      <c r="AU578" s="733"/>
      <c r="AV578" s="449">
        <f t="shared" si="189"/>
        <v>0</v>
      </c>
      <c r="AW578" s="453">
        <f t="shared" si="190"/>
        <v>0</v>
      </c>
      <c r="AX578" s="451">
        <f t="shared" si="191"/>
        <v>0</v>
      </c>
      <c r="AY578" s="454">
        <f t="shared" si="192"/>
        <v>0</v>
      </c>
      <c r="AZ578" s="455">
        <f t="shared" si="193"/>
        <v>3342.1155555555551</v>
      </c>
      <c r="BA578" s="451">
        <f t="shared" si="194"/>
        <v>3122.5222222222224</v>
      </c>
    </row>
    <row r="579" spans="1:53">
      <c r="A579" s="597" t="s">
        <v>234</v>
      </c>
      <c r="B579" s="739" t="s">
        <v>813</v>
      </c>
      <c r="C579" s="743"/>
      <c r="D579" s="729">
        <v>225371</v>
      </c>
      <c r="E579" s="730">
        <v>9</v>
      </c>
      <c r="F579" s="491" t="s">
        <v>41</v>
      </c>
      <c r="G579" s="492"/>
      <c r="H579" s="456">
        <v>37823</v>
      </c>
      <c r="I579" s="493">
        <v>34973</v>
      </c>
      <c r="J579" s="456">
        <v>9797</v>
      </c>
      <c r="K579" s="731">
        <v>7866</v>
      </c>
      <c r="L579" s="456">
        <v>2389</v>
      </c>
      <c r="M579" s="731">
        <v>2511</v>
      </c>
      <c r="N579" s="456">
        <v>36019</v>
      </c>
      <c r="O579" s="732">
        <v>34261</v>
      </c>
      <c r="P579" s="449">
        <f t="shared" si="177"/>
        <v>86028</v>
      </c>
      <c r="Q579" s="450">
        <f t="shared" si="178"/>
        <v>2867.6</v>
      </c>
      <c r="R579" s="451">
        <f t="shared" si="179"/>
        <v>79611</v>
      </c>
      <c r="S579" s="452">
        <f t="shared" si="180"/>
        <v>2653.7</v>
      </c>
      <c r="T579" s="456">
        <v>8995</v>
      </c>
      <c r="U579" s="731">
        <v>10006</v>
      </c>
      <c r="V579" s="449">
        <f t="shared" si="181"/>
        <v>86028</v>
      </c>
      <c r="W579" s="448">
        <f t="shared" si="182"/>
        <v>79611</v>
      </c>
      <c r="X579" s="456">
        <v>27226</v>
      </c>
      <c r="Y579" s="731">
        <v>33517</v>
      </c>
      <c r="Z579" s="456">
        <v>17008</v>
      </c>
      <c r="AA579" s="731">
        <v>25684</v>
      </c>
      <c r="AB579" s="456">
        <v>24594</v>
      </c>
      <c r="AC579" s="731">
        <v>16214</v>
      </c>
      <c r="AD579" s="456">
        <v>31001</v>
      </c>
      <c r="AE579" s="731">
        <v>25314</v>
      </c>
      <c r="AF579" s="449">
        <f t="shared" si="183"/>
        <v>99829</v>
      </c>
      <c r="AG579" s="450">
        <f t="shared" si="184"/>
        <v>110.92111111111112</v>
      </c>
      <c r="AH579" s="451">
        <f t="shared" si="185"/>
        <v>100729</v>
      </c>
      <c r="AI579" s="451">
        <f t="shared" si="186"/>
        <v>111.92111111111112</v>
      </c>
      <c r="AJ579" s="456"/>
      <c r="AK579" s="493"/>
      <c r="AL579" s="449">
        <f t="shared" si="187"/>
        <v>0</v>
      </c>
      <c r="AM579" s="452">
        <f t="shared" si="188"/>
        <v>0</v>
      </c>
      <c r="AN579" s="456"/>
      <c r="AO579" s="493"/>
      <c r="AP579" s="456"/>
      <c r="AQ579" s="733"/>
      <c r="AR579" s="456"/>
      <c r="AS579" s="733"/>
      <c r="AT579" s="456"/>
      <c r="AU579" s="733"/>
      <c r="AV579" s="449">
        <f t="shared" si="189"/>
        <v>0</v>
      </c>
      <c r="AW579" s="453">
        <f t="shared" si="190"/>
        <v>0</v>
      </c>
      <c r="AX579" s="451">
        <f t="shared" si="191"/>
        <v>0</v>
      </c>
      <c r="AY579" s="454">
        <f t="shared" si="192"/>
        <v>0</v>
      </c>
      <c r="AZ579" s="455">
        <f t="shared" si="193"/>
        <v>2978.5211111111112</v>
      </c>
      <c r="BA579" s="451">
        <f t="shared" si="194"/>
        <v>2765.6211111111111</v>
      </c>
    </row>
    <row r="580" spans="1:53">
      <c r="A580" s="597" t="s">
        <v>234</v>
      </c>
      <c r="B580" s="749" t="s">
        <v>814</v>
      </c>
      <c r="C580" s="743"/>
      <c r="D580" s="729">
        <v>225520</v>
      </c>
      <c r="E580" s="730">
        <v>9</v>
      </c>
      <c r="F580" s="491" t="s">
        <v>41</v>
      </c>
      <c r="G580" s="492"/>
      <c r="H580" s="456">
        <v>30120</v>
      </c>
      <c r="I580" s="493">
        <v>26056</v>
      </c>
      <c r="J580" s="456">
        <v>3224</v>
      </c>
      <c r="K580" s="731">
        <v>3688</v>
      </c>
      <c r="L580" s="456">
        <v>1703</v>
      </c>
      <c r="M580" s="731">
        <v>1600</v>
      </c>
      <c r="N580" s="456">
        <v>29394</v>
      </c>
      <c r="O580" s="732">
        <v>29553</v>
      </c>
      <c r="P580" s="449">
        <f t="shared" si="177"/>
        <v>64441</v>
      </c>
      <c r="Q580" s="450">
        <f t="shared" si="178"/>
        <v>2148.0333333333333</v>
      </c>
      <c r="R580" s="451">
        <f t="shared" si="179"/>
        <v>60897</v>
      </c>
      <c r="S580" s="452">
        <f t="shared" si="180"/>
        <v>2029.9</v>
      </c>
      <c r="T580" s="456">
        <v>16398</v>
      </c>
      <c r="U580" s="731">
        <v>17667</v>
      </c>
      <c r="V580" s="449">
        <f t="shared" si="181"/>
        <v>64441</v>
      </c>
      <c r="W580" s="448">
        <f t="shared" si="182"/>
        <v>60897</v>
      </c>
      <c r="X580" s="456">
        <v>173459</v>
      </c>
      <c r="Y580" s="731">
        <v>130658</v>
      </c>
      <c r="Z580" s="456">
        <v>172296</v>
      </c>
      <c r="AA580" s="731">
        <v>128260</v>
      </c>
      <c r="AB580" s="456">
        <v>152628</v>
      </c>
      <c r="AC580" s="731">
        <v>140947</v>
      </c>
      <c r="AD580" s="456">
        <v>166857</v>
      </c>
      <c r="AE580" s="731">
        <v>131190</v>
      </c>
      <c r="AF580" s="449">
        <f t="shared" si="183"/>
        <v>665240</v>
      </c>
      <c r="AG580" s="450">
        <f t="shared" si="184"/>
        <v>739.15555555555557</v>
      </c>
      <c r="AH580" s="451">
        <f t="shared" si="185"/>
        <v>531055</v>
      </c>
      <c r="AI580" s="451">
        <f t="shared" si="186"/>
        <v>590.06111111111113</v>
      </c>
      <c r="AJ580" s="456"/>
      <c r="AK580" s="493"/>
      <c r="AL580" s="449">
        <f t="shared" si="187"/>
        <v>0</v>
      </c>
      <c r="AM580" s="452">
        <f t="shared" si="188"/>
        <v>0</v>
      </c>
      <c r="AN580" s="456"/>
      <c r="AO580" s="493"/>
      <c r="AP580" s="456"/>
      <c r="AQ580" s="733"/>
      <c r="AR580" s="456"/>
      <c r="AS580" s="733"/>
      <c r="AT580" s="456"/>
      <c r="AU580" s="733"/>
      <c r="AV580" s="449">
        <f t="shared" si="189"/>
        <v>0</v>
      </c>
      <c r="AW580" s="453">
        <f t="shared" si="190"/>
        <v>0</v>
      </c>
      <c r="AX580" s="451">
        <f t="shared" si="191"/>
        <v>0</v>
      </c>
      <c r="AY580" s="454">
        <f t="shared" si="192"/>
        <v>0</v>
      </c>
      <c r="AZ580" s="455">
        <f t="shared" si="193"/>
        <v>2887.1888888888889</v>
      </c>
      <c r="BA580" s="451">
        <f t="shared" si="194"/>
        <v>2619.9611111111112</v>
      </c>
    </row>
    <row r="581" spans="1:53">
      <c r="A581" s="594" t="s">
        <v>234</v>
      </c>
      <c r="B581" s="739" t="s">
        <v>815</v>
      </c>
      <c r="C581" s="745"/>
      <c r="D581" s="741">
        <v>441760</v>
      </c>
      <c r="E581" s="742">
        <v>9</v>
      </c>
      <c r="F581" s="491" t="s">
        <v>41</v>
      </c>
      <c r="G581" s="492"/>
      <c r="H581" s="456">
        <v>26622</v>
      </c>
      <c r="I581" s="493">
        <v>25250</v>
      </c>
      <c r="J581" s="456">
        <v>5044</v>
      </c>
      <c r="K581" s="731">
        <v>5287</v>
      </c>
      <c r="L581" s="456">
        <v>0</v>
      </c>
      <c r="M581" s="733">
        <v>0</v>
      </c>
      <c r="N581" s="456">
        <v>27306</v>
      </c>
      <c r="O581" s="732">
        <v>28508</v>
      </c>
      <c r="P581" s="449">
        <f t="shared" si="177"/>
        <v>58972</v>
      </c>
      <c r="Q581" s="450">
        <f t="shared" si="178"/>
        <v>1965.7333333333333</v>
      </c>
      <c r="R581" s="451">
        <f t="shared" si="179"/>
        <v>59045</v>
      </c>
      <c r="S581" s="452">
        <f t="shared" si="180"/>
        <v>1968.1666666666667</v>
      </c>
      <c r="T581" s="456">
        <v>1150</v>
      </c>
      <c r="U581" s="733">
        <v>594</v>
      </c>
      <c r="V581" s="449">
        <f t="shared" si="181"/>
        <v>58972</v>
      </c>
      <c r="W581" s="448">
        <f t="shared" si="182"/>
        <v>59045</v>
      </c>
      <c r="X581" s="456">
        <v>25782</v>
      </c>
      <c r="Y581" s="731">
        <v>32443</v>
      </c>
      <c r="Z581" s="456">
        <v>36757</v>
      </c>
      <c r="AA581" s="731">
        <v>36368</v>
      </c>
      <c r="AB581" s="456">
        <v>31080</v>
      </c>
      <c r="AC581" s="731">
        <v>39479</v>
      </c>
      <c r="AD581" s="456">
        <v>35028</v>
      </c>
      <c r="AE581" s="731">
        <v>43894</v>
      </c>
      <c r="AF581" s="449">
        <f t="shared" si="183"/>
        <v>128647</v>
      </c>
      <c r="AG581" s="450">
        <f t="shared" si="184"/>
        <v>142.9411111111111</v>
      </c>
      <c r="AH581" s="451">
        <f t="shared" si="185"/>
        <v>152184</v>
      </c>
      <c r="AI581" s="451">
        <f t="shared" si="186"/>
        <v>169.09333333333333</v>
      </c>
      <c r="AJ581" s="456"/>
      <c r="AK581" s="493"/>
      <c r="AL581" s="449">
        <f t="shared" si="187"/>
        <v>0</v>
      </c>
      <c r="AM581" s="452">
        <f t="shared" si="188"/>
        <v>0</v>
      </c>
      <c r="AN581" s="456"/>
      <c r="AO581" s="493"/>
      <c r="AP581" s="456"/>
      <c r="AQ581" s="733"/>
      <c r="AR581" s="456"/>
      <c r="AS581" s="733"/>
      <c r="AT581" s="456"/>
      <c r="AU581" s="733"/>
      <c r="AV581" s="449">
        <f t="shared" si="189"/>
        <v>0</v>
      </c>
      <c r="AW581" s="453">
        <f t="shared" si="190"/>
        <v>0</v>
      </c>
      <c r="AX581" s="451">
        <f t="shared" si="191"/>
        <v>0</v>
      </c>
      <c r="AY581" s="454">
        <f t="shared" si="192"/>
        <v>0</v>
      </c>
      <c r="AZ581" s="455">
        <f t="shared" si="193"/>
        <v>2108.6744444444444</v>
      </c>
      <c r="BA581" s="451">
        <f t="shared" si="194"/>
        <v>2137.2600000000002</v>
      </c>
    </row>
    <row r="582" spans="1:53">
      <c r="A582" s="594" t="s">
        <v>234</v>
      </c>
      <c r="B582" s="739" t="s">
        <v>816</v>
      </c>
      <c r="C582" s="745" t="s">
        <v>316</v>
      </c>
      <c r="D582" s="741">
        <v>226116</v>
      </c>
      <c r="E582" s="742">
        <v>9</v>
      </c>
      <c r="F582" s="491" t="s">
        <v>41</v>
      </c>
      <c r="G582" s="492"/>
      <c r="H582" s="456">
        <v>19388</v>
      </c>
      <c r="I582" s="493">
        <v>17861</v>
      </c>
      <c r="J582" s="456">
        <v>6567</v>
      </c>
      <c r="K582" s="731">
        <v>3677</v>
      </c>
      <c r="L582" s="456">
        <v>1524</v>
      </c>
      <c r="M582" s="731">
        <v>1033</v>
      </c>
      <c r="N582" s="456">
        <v>18864</v>
      </c>
      <c r="O582" s="732">
        <v>16406</v>
      </c>
      <c r="P582" s="449">
        <f t="shared" si="177"/>
        <v>46343</v>
      </c>
      <c r="Q582" s="450">
        <f t="shared" si="178"/>
        <v>1544.7666666666667</v>
      </c>
      <c r="R582" s="451">
        <f t="shared" si="179"/>
        <v>38977</v>
      </c>
      <c r="S582" s="452">
        <f t="shared" si="180"/>
        <v>1299.2333333333333</v>
      </c>
      <c r="T582" s="456">
        <v>1872</v>
      </c>
      <c r="U582" s="731">
        <v>2044</v>
      </c>
      <c r="V582" s="449">
        <f t="shared" si="181"/>
        <v>46343</v>
      </c>
      <c r="W582" s="448">
        <f t="shared" si="182"/>
        <v>38977</v>
      </c>
      <c r="X582" s="456">
        <v>68928</v>
      </c>
      <c r="Y582" s="731">
        <v>37069</v>
      </c>
      <c r="Z582" s="456">
        <v>60032</v>
      </c>
      <c r="AA582" s="731">
        <v>111008</v>
      </c>
      <c r="AB582" s="456">
        <v>76256</v>
      </c>
      <c r="AC582" s="731">
        <v>33150</v>
      </c>
      <c r="AD582" s="456">
        <v>124928</v>
      </c>
      <c r="AE582" s="731">
        <v>116712</v>
      </c>
      <c r="AF582" s="449">
        <f t="shared" si="183"/>
        <v>330144</v>
      </c>
      <c r="AG582" s="450">
        <f t="shared" si="184"/>
        <v>366.82666666666665</v>
      </c>
      <c r="AH582" s="451">
        <f t="shared" si="185"/>
        <v>297939</v>
      </c>
      <c r="AI582" s="451">
        <f t="shared" si="186"/>
        <v>331.04333333333335</v>
      </c>
      <c r="AJ582" s="456"/>
      <c r="AK582" s="493"/>
      <c r="AL582" s="449">
        <f t="shared" si="187"/>
        <v>0</v>
      </c>
      <c r="AM582" s="452">
        <f t="shared" si="188"/>
        <v>0</v>
      </c>
      <c r="AN582" s="456"/>
      <c r="AO582" s="493"/>
      <c r="AP582" s="456"/>
      <c r="AQ582" s="733"/>
      <c r="AR582" s="456"/>
      <c r="AS582" s="733"/>
      <c r="AT582" s="456"/>
      <c r="AU582" s="733"/>
      <c r="AV582" s="449">
        <f t="shared" si="189"/>
        <v>0</v>
      </c>
      <c r="AW582" s="453">
        <f t="shared" si="190"/>
        <v>0</v>
      </c>
      <c r="AX582" s="451">
        <f t="shared" si="191"/>
        <v>0</v>
      </c>
      <c r="AY582" s="454">
        <f t="shared" si="192"/>
        <v>0</v>
      </c>
      <c r="AZ582" s="455">
        <f t="shared" si="193"/>
        <v>1911.5933333333332</v>
      </c>
      <c r="BA582" s="451">
        <f t="shared" si="194"/>
        <v>1630.2766666666666</v>
      </c>
    </row>
    <row r="583" spans="1:53">
      <c r="A583" s="594" t="s">
        <v>234</v>
      </c>
      <c r="B583" s="739" t="s">
        <v>817</v>
      </c>
      <c r="C583" s="743"/>
      <c r="D583" s="729">
        <v>226204</v>
      </c>
      <c r="E583" s="730">
        <v>9</v>
      </c>
      <c r="F583" s="491" t="s">
        <v>41</v>
      </c>
      <c r="G583" s="492"/>
      <c r="H583" s="456">
        <v>52220</v>
      </c>
      <c r="I583" s="493">
        <v>54083</v>
      </c>
      <c r="J583" s="456">
        <v>24424</v>
      </c>
      <c r="K583" s="731">
        <v>24513</v>
      </c>
      <c r="L583" s="456">
        <v>3533</v>
      </c>
      <c r="M583" s="731">
        <v>3064</v>
      </c>
      <c r="N583" s="456">
        <v>50800</v>
      </c>
      <c r="O583" s="732">
        <v>48328</v>
      </c>
      <c r="P583" s="449">
        <f t="shared" si="177"/>
        <v>130977</v>
      </c>
      <c r="Q583" s="450">
        <f t="shared" si="178"/>
        <v>4365.8999999999996</v>
      </c>
      <c r="R583" s="451">
        <f t="shared" si="179"/>
        <v>129988</v>
      </c>
      <c r="S583" s="452">
        <f t="shared" si="180"/>
        <v>4332.9333333333334</v>
      </c>
      <c r="T583" s="456">
        <v>11123</v>
      </c>
      <c r="U583" s="731">
        <v>13945</v>
      </c>
      <c r="V583" s="449">
        <f t="shared" si="181"/>
        <v>130977</v>
      </c>
      <c r="W583" s="448">
        <f t="shared" si="182"/>
        <v>129988</v>
      </c>
      <c r="X583" s="456">
        <v>18609</v>
      </c>
      <c r="Y583" s="731">
        <v>10710</v>
      </c>
      <c r="Z583" s="456">
        <v>13393</v>
      </c>
      <c r="AA583" s="731">
        <v>12122</v>
      </c>
      <c r="AB583" s="456">
        <v>19059</v>
      </c>
      <c r="AC583" s="731">
        <v>12554</v>
      </c>
      <c r="AD583" s="456">
        <v>20261</v>
      </c>
      <c r="AE583" s="731">
        <v>29938</v>
      </c>
      <c r="AF583" s="449">
        <f t="shared" si="183"/>
        <v>71322</v>
      </c>
      <c r="AG583" s="450">
        <f t="shared" si="184"/>
        <v>79.24666666666667</v>
      </c>
      <c r="AH583" s="451">
        <f t="shared" si="185"/>
        <v>65324</v>
      </c>
      <c r="AI583" s="451">
        <f t="shared" si="186"/>
        <v>72.582222222222228</v>
      </c>
      <c r="AJ583" s="456"/>
      <c r="AK583" s="493"/>
      <c r="AL583" s="449">
        <f t="shared" si="187"/>
        <v>0</v>
      </c>
      <c r="AM583" s="452">
        <f t="shared" si="188"/>
        <v>0</v>
      </c>
      <c r="AN583" s="456"/>
      <c r="AO583" s="493"/>
      <c r="AP583" s="456"/>
      <c r="AQ583" s="733"/>
      <c r="AR583" s="456"/>
      <c r="AS583" s="733"/>
      <c r="AT583" s="456"/>
      <c r="AU583" s="733"/>
      <c r="AV583" s="449">
        <f t="shared" si="189"/>
        <v>0</v>
      </c>
      <c r="AW583" s="453">
        <f t="shared" si="190"/>
        <v>0</v>
      </c>
      <c r="AX583" s="451">
        <f t="shared" si="191"/>
        <v>0</v>
      </c>
      <c r="AY583" s="454">
        <f t="shared" si="192"/>
        <v>0</v>
      </c>
      <c r="AZ583" s="455">
        <f t="shared" si="193"/>
        <v>4445.1466666666665</v>
      </c>
      <c r="BA583" s="451">
        <f t="shared" si="194"/>
        <v>4405.5155555555557</v>
      </c>
    </row>
    <row r="584" spans="1:53">
      <c r="A584" s="594" t="s">
        <v>234</v>
      </c>
      <c r="B584" s="748" t="s">
        <v>818</v>
      </c>
      <c r="C584" s="740"/>
      <c r="D584" s="729">
        <v>226930</v>
      </c>
      <c r="E584" s="730">
        <v>9</v>
      </c>
      <c r="F584" s="491" t="s">
        <v>41</v>
      </c>
      <c r="G584" s="492"/>
      <c r="H584" s="456">
        <v>56097</v>
      </c>
      <c r="I584" s="493">
        <v>54614</v>
      </c>
      <c r="J584" s="456">
        <v>28643</v>
      </c>
      <c r="K584" s="731">
        <v>32096</v>
      </c>
      <c r="L584" s="456">
        <v>0</v>
      </c>
      <c r="M584" s="733">
        <v>0</v>
      </c>
      <c r="N584" s="456">
        <v>54517</v>
      </c>
      <c r="O584" s="732">
        <v>57131</v>
      </c>
      <c r="P584" s="449">
        <f t="shared" ref="P584:P647" si="195">SUM(H584,J584,L584,N584)</f>
        <v>139257</v>
      </c>
      <c r="Q584" s="450">
        <f t="shared" ref="Q584:Q647" si="196">+P584/30</f>
        <v>4641.8999999999996</v>
      </c>
      <c r="R584" s="451">
        <f t="shared" ref="R584:R647" si="197">SUM(I584,K584,M584,O584)</f>
        <v>143841</v>
      </c>
      <c r="S584" s="452">
        <f t="shared" ref="S584:S647" si="198">+R584/30</f>
        <v>4794.7</v>
      </c>
      <c r="T584" s="456">
        <v>12634</v>
      </c>
      <c r="U584" s="731">
        <v>17760</v>
      </c>
      <c r="V584" s="449">
        <f t="shared" ref="V584:V647" si="199">IF(ISBLANK(T584),0,P584)</f>
        <v>139257</v>
      </c>
      <c r="W584" s="448">
        <f t="shared" ref="W584:W647" si="200">IF(ISBLANK(U584),0,R584)</f>
        <v>143841</v>
      </c>
      <c r="X584" s="456">
        <v>21784</v>
      </c>
      <c r="Y584" s="731">
        <v>26871</v>
      </c>
      <c r="Z584" s="456">
        <v>28211</v>
      </c>
      <c r="AA584" s="731">
        <v>30151</v>
      </c>
      <c r="AB584" s="456">
        <v>42045</v>
      </c>
      <c r="AC584" s="731">
        <v>49020</v>
      </c>
      <c r="AD584" s="456">
        <v>30349</v>
      </c>
      <c r="AE584" s="731">
        <v>30892</v>
      </c>
      <c r="AF584" s="449">
        <f t="shared" ref="AF584:AF647" si="201">SUM(X584,Z584,AB584,AD584)</f>
        <v>122389</v>
      </c>
      <c r="AG584" s="450">
        <f t="shared" ref="AG584:AG647" si="202">+AF584/900</f>
        <v>135.98777777777778</v>
      </c>
      <c r="AH584" s="451">
        <f t="shared" ref="AH584:AH647" si="203">SUM(Y584,AA584,AC584,AE584)</f>
        <v>136934</v>
      </c>
      <c r="AI584" s="451">
        <f t="shared" ref="AI584:AI647" si="204">+AH584/900</f>
        <v>152.14888888888888</v>
      </c>
      <c r="AJ584" s="456"/>
      <c r="AK584" s="493"/>
      <c r="AL584" s="449">
        <f t="shared" ref="AL584:AL647" si="205">IF(ISBLANK(AJ584),0,AF584)</f>
        <v>0</v>
      </c>
      <c r="AM584" s="452">
        <f t="shared" ref="AM584:AM647" si="206">IF(ISBLANK(AK584),0,AH584)</f>
        <v>0</v>
      </c>
      <c r="AN584" s="456"/>
      <c r="AO584" s="493"/>
      <c r="AP584" s="456"/>
      <c r="AQ584" s="733"/>
      <c r="AR584" s="456"/>
      <c r="AS584" s="733"/>
      <c r="AT584" s="456"/>
      <c r="AU584" s="733"/>
      <c r="AV584" s="449">
        <f t="shared" ref="AV584:AV647" si="207">SUM(AN584,AP584,AR584,AT584)</f>
        <v>0</v>
      </c>
      <c r="AW584" s="453">
        <f t="shared" ref="AW584:AW647" si="208">+AV584/24</f>
        <v>0</v>
      </c>
      <c r="AX584" s="451">
        <f t="shared" ref="AX584:AX647" si="209">SUM(AO584,AQ584,AS584,AU584)</f>
        <v>0</v>
      </c>
      <c r="AY584" s="454">
        <f t="shared" ref="AY584:AY647" si="210">+AX584/24</f>
        <v>0</v>
      </c>
      <c r="AZ584" s="455">
        <f t="shared" ref="AZ584:AZ647" si="211">SUM(Q584,AG584,AW584)</f>
        <v>4777.887777777777</v>
      </c>
      <c r="BA584" s="451">
        <f t="shared" ref="BA584:BA647" si="212">SUM(S584,AI584,AY584)</f>
        <v>4946.8488888888887</v>
      </c>
    </row>
    <row r="585" spans="1:53">
      <c r="A585" s="594" t="s">
        <v>234</v>
      </c>
      <c r="B585" s="595" t="s">
        <v>819</v>
      </c>
      <c r="C585" s="745" t="s">
        <v>516</v>
      </c>
      <c r="D585" s="729">
        <v>227225</v>
      </c>
      <c r="E585" s="707">
        <v>9</v>
      </c>
      <c r="F585" s="491" t="s">
        <v>41</v>
      </c>
      <c r="G585" s="492"/>
      <c r="H585" s="456">
        <v>29311</v>
      </c>
      <c r="I585" s="493">
        <v>26425</v>
      </c>
      <c r="J585" s="456">
        <v>5979</v>
      </c>
      <c r="K585" s="731">
        <v>4506</v>
      </c>
      <c r="L585" s="456">
        <v>0</v>
      </c>
      <c r="M585" s="733">
        <v>0</v>
      </c>
      <c r="N585" s="456">
        <v>32001</v>
      </c>
      <c r="O585" s="732">
        <v>25978</v>
      </c>
      <c r="P585" s="449">
        <f t="shared" si="195"/>
        <v>67291</v>
      </c>
      <c r="Q585" s="450">
        <f t="shared" si="196"/>
        <v>2243.0333333333333</v>
      </c>
      <c r="R585" s="451">
        <f t="shared" si="197"/>
        <v>56909</v>
      </c>
      <c r="S585" s="452">
        <f t="shared" si="198"/>
        <v>1896.9666666666667</v>
      </c>
      <c r="T585" s="456">
        <v>5944</v>
      </c>
      <c r="U585" s="731">
        <v>3415</v>
      </c>
      <c r="V585" s="449">
        <f t="shared" si="199"/>
        <v>67291</v>
      </c>
      <c r="W585" s="448">
        <f t="shared" si="200"/>
        <v>56909</v>
      </c>
      <c r="X585" s="456">
        <v>5095</v>
      </c>
      <c r="Y585" s="731">
        <v>6237</v>
      </c>
      <c r="Z585" s="456">
        <v>7031</v>
      </c>
      <c r="AA585" s="731">
        <v>13063</v>
      </c>
      <c r="AB585" s="456">
        <v>7314</v>
      </c>
      <c r="AC585" s="731">
        <v>9845</v>
      </c>
      <c r="AD585" s="456">
        <v>6495</v>
      </c>
      <c r="AE585" s="731">
        <v>15802</v>
      </c>
      <c r="AF585" s="449">
        <f t="shared" si="201"/>
        <v>25935</v>
      </c>
      <c r="AG585" s="450">
        <f t="shared" si="202"/>
        <v>28.816666666666666</v>
      </c>
      <c r="AH585" s="451">
        <f t="shared" si="203"/>
        <v>44947</v>
      </c>
      <c r="AI585" s="451">
        <f t="shared" si="204"/>
        <v>49.941111111111113</v>
      </c>
      <c r="AJ585" s="456"/>
      <c r="AK585" s="493"/>
      <c r="AL585" s="449">
        <f t="shared" si="205"/>
        <v>0</v>
      </c>
      <c r="AM585" s="452">
        <f t="shared" si="206"/>
        <v>0</v>
      </c>
      <c r="AN585" s="456"/>
      <c r="AO585" s="493"/>
      <c r="AP585" s="456"/>
      <c r="AQ585" s="733"/>
      <c r="AR585" s="456"/>
      <c r="AS585" s="733"/>
      <c r="AT585" s="456"/>
      <c r="AU585" s="733"/>
      <c r="AV585" s="449">
        <f t="shared" si="207"/>
        <v>0</v>
      </c>
      <c r="AW585" s="453">
        <f t="shared" si="208"/>
        <v>0</v>
      </c>
      <c r="AX585" s="451">
        <f t="shared" si="209"/>
        <v>0</v>
      </c>
      <c r="AY585" s="454">
        <f t="shared" si="210"/>
        <v>0</v>
      </c>
      <c r="AZ585" s="455">
        <f t="shared" si="211"/>
        <v>2271.85</v>
      </c>
      <c r="BA585" s="451">
        <f t="shared" si="212"/>
        <v>1946.9077777777777</v>
      </c>
    </row>
    <row r="586" spans="1:53">
      <c r="A586" s="594" t="s">
        <v>234</v>
      </c>
      <c r="B586" s="739" t="s">
        <v>820</v>
      </c>
      <c r="C586" s="743"/>
      <c r="D586" s="729">
        <v>227304</v>
      </c>
      <c r="E586" s="730">
        <v>9</v>
      </c>
      <c r="F586" s="491" t="s">
        <v>41</v>
      </c>
      <c r="G586" s="492"/>
      <c r="H586" s="456">
        <v>39704</v>
      </c>
      <c r="I586" s="493">
        <v>40295</v>
      </c>
      <c r="J586" s="456">
        <v>8125</v>
      </c>
      <c r="K586" s="731">
        <v>18956</v>
      </c>
      <c r="L586" s="456">
        <v>4646</v>
      </c>
      <c r="M586" s="731">
        <v>5126</v>
      </c>
      <c r="N586" s="456">
        <v>29408</v>
      </c>
      <c r="O586" s="732">
        <v>45361</v>
      </c>
      <c r="P586" s="449">
        <f t="shared" si="195"/>
        <v>81883</v>
      </c>
      <c r="Q586" s="450">
        <f t="shared" si="196"/>
        <v>2729.4333333333334</v>
      </c>
      <c r="R586" s="451">
        <f t="shared" si="197"/>
        <v>109738</v>
      </c>
      <c r="S586" s="452">
        <f t="shared" si="198"/>
        <v>3657.9333333333334</v>
      </c>
      <c r="T586" s="456">
        <v>12581</v>
      </c>
      <c r="U586" s="731">
        <v>15099</v>
      </c>
      <c r="V586" s="449">
        <f t="shared" si="199"/>
        <v>81883</v>
      </c>
      <c r="W586" s="448">
        <f t="shared" si="200"/>
        <v>109738</v>
      </c>
      <c r="X586" s="456">
        <v>69379</v>
      </c>
      <c r="Y586" s="731">
        <v>95680</v>
      </c>
      <c r="Z586" s="456">
        <v>81241</v>
      </c>
      <c r="AA586" s="731">
        <v>58820</v>
      </c>
      <c r="AB586" s="456">
        <v>81996</v>
      </c>
      <c r="AC586" s="731">
        <v>81181</v>
      </c>
      <c r="AD586" s="456">
        <v>85151</v>
      </c>
      <c r="AE586" s="731">
        <v>81454</v>
      </c>
      <c r="AF586" s="449">
        <f t="shared" si="201"/>
        <v>317767</v>
      </c>
      <c r="AG586" s="450">
        <f t="shared" si="202"/>
        <v>353.07444444444445</v>
      </c>
      <c r="AH586" s="451">
        <f t="shared" si="203"/>
        <v>317135</v>
      </c>
      <c r="AI586" s="451">
        <f t="shared" si="204"/>
        <v>352.37222222222221</v>
      </c>
      <c r="AJ586" s="456"/>
      <c r="AK586" s="493"/>
      <c r="AL586" s="449">
        <f t="shared" si="205"/>
        <v>0</v>
      </c>
      <c r="AM586" s="452">
        <f t="shared" si="206"/>
        <v>0</v>
      </c>
      <c r="AN586" s="456"/>
      <c r="AO586" s="493"/>
      <c r="AP586" s="456"/>
      <c r="AQ586" s="733"/>
      <c r="AR586" s="456"/>
      <c r="AS586" s="733"/>
      <c r="AT586" s="456"/>
      <c r="AU586" s="733"/>
      <c r="AV586" s="449">
        <f t="shared" si="207"/>
        <v>0</v>
      </c>
      <c r="AW586" s="453">
        <f t="shared" si="208"/>
        <v>0</v>
      </c>
      <c r="AX586" s="451">
        <f t="shared" si="209"/>
        <v>0</v>
      </c>
      <c r="AY586" s="454">
        <f t="shared" si="210"/>
        <v>0</v>
      </c>
      <c r="AZ586" s="455">
        <f t="shared" si="211"/>
        <v>3082.5077777777778</v>
      </c>
      <c r="BA586" s="451">
        <f t="shared" si="212"/>
        <v>4010.3055555555557</v>
      </c>
    </row>
    <row r="587" spans="1:53">
      <c r="A587" s="594" t="s">
        <v>234</v>
      </c>
      <c r="B587" s="739" t="s">
        <v>821</v>
      </c>
      <c r="C587" s="743"/>
      <c r="D587" s="729">
        <v>227401</v>
      </c>
      <c r="E587" s="730">
        <v>9</v>
      </c>
      <c r="F587" s="491" t="s">
        <v>41</v>
      </c>
      <c r="G587" s="492"/>
      <c r="H587" s="456">
        <v>46875</v>
      </c>
      <c r="I587" s="493">
        <v>44847</v>
      </c>
      <c r="J587" s="456">
        <v>11566</v>
      </c>
      <c r="K587" s="731">
        <v>10828</v>
      </c>
      <c r="L587" s="456">
        <v>5215</v>
      </c>
      <c r="M587" s="731">
        <v>4807</v>
      </c>
      <c r="N587" s="456">
        <v>48445</v>
      </c>
      <c r="O587" s="732">
        <v>45945</v>
      </c>
      <c r="P587" s="449">
        <f t="shared" si="195"/>
        <v>112101</v>
      </c>
      <c r="Q587" s="450">
        <f t="shared" si="196"/>
        <v>3736.7</v>
      </c>
      <c r="R587" s="451">
        <f t="shared" si="197"/>
        <v>106427</v>
      </c>
      <c r="S587" s="452">
        <f t="shared" si="198"/>
        <v>3547.5666666666666</v>
      </c>
      <c r="T587" s="456">
        <v>13594</v>
      </c>
      <c r="U587" s="731">
        <v>15088</v>
      </c>
      <c r="V587" s="449">
        <f t="shared" si="199"/>
        <v>112101</v>
      </c>
      <c r="W587" s="448">
        <f t="shared" si="200"/>
        <v>106427</v>
      </c>
      <c r="X587" s="456">
        <v>19094</v>
      </c>
      <c r="Y587" s="731">
        <v>29825</v>
      </c>
      <c r="Z587" s="456">
        <v>14202</v>
      </c>
      <c r="AA587" s="731">
        <v>22497</v>
      </c>
      <c r="AB587" s="456">
        <v>30820</v>
      </c>
      <c r="AC587" s="731">
        <v>10301</v>
      </c>
      <c r="AD587" s="456">
        <v>15846</v>
      </c>
      <c r="AE587" s="731">
        <v>46343</v>
      </c>
      <c r="AF587" s="449">
        <f t="shared" si="201"/>
        <v>79962</v>
      </c>
      <c r="AG587" s="450">
        <f t="shared" si="202"/>
        <v>88.846666666666664</v>
      </c>
      <c r="AH587" s="451">
        <f t="shared" si="203"/>
        <v>108966</v>
      </c>
      <c r="AI587" s="451">
        <f t="shared" si="204"/>
        <v>121.07333333333334</v>
      </c>
      <c r="AJ587" s="456"/>
      <c r="AK587" s="493"/>
      <c r="AL587" s="449">
        <f t="shared" si="205"/>
        <v>0</v>
      </c>
      <c r="AM587" s="452">
        <f t="shared" si="206"/>
        <v>0</v>
      </c>
      <c r="AN587" s="456"/>
      <c r="AO587" s="493"/>
      <c r="AP587" s="456"/>
      <c r="AQ587" s="733"/>
      <c r="AR587" s="456"/>
      <c r="AS587" s="733"/>
      <c r="AT587" s="456"/>
      <c r="AU587" s="733"/>
      <c r="AV587" s="449">
        <f t="shared" si="207"/>
        <v>0</v>
      </c>
      <c r="AW587" s="453">
        <f t="shared" si="208"/>
        <v>0</v>
      </c>
      <c r="AX587" s="451">
        <f t="shared" si="209"/>
        <v>0</v>
      </c>
      <c r="AY587" s="454">
        <f t="shared" si="210"/>
        <v>0</v>
      </c>
      <c r="AZ587" s="455">
        <f t="shared" si="211"/>
        <v>3825.5466666666666</v>
      </c>
      <c r="BA587" s="451">
        <f t="shared" si="212"/>
        <v>3668.64</v>
      </c>
    </row>
    <row r="588" spans="1:53">
      <c r="A588" s="594" t="s">
        <v>234</v>
      </c>
      <c r="B588" s="739" t="s">
        <v>822</v>
      </c>
      <c r="C588" s="743"/>
      <c r="D588" s="729">
        <v>228316</v>
      </c>
      <c r="E588" s="730">
        <v>9</v>
      </c>
      <c r="F588" s="491" t="s">
        <v>41</v>
      </c>
      <c r="G588" s="492"/>
      <c r="H588" s="456">
        <v>42155</v>
      </c>
      <c r="I588" s="493">
        <v>42948</v>
      </c>
      <c r="J588" s="456">
        <v>6168</v>
      </c>
      <c r="K588" s="731">
        <v>6668</v>
      </c>
      <c r="L588" s="456">
        <v>3410</v>
      </c>
      <c r="M588" s="731">
        <v>4139</v>
      </c>
      <c r="N588" s="456">
        <v>46853</v>
      </c>
      <c r="O588" s="732">
        <v>46902</v>
      </c>
      <c r="P588" s="449">
        <f t="shared" si="195"/>
        <v>98586</v>
      </c>
      <c r="Q588" s="450">
        <f t="shared" si="196"/>
        <v>3286.2</v>
      </c>
      <c r="R588" s="451">
        <f t="shared" si="197"/>
        <v>100657</v>
      </c>
      <c r="S588" s="452">
        <f t="shared" si="198"/>
        <v>3355.2333333333331</v>
      </c>
      <c r="T588" s="456">
        <v>16418</v>
      </c>
      <c r="U588" s="731">
        <v>17172</v>
      </c>
      <c r="V588" s="449">
        <f t="shared" si="199"/>
        <v>98586</v>
      </c>
      <c r="W588" s="448">
        <f t="shared" si="200"/>
        <v>100657</v>
      </c>
      <c r="X588" s="456">
        <v>22928</v>
      </c>
      <c r="Y588" s="731">
        <v>10052</v>
      </c>
      <c r="Z588" s="456">
        <v>17733</v>
      </c>
      <c r="AA588" s="731">
        <v>15014</v>
      </c>
      <c r="AB588" s="456">
        <v>31768</v>
      </c>
      <c r="AC588" s="731">
        <v>40085</v>
      </c>
      <c r="AD588" s="456">
        <v>18258</v>
      </c>
      <c r="AE588" s="731">
        <v>10304</v>
      </c>
      <c r="AF588" s="449">
        <f t="shared" si="201"/>
        <v>90687</v>
      </c>
      <c r="AG588" s="450">
        <f t="shared" si="202"/>
        <v>100.76333333333334</v>
      </c>
      <c r="AH588" s="451">
        <f t="shared" si="203"/>
        <v>75455</v>
      </c>
      <c r="AI588" s="451">
        <f t="shared" si="204"/>
        <v>83.838888888888889</v>
      </c>
      <c r="AJ588" s="456"/>
      <c r="AK588" s="493"/>
      <c r="AL588" s="449">
        <f t="shared" si="205"/>
        <v>0</v>
      </c>
      <c r="AM588" s="452">
        <f t="shared" si="206"/>
        <v>0</v>
      </c>
      <c r="AN588" s="456"/>
      <c r="AO588" s="493"/>
      <c r="AP588" s="456"/>
      <c r="AQ588" s="733"/>
      <c r="AR588" s="456"/>
      <c r="AS588" s="733"/>
      <c r="AT588" s="456"/>
      <c r="AU588" s="733"/>
      <c r="AV588" s="449">
        <f t="shared" si="207"/>
        <v>0</v>
      </c>
      <c r="AW588" s="453">
        <f t="shared" si="208"/>
        <v>0</v>
      </c>
      <c r="AX588" s="451">
        <f t="shared" si="209"/>
        <v>0</v>
      </c>
      <c r="AY588" s="454">
        <f t="shared" si="210"/>
        <v>0</v>
      </c>
      <c r="AZ588" s="455">
        <f t="shared" si="211"/>
        <v>3386.9633333333331</v>
      </c>
      <c r="BA588" s="451">
        <f t="shared" si="212"/>
        <v>3439.0722222222221</v>
      </c>
    </row>
    <row r="589" spans="1:53">
      <c r="A589" s="594" t="s">
        <v>234</v>
      </c>
      <c r="B589" s="739" t="s">
        <v>823</v>
      </c>
      <c r="C589" s="743"/>
      <c r="D589" s="729">
        <v>228608</v>
      </c>
      <c r="E589" s="730">
        <v>9</v>
      </c>
      <c r="F589" s="491" t="s">
        <v>41</v>
      </c>
      <c r="G589" s="492"/>
      <c r="H589" s="456">
        <v>47324</v>
      </c>
      <c r="I589" s="493">
        <v>44901</v>
      </c>
      <c r="J589" s="456">
        <v>12927</v>
      </c>
      <c r="K589" s="731">
        <v>12076</v>
      </c>
      <c r="L589" s="456">
        <v>0</v>
      </c>
      <c r="M589" s="733">
        <v>0</v>
      </c>
      <c r="N589" s="456">
        <v>48338</v>
      </c>
      <c r="O589" s="732">
        <v>46935</v>
      </c>
      <c r="P589" s="449">
        <f t="shared" si="195"/>
        <v>108589</v>
      </c>
      <c r="Q589" s="450">
        <f t="shared" si="196"/>
        <v>3619.6333333333332</v>
      </c>
      <c r="R589" s="451">
        <f t="shared" si="197"/>
        <v>103912</v>
      </c>
      <c r="S589" s="452">
        <f t="shared" si="198"/>
        <v>3463.7333333333331</v>
      </c>
      <c r="T589" s="456">
        <v>12723</v>
      </c>
      <c r="U589" s="731">
        <v>13259</v>
      </c>
      <c r="V589" s="449">
        <f t="shared" si="199"/>
        <v>108589</v>
      </c>
      <c r="W589" s="448">
        <f t="shared" si="200"/>
        <v>103912</v>
      </c>
      <c r="X589" s="456">
        <v>17938</v>
      </c>
      <c r="Y589" s="731">
        <v>20324</v>
      </c>
      <c r="Z589" s="456">
        <v>29383</v>
      </c>
      <c r="AA589" s="731">
        <v>22900</v>
      </c>
      <c r="AB589" s="456">
        <v>36789</v>
      </c>
      <c r="AC589" s="731">
        <v>19955</v>
      </c>
      <c r="AD589" s="456">
        <v>48065</v>
      </c>
      <c r="AE589" s="731">
        <v>37995</v>
      </c>
      <c r="AF589" s="449">
        <f t="shared" si="201"/>
        <v>132175</v>
      </c>
      <c r="AG589" s="450">
        <f t="shared" si="202"/>
        <v>146.86111111111111</v>
      </c>
      <c r="AH589" s="451">
        <f t="shared" si="203"/>
        <v>101174</v>
      </c>
      <c r="AI589" s="451">
        <f t="shared" si="204"/>
        <v>112.41555555555556</v>
      </c>
      <c r="AJ589" s="456"/>
      <c r="AK589" s="493"/>
      <c r="AL589" s="449">
        <f t="shared" si="205"/>
        <v>0</v>
      </c>
      <c r="AM589" s="452">
        <f t="shared" si="206"/>
        <v>0</v>
      </c>
      <c r="AN589" s="456"/>
      <c r="AO589" s="493"/>
      <c r="AP589" s="456"/>
      <c r="AQ589" s="733"/>
      <c r="AR589" s="456"/>
      <c r="AS589" s="733"/>
      <c r="AT589" s="456"/>
      <c r="AU589" s="733"/>
      <c r="AV589" s="449">
        <f t="shared" si="207"/>
        <v>0</v>
      </c>
      <c r="AW589" s="453">
        <f t="shared" si="208"/>
        <v>0</v>
      </c>
      <c r="AX589" s="451">
        <f t="shared" si="209"/>
        <v>0</v>
      </c>
      <c r="AY589" s="454">
        <f t="shared" si="210"/>
        <v>0</v>
      </c>
      <c r="AZ589" s="455">
        <f t="shared" si="211"/>
        <v>3766.4944444444445</v>
      </c>
      <c r="BA589" s="451">
        <f t="shared" si="212"/>
        <v>3576.1488888888889</v>
      </c>
    </row>
    <row r="590" spans="1:53">
      <c r="A590" s="594" t="s">
        <v>234</v>
      </c>
      <c r="B590" s="739" t="s">
        <v>824</v>
      </c>
      <c r="C590" s="743"/>
      <c r="D590" s="729">
        <v>228699</v>
      </c>
      <c r="E590" s="730">
        <v>9</v>
      </c>
      <c r="F590" s="491" t="s">
        <v>41</v>
      </c>
      <c r="G590" s="492"/>
      <c r="H590" s="456">
        <v>33284</v>
      </c>
      <c r="I590" s="493">
        <v>31878</v>
      </c>
      <c r="J590" s="456">
        <v>7559</v>
      </c>
      <c r="K590" s="731">
        <v>6844</v>
      </c>
      <c r="L590" s="456">
        <v>0</v>
      </c>
      <c r="M590" s="733">
        <v>0</v>
      </c>
      <c r="N590" s="456">
        <v>37412</v>
      </c>
      <c r="O590" s="732">
        <v>37406</v>
      </c>
      <c r="P590" s="449">
        <f t="shared" si="195"/>
        <v>78255</v>
      </c>
      <c r="Q590" s="450">
        <f t="shared" si="196"/>
        <v>2608.5</v>
      </c>
      <c r="R590" s="451">
        <f t="shared" si="197"/>
        <v>76128</v>
      </c>
      <c r="S590" s="452">
        <f t="shared" si="198"/>
        <v>2537.6</v>
      </c>
      <c r="T590" s="456">
        <v>12234</v>
      </c>
      <c r="U590" s="731">
        <v>13993</v>
      </c>
      <c r="V590" s="449">
        <f t="shared" si="199"/>
        <v>78255</v>
      </c>
      <c r="W590" s="448">
        <f t="shared" si="200"/>
        <v>76128</v>
      </c>
      <c r="X590" s="456">
        <v>78331</v>
      </c>
      <c r="Y590" s="731">
        <v>82945</v>
      </c>
      <c r="Z590" s="456">
        <v>72495</v>
      </c>
      <c r="AA590" s="731">
        <v>77155</v>
      </c>
      <c r="AB590" s="456">
        <v>70611</v>
      </c>
      <c r="AC590" s="731">
        <v>70724</v>
      </c>
      <c r="AD590" s="456">
        <v>82088</v>
      </c>
      <c r="AE590" s="731">
        <v>93032</v>
      </c>
      <c r="AF590" s="449">
        <f t="shared" si="201"/>
        <v>303525</v>
      </c>
      <c r="AG590" s="450">
        <f t="shared" si="202"/>
        <v>337.25</v>
      </c>
      <c r="AH590" s="451">
        <f t="shared" si="203"/>
        <v>323856</v>
      </c>
      <c r="AI590" s="451">
        <f t="shared" si="204"/>
        <v>359.84</v>
      </c>
      <c r="AJ590" s="456"/>
      <c r="AK590" s="493"/>
      <c r="AL590" s="449">
        <f t="shared" si="205"/>
        <v>0</v>
      </c>
      <c r="AM590" s="452">
        <f t="shared" si="206"/>
        <v>0</v>
      </c>
      <c r="AN590" s="456"/>
      <c r="AO590" s="493"/>
      <c r="AP590" s="456"/>
      <c r="AQ590" s="733"/>
      <c r="AR590" s="456"/>
      <c r="AS590" s="733"/>
      <c r="AT590" s="456"/>
      <c r="AU590" s="733"/>
      <c r="AV590" s="449">
        <f t="shared" si="207"/>
        <v>0</v>
      </c>
      <c r="AW590" s="453">
        <f t="shared" si="208"/>
        <v>0</v>
      </c>
      <c r="AX590" s="451">
        <f t="shared" si="209"/>
        <v>0</v>
      </c>
      <c r="AY590" s="454">
        <f t="shared" si="210"/>
        <v>0</v>
      </c>
      <c r="AZ590" s="455">
        <f t="shared" si="211"/>
        <v>2945.75</v>
      </c>
      <c r="BA590" s="451">
        <f t="shared" si="212"/>
        <v>2897.44</v>
      </c>
    </row>
    <row r="591" spans="1:53">
      <c r="A591" s="594" t="s">
        <v>234</v>
      </c>
      <c r="B591" s="739" t="s">
        <v>825</v>
      </c>
      <c r="C591" s="750"/>
      <c r="D591" s="729">
        <v>229072</v>
      </c>
      <c r="E591" s="767">
        <v>9</v>
      </c>
      <c r="F591" s="491" t="s">
        <v>41</v>
      </c>
      <c r="G591" s="492"/>
      <c r="H591" s="456">
        <v>31913</v>
      </c>
      <c r="I591" s="493">
        <v>34144</v>
      </c>
      <c r="J591" s="456">
        <v>3630</v>
      </c>
      <c r="K591" s="731">
        <v>2395</v>
      </c>
      <c r="L591" s="456">
        <v>1566</v>
      </c>
      <c r="M591" s="731">
        <v>2533</v>
      </c>
      <c r="N591" s="456">
        <v>31221</v>
      </c>
      <c r="O591" s="732">
        <v>31235</v>
      </c>
      <c r="P591" s="449">
        <f t="shared" si="195"/>
        <v>68330</v>
      </c>
      <c r="Q591" s="450">
        <f t="shared" si="196"/>
        <v>2277.6666666666665</v>
      </c>
      <c r="R591" s="451">
        <f t="shared" si="197"/>
        <v>70307</v>
      </c>
      <c r="S591" s="452">
        <f t="shared" si="198"/>
        <v>2343.5666666666666</v>
      </c>
      <c r="T591" s="456">
        <v>8434</v>
      </c>
      <c r="U591" s="731">
        <v>10397</v>
      </c>
      <c r="V591" s="449">
        <f t="shared" si="199"/>
        <v>68330</v>
      </c>
      <c r="W591" s="448">
        <f t="shared" si="200"/>
        <v>70307</v>
      </c>
      <c r="X591" s="456">
        <v>18206</v>
      </c>
      <c r="Y591" s="731">
        <v>33532</v>
      </c>
      <c r="Z591" s="456">
        <v>10314</v>
      </c>
      <c r="AA591" s="731">
        <v>10040</v>
      </c>
      <c r="AB591" s="456">
        <v>13261</v>
      </c>
      <c r="AC591" s="731">
        <v>13840</v>
      </c>
      <c r="AD591" s="456">
        <v>10289</v>
      </c>
      <c r="AE591" s="731">
        <v>13080</v>
      </c>
      <c r="AF591" s="449">
        <f t="shared" si="201"/>
        <v>52070</v>
      </c>
      <c r="AG591" s="450">
        <f t="shared" si="202"/>
        <v>57.855555555555554</v>
      </c>
      <c r="AH591" s="451">
        <f t="shared" si="203"/>
        <v>70492</v>
      </c>
      <c r="AI591" s="451">
        <f t="shared" si="204"/>
        <v>78.324444444444438</v>
      </c>
      <c r="AJ591" s="456"/>
      <c r="AK591" s="493"/>
      <c r="AL591" s="449">
        <f t="shared" si="205"/>
        <v>0</v>
      </c>
      <c r="AM591" s="452">
        <f t="shared" si="206"/>
        <v>0</v>
      </c>
      <c r="AN591" s="456"/>
      <c r="AO591" s="493"/>
      <c r="AP591" s="456"/>
      <c r="AQ591" s="733"/>
      <c r="AR591" s="456"/>
      <c r="AS591" s="733"/>
      <c r="AT591" s="456"/>
      <c r="AU591" s="733"/>
      <c r="AV591" s="449">
        <f t="shared" si="207"/>
        <v>0</v>
      </c>
      <c r="AW591" s="453">
        <f t="shared" si="208"/>
        <v>0</v>
      </c>
      <c r="AX591" s="451">
        <f t="shared" si="209"/>
        <v>0</v>
      </c>
      <c r="AY591" s="454">
        <f t="shared" si="210"/>
        <v>0</v>
      </c>
      <c r="AZ591" s="455">
        <f t="shared" si="211"/>
        <v>2335.5222222222219</v>
      </c>
      <c r="BA591" s="451">
        <f t="shared" si="212"/>
        <v>2421.8911111111111</v>
      </c>
    </row>
    <row r="592" spans="1:53">
      <c r="A592" s="594" t="s">
        <v>234</v>
      </c>
      <c r="B592" s="739" t="s">
        <v>826</v>
      </c>
      <c r="C592" s="737"/>
      <c r="D592" s="729">
        <v>229319</v>
      </c>
      <c r="E592" s="730">
        <v>9</v>
      </c>
      <c r="F592" s="491" t="s">
        <v>41</v>
      </c>
      <c r="G592" s="492"/>
      <c r="H592" s="456">
        <v>47499</v>
      </c>
      <c r="I592" s="493">
        <v>43512</v>
      </c>
      <c r="J592" s="456">
        <v>24954</v>
      </c>
      <c r="K592" s="731">
        <v>24557</v>
      </c>
      <c r="L592" s="456">
        <v>0</v>
      </c>
      <c r="M592" s="733">
        <v>0</v>
      </c>
      <c r="N592" s="456">
        <v>48953</v>
      </c>
      <c r="O592" s="732">
        <v>43519</v>
      </c>
      <c r="P592" s="449">
        <f t="shared" si="195"/>
        <v>121406</v>
      </c>
      <c r="Q592" s="450">
        <f t="shared" si="196"/>
        <v>4046.8666666666668</v>
      </c>
      <c r="R592" s="451">
        <f t="shared" si="197"/>
        <v>111588</v>
      </c>
      <c r="S592" s="452">
        <f t="shared" si="198"/>
        <v>3719.6</v>
      </c>
      <c r="T592" s="456">
        <v>11878</v>
      </c>
      <c r="U592" s="731">
        <v>12502</v>
      </c>
      <c r="V592" s="449">
        <f t="shared" si="199"/>
        <v>121406</v>
      </c>
      <c r="W592" s="448">
        <f t="shared" si="200"/>
        <v>111588</v>
      </c>
      <c r="X592" s="456">
        <v>17315</v>
      </c>
      <c r="Y592" s="731">
        <v>29972</v>
      </c>
      <c r="Z592" s="456">
        <v>34400</v>
      </c>
      <c r="AA592" s="731">
        <v>55465</v>
      </c>
      <c r="AB592" s="456">
        <v>26702</v>
      </c>
      <c r="AC592" s="731">
        <v>34193</v>
      </c>
      <c r="AD592" s="456">
        <v>43128</v>
      </c>
      <c r="AE592" s="731">
        <v>30247</v>
      </c>
      <c r="AF592" s="449">
        <f t="shared" si="201"/>
        <v>121545</v>
      </c>
      <c r="AG592" s="450">
        <f t="shared" si="202"/>
        <v>135.05000000000001</v>
      </c>
      <c r="AH592" s="451">
        <f t="shared" si="203"/>
        <v>149877</v>
      </c>
      <c r="AI592" s="451">
        <f t="shared" si="204"/>
        <v>166.53</v>
      </c>
      <c r="AJ592" s="456"/>
      <c r="AK592" s="493"/>
      <c r="AL592" s="449">
        <f t="shared" si="205"/>
        <v>0</v>
      </c>
      <c r="AM592" s="452">
        <f t="shared" si="206"/>
        <v>0</v>
      </c>
      <c r="AN592" s="456"/>
      <c r="AO592" s="493"/>
      <c r="AP592" s="456"/>
      <c r="AQ592" s="733"/>
      <c r="AR592" s="456"/>
      <c r="AS592" s="733"/>
      <c r="AT592" s="456"/>
      <c r="AU592" s="733"/>
      <c r="AV592" s="449">
        <f t="shared" si="207"/>
        <v>0</v>
      </c>
      <c r="AW592" s="453">
        <f t="shared" si="208"/>
        <v>0</v>
      </c>
      <c r="AX592" s="451">
        <f t="shared" si="209"/>
        <v>0</v>
      </c>
      <c r="AY592" s="454">
        <f t="shared" si="210"/>
        <v>0</v>
      </c>
      <c r="AZ592" s="455">
        <f t="shared" si="211"/>
        <v>4181.916666666667</v>
      </c>
      <c r="BA592" s="451">
        <f t="shared" si="212"/>
        <v>3886.13</v>
      </c>
    </row>
    <row r="593" spans="1:53">
      <c r="A593" s="594" t="s">
        <v>234</v>
      </c>
      <c r="B593" s="595" t="s">
        <v>827</v>
      </c>
      <c r="C593" s="750"/>
      <c r="D593" s="729">
        <v>228680</v>
      </c>
      <c r="E593" s="712">
        <v>9</v>
      </c>
      <c r="F593" s="491" t="s">
        <v>41</v>
      </c>
      <c r="G593" s="492"/>
      <c r="H593" s="456">
        <v>42113</v>
      </c>
      <c r="I593" s="493">
        <v>40694</v>
      </c>
      <c r="J593" s="456">
        <v>30321</v>
      </c>
      <c r="K593" s="731">
        <v>29051</v>
      </c>
      <c r="L593" s="456">
        <v>0</v>
      </c>
      <c r="M593" s="733">
        <v>0</v>
      </c>
      <c r="N593" s="456">
        <v>45027</v>
      </c>
      <c r="O593" s="732">
        <v>41289</v>
      </c>
      <c r="P593" s="449">
        <f t="shared" si="195"/>
        <v>117461</v>
      </c>
      <c r="Q593" s="450">
        <f t="shared" si="196"/>
        <v>3915.3666666666668</v>
      </c>
      <c r="R593" s="451">
        <f t="shared" si="197"/>
        <v>111034</v>
      </c>
      <c r="S593" s="452">
        <f t="shared" si="198"/>
        <v>3701.1333333333332</v>
      </c>
      <c r="T593" s="456">
        <v>2593</v>
      </c>
      <c r="U593" s="731">
        <v>3614</v>
      </c>
      <c r="V593" s="449">
        <f t="shared" si="199"/>
        <v>117461</v>
      </c>
      <c r="W593" s="448">
        <f t="shared" si="200"/>
        <v>111034</v>
      </c>
      <c r="X593" s="456">
        <v>0</v>
      </c>
      <c r="Y593" s="731">
        <v>3980</v>
      </c>
      <c r="Z593" s="456">
        <v>0</v>
      </c>
      <c r="AA593" s="731">
        <v>3800</v>
      </c>
      <c r="AB593" s="456">
        <v>408</v>
      </c>
      <c r="AC593" s="731">
        <v>1128</v>
      </c>
      <c r="AD593" s="456">
        <v>0</v>
      </c>
      <c r="AE593" s="733">
        <v>0</v>
      </c>
      <c r="AF593" s="449">
        <f t="shared" si="201"/>
        <v>408</v>
      </c>
      <c r="AG593" s="450">
        <f t="shared" si="202"/>
        <v>0.45333333333333331</v>
      </c>
      <c r="AH593" s="451">
        <f t="shared" si="203"/>
        <v>8908</v>
      </c>
      <c r="AI593" s="451">
        <f t="shared" si="204"/>
        <v>9.8977777777777778</v>
      </c>
      <c r="AJ593" s="456"/>
      <c r="AK593" s="493"/>
      <c r="AL593" s="449">
        <f t="shared" si="205"/>
        <v>0</v>
      </c>
      <c r="AM593" s="452">
        <f t="shared" si="206"/>
        <v>0</v>
      </c>
      <c r="AN593" s="456"/>
      <c r="AO593" s="493"/>
      <c r="AP593" s="456"/>
      <c r="AQ593" s="733"/>
      <c r="AR593" s="456"/>
      <c r="AS593" s="733"/>
      <c r="AT593" s="456"/>
      <c r="AU593" s="733"/>
      <c r="AV593" s="449">
        <f t="shared" si="207"/>
        <v>0</v>
      </c>
      <c r="AW593" s="453">
        <f t="shared" si="208"/>
        <v>0</v>
      </c>
      <c r="AX593" s="451">
        <f t="shared" si="209"/>
        <v>0</v>
      </c>
      <c r="AY593" s="454">
        <f t="shared" si="210"/>
        <v>0</v>
      </c>
      <c r="AZ593" s="455">
        <f t="shared" si="211"/>
        <v>3915.82</v>
      </c>
      <c r="BA593" s="451">
        <f t="shared" si="212"/>
        <v>3711.0311111111109</v>
      </c>
    </row>
    <row r="594" spans="1:53">
      <c r="A594" s="594" t="s">
        <v>234</v>
      </c>
      <c r="B594" s="739" t="s">
        <v>828</v>
      </c>
      <c r="C594" s="745"/>
      <c r="D594" s="741">
        <v>229504</v>
      </c>
      <c r="E594" s="742">
        <v>9</v>
      </c>
      <c r="F594" s="491" t="s">
        <v>41</v>
      </c>
      <c r="G594" s="492"/>
      <c r="H594" s="456">
        <v>27731</v>
      </c>
      <c r="I594" s="493">
        <v>25202</v>
      </c>
      <c r="J594" s="456">
        <v>3583</v>
      </c>
      <c r="K594" s="731">
        <v>2997</v>
      </c>
      <c r="L594" s="456">
        <v>4988</v>
      </c>
      <c r="M594" s="731">
        <v>4565</v>
      </c>
      <c r="N594" s="456">
        <v>26535</v>
      </c>
      <c r="O594" s="732">
        <v>25557</v>
      </c>
      <c r="P594" s="449">
        <f t="shared" si="195"/>
        <v>62837</v>
      </c>
      <c r="Q594" s="450">
        <f t="shared" si="196"/>
        <v>2094.5666666666666</v>
      </c>
      <c r="R594" s="451">
        <f t="shared" si="197"/>
        <v>58321</v>
      </c>
      <c r="S594" s="452">
        <f t="shared" si="198"/>
        <v>1944.0333333333333</v>
      </c>
      <c r="T594" s="456">
        <v>3930</v>
      </c>
      <c r="U594" s="731">
        <v>4375</v>
      </c>
      <c r="V594" s="449">
        <f t="shared" si="199"/>
        <v>62837</v>
      </c>
      <c r="W594" s="448">
        <f t="shared" si="200"/>
        <v>58321</v>
      </c>
      <c r="X594" s="456">
        <v>69618</v>
      </c>
      <c r="Y594" s="731">
        <v>65312</v>
      </c>
      <c r="Z594" s="456">
        <v>49850</v>
      </c>
      <c r="AA594" s="731">
        <v>50689</v>
      </c>
      <c r="AB594" s="456">
        <v>27881</v>
      </c>
      <c r="AC594" s="731">
        <v>35088</v>
      </c>
      <c r="AD594" s="456">
        <v>87970</v>
      </c>
      <c r="AE594" s="731">
        <v>89631</v>
      </c>
      <c r="AF594" s="449">
        <f t="shared" si="201"/>
        <v>235319</v>
      </c>
      <c r="AG594" s="450">
        <f t="shared" si="202"/>
        <v>261.46555555555557</v>
      </c>
      <c r="AH594" s="451">
        <f t="shared" si="203"/>
        <v>240720</v>
      </c>
      <c r="AI594" s="451">
        <f t="shared" si="204"/>
        <v>267.46666666666664</v>
      </c>
      <c r="AJ594" s="456"/>
      <c r="AK594" s="493"/>
      <c r="AL594" s="449">
        <f t="shared" si="205"/>
        <v>0</v>
      </c>
      <c r="AM594" s="452">
        <f t="shared" si="206"/>
        <v>0</v>
      </c>
      <c r="AN594" s="456"/>
      <c r="AO594" s="493"/>
      <c r="AP594" s="456"/>
      <c r="AQ594" s="733"/>
      <c r="AR594" s="456"/>
      <c r="AS594" s="733"/>
      <c r="AT594" s="456"/>
      <c r="AU594" s="733"/>
      <c r="AV594" s="449">
        <f t="shared" si="207"/>
        <v>0</v>
      </c>
      <c r="AW594" s="453">
        <f t="shared" si="208"/>
        <v>0</v>
      </c>
      <c r="AX594" s="451">
        <f t="shared" si="209"/>
        <v>0</v>
      </c>
      <c r="AY594" s="454">
        <f t="shared" si="210"/>
        <v>0</v>
      </c>
      <c r="AZ594" s="455">
        <f t="shared" si="211"/>
        <v>2356.0322222222221</v>
      </c>
      <c r="BA594" s="451">
        <f t="shared" si="212"/>
        <v>2211.5</v>
      </c>
    </row>
    <row r="595" spans="1:53">
      <c r="A595" s="594" t="s">
        <v>234</v>
      </c>
      <c r="B595" s="739" t="s">
        <v>829</v>
      </c>
      <c r="C595" s="743"/>
      <c r="D595" s="729">
        <v>229540</v>
      </c>
      <c r="E595" s="730">
        <v>9</v>
      </c>
      <c r="F595" s="491" t="s">
        <v>41</v>
      </c>
      <c r="G595" s="492"/>
      <c r="H595" s="456">
        <v>32050</v>
      </c>
      <c r="I595" s="493">
        <v>29339</v>
      </c>
      <c r="J595" s="456">
        <v>9265</v>
      </c>
      <c r="K595" s="731">
        <v>9092</v>
      </c>
      <c r="L595" s="456">
        <v>0</v>
      </c>
      <c r="M595" s="733">
        <v>0</v>
      </c>
      <c r="N595" s="456">
        <v>32589</v>
      </c>
      <c r="O595" s="732">
        <v>32053</v>
      </c>
      <c r="P595" s="449">
        <f t="shared" si="195"/>
        <v>73904</v>
      </c>
      <c r="Q595" s="450">
        <f t="shared" si="196"/>
        <v>2463.4666666666667</v>
      </c>
      <c r="R595" s="451">
        <f t="shared" si="197"/>
        <v>70484</v>
      </c>
      <c r="S595" s="452">
        <f t="shared" si="198"/>
        <v>2349.4666666666667</v>
      </c>
      <c r="T595" s="456">
        <v>5789</v>
      </c>
      <c r="U595" s="731">
        <v>6117</v>
      </c>
      <c r="V595" s="449">
        <f t="shared" si="199"/>
        <v>73904</v>
      </c>
      <c r="W595" s="448">
        <f t="shared" si="200"/>
        <v>70484</v>
      </c>
      <c r="X595" s="456">
        <v>38823</v>
      </c>
      <c r="Y595" s="731">
        <v>50333</v>
      </c>
      <c r="Z595" s="456">
        <v>34281</v>
      </c>
      <c r="AA595" s="731">
        <v>19263</v>
      </c>
      <c r="AB595" s="456">
        <v>35281</v>
      </c>
      <c r="AC595" s="731">
        <v>38952</v>
      </c>
      <c r="AD595" s="456">
        <v>56510</v>
      </c>
      <c r="AE595" s="731">
        <v>63824</v>
      </c>
      <c r="AF595" s="449">
        <f t="shared" si="201"/>
        <v>164895</v>
      </c>
      <c r="AG595" s="450">
        <f t="shared" si="202"/>
        <v>183.21666666666667</v>
      </c>
      <c r="AH595" s="451">
        <f t="shared" si="203"/>
        <v>172372</v>
      </c>
      <c r="AI595" s="451">
        <f t="shared" si="204"/>
        <v>191.52444444444444</v>
      </c>
      <c r="AJ595" s="456"/>
      <c r="AK595" s="493"/>
      <c r="AL595" s="449">
        <f t="shared" si="205"/>
        <v>0</v>
      </c>
      <c r="AM595" s="452">
        <f t="shared" si="206"/>
        <v>0</v>
      </c>
      <c r="AN595" s="456"/>
      <c r="AO595" s="493"/>
      <c r="AP595" s="456"/>
      <c r="AQ595" s="733"/>
      <c r="AR595" s="456"/>
      <c r="AS595" s="733"/>
      <c r="AT595" s="456"/>
      <c r="AU595" s="733"/>
      <c r="AV595" s="449">
        <f t="shared" si="207"/>
        <v>0</v>
      </c>
      <c r="AW595" s="453">
        <f t="shared" si="208"/>
        <v>0</v>
      </c>
      <c r="AX595" s="451">
        <f t="shared" si="209"/>
        <v>0</v>
      </c>
      <c r="AY595" s="454">
        <f t="shared" si="210"/>
        <v>0</v>
      </c>
      <c r="AZ595" s="455">
        <f t="shared" si="211"/>
        <v>2646.6833333333334</v>
      </c>
      <c r="BA595" s="451">
        <f t="shared" si="212"/>
        <v>2540.991111111111</v>
      </c>
    </row>
    <row r="596" spans="1:53">
      <c r="A596" s="594" t="s">
        <v>234</v>
      </c>
      <c r="B596" s="739" t="s">
        <v>830</v>
      </c>
      <c r="C596" s="743"/>
      <c r="D596" s="729">
        <v>229799</v>
      </c>
      <c r="E596" s="730">
        <v>9</v>
      </c>
      <c r="F596" s="491" t="s">
        <v>41</v>
      </c>
      <c r="G596" s="492"/>
      <c r="H596" s="456">
        <v>48945</v>
      </c>
      <c r="I596" s="493">
        <v>46464</v>
      </c>
      <c r="J596" s="456">
        <v>7942</v>
      </c>
      <c r="K596" s="731">
        <v>7626</v>
      </c>
      <c r="L596" s="456">
        <v>5092</v>
      </c>
      <c r="M596" s="731">
        <v>4464</v>
      </c>
      <c r="N596" s="456">
        <v>51040</v>
      </c>
      <c r="O596" s="732">
        <v>48854</v>
      </c>
      <c r="P596" s="449">
        <f t="shared" si="195"/>
        <v>113019</v>
      </c>
      <c r="Q596" s="450">
        <f t="shared" si="196"/>
        <v>3767.3</v>
      </c>
      <c r="R596" s="451">
        <f t="shared" si="197"/>
        <v>107408</v>
      </c>
      <c r="S596" s="452">
        <f t="shared" si="198"/>
        <v>3580.2666666666669</v>
      </c>
      <c r="T596" s="456">
        <v>8832</v>
      </c>
      <c r="U596" s="731">
        <v>10827</v>
      </c>
      <c r="V596" s="449">
        <f t="shared" si="199"/>
        <v>113019</v>
      </c>
      <c r="W596" s="448">
        <f t="shared" si="200"/>
        <v>107408</v>
      </c>
      <c r="X596" s="456">
        <v>76554</v>
      </c>
      <c r="Y596" s="731">
        <v>149568</v>
      </c>
      <c r="Z596" s="456">
        <v>31758</v>
      </c>
      <c r="AA596" s="731">
        <v>30466</v>
      </c>
      <c r="AB596" s="456">
        <v>26585</v>
      </c>
      <c r="AC596" s="731">
        <v>42369</v>
      </c>
      <c r="AD596" s="456">
        <v>181025</v>
      </c>
      <c r="AE596" s="731">
        <v>211390</v>
      </c>
      <c r="AF596" s="449">
        <f t="shared" si="201"/>
        <v>315922</v>
      </c>
      <c r="AG596" s="450">
        <f t="shared" si="202"/>
        <v>351.02444444444444</v>
      </c>
      <c r="AH596" s="451">
        <f t="shared" si="203"/>
        <v>433793</v>
      </c>
      <c r="AI596" s="451">
        <f t="shared" si="204"/>
        <v>481.99222222222221</v>
      </c>
      <c r="AJ596" s="456"/>
      <c r="AK596" s="493"/>
      <c r="AL596" s="449">
        <f t="shared" si="205"/>
        <v>0</v>
      </c>
      <c r="AM596" s="452">
        <f t="shared" si="206"/>
        <v>0</v>
      </c>
      <c r="AN596" s="456"/>
      <c r="AO596" s="493"/>
      <c r="AP596" s="456"/>
      <c r="AQ596" s="733"/>
      <c r="AR596" s="456"/>
      <c r="AS596" s="733"/>
      <c r="AT596" s="456"/>
      <c r="AU596" s="733"/>
      <c r="AV596" s="449">
        <f t="shared" si="207"/>
        <v>0</v>
      </c>
      <c r="AW596" s="453">
        <f t="shared" si="208"/>
        <v>0</v>
      </c>
      <c r="AX596" s="451">
        <f t="shared" si="209"/>
        <v>0</v>
      </c>
      <c r="AY596" s="454">
        <f t="shared" si="210"/>
        <v>0</v>
      </c>
      <c r="AZ596" s="455">
        <f t="shared" si="211"/>
        <v>4118.3244444444445</v>
      </c>
      <c r="BA596" s="451">
        <f t="shared" si="212"/>
        <v>4062.258888888889</v>
      </c>
    </row>
    <row r="597" spans="1:53">
      <c r="A597" s="594" t="s">
        <v>234</v>
      </c>
      <c r="B597" s="739" t="s">
        <v>831</v>
      </c>
      <c r="C597" s="743"/>
      <c r="D597" s="729">
        <v>229841</v>
      </c>
      <c r="E597" s="730">
        <v>9</v>
      </c>
      <c r="F597" s="491" t="s">
        <v>41</v>
      </c>
      <c r="G597" s="492"/>
      <c r="H597" s="456">
        <v>61620</v>
      </c>
      <c r="I597" s="493">
        <v>59698</v>
      </c>
      <c r="J597" s="456">
        <v>12969</v>
      </c>
      <c r="K597" s="731">
        <v>13036</v>
      </c>
      <c r="L597" s="456">
        <v>6456</v>
      </c>
      <c r="M597" s="731">
        <v>6056</v>
      </c>
      <c r="N597" s="456">
        <v>64010</v>
      </c>
      <c r="O597" s="732">
        <v>65723</v>
      </c>
      <c r="P597" s="449">
        <f t="shared" si="195"/>
        <v>145055</v>
      </c>
      <c r="Q597" s="450">
        <f t="shared" si="196"/>
        <v>4835.166666666667</v>
      </c>
      <c r="R597" s="451">
        <f t="shared" si="197"/>
        <v>144513</v>
      </c>
      <c r="S597" s="452">
        <f t="shared" si="198"/>
        <v>4817.1000000000004</v>
      </c>
      <c r="T597" s="456">
        <v>9463</v>
      </c>
      <c r="U597" s="731">
        <v>9399</v>
      </c>
      <c r="V597" s="449">
        <f t="shared" si="199"/>
        <v>145055</v>
      </c>
      <c r="W597" s="448">
        <f t="shared" si="200"/>
        <v>144513</v>
      </c>
      <c r="X597" s="456">
        <v>13299</v>
      </c>
      <c r="Y597" s="731">
        <v>13943</v>
      </c>
      <c r="Z597" s="456">
        <v>9329</v>
      </c>
      <c r="AA597" s="731">
        <v>7840</v>
      </c>
      <c r="AB597" s="456">
        <v>11456</v>
      </c>
      <c r="AC597" s="731">
        <v>12724</v>
      </c>
      <c r="AD597" s="456">
        <v>13163</v>
      </c>
      <c r="AE597" s="731">
        <v>10761</v>
      </c>
      <c r="AF597" s="449">
        <f t="shared" si="201"/>
        <v>47247</v>
      </c>
      <c r="AG597" s="450">
        <f t="shared" si="202"/>
        <v>52.49666666666667</v>
      </c>
      <c r="AH597" s="451">
        <f t="shared" si="203"/>
        <v>45268</v>
      </c>
      <c r="AI597" s="451">
        <f t="shared" si="204"/>
        <v>50.297777777777775</v>
      </c>
      <c r="AJ597" s="456"/>
      <c r="AK597" s="493"/>
      <c r="AL597" s="449">
        <f t="shared" si="205"/>
        <v>0</v>
      </c>
      <c r="AM597" s="452">
        <f t="shared" si="206"/>
        <v>0</v>
      </c>
      <c r="AN597" s="456"/>
      <c r="AO597" s="493"/>
      <c r="AP597" s="456"/>
      <c r="AQ597" s="733"/>
      <c r="AR597" s="456"/>
      <c r="AS597" s="733"/>
      <c r="AT597" s="456"/>
      <c r="AU597" s="733"/>
      <c r="AV597" s="449">
        <f t="shared" si="207"/>
        <v>0</v>
      </c>
      <c r="AW597" s="453">
        <f t="shared" si="208"/>
        <v>0</v>
      </c>
      <c r="AX597" s="451">
        <f t="shared" si="209"/>
        <v>0</v>
      </c>
      <c r="AY597" s="454">
        <f t="shared" si="210"/>
        <v>0</v>
      </c>
      <c r="AZ597" s="455">
        <f t="shared" si="211"/>
        <v>4887.6633333333339</v>
      </c>
      <c r="BA597" s="451">
        <f t="shared" si="212"/>
        <v>4867.3977777777782</v>
      </c>
    </row>
    <row r="598" spans="1:53">
      <c r="A598" s="594" t="s">
        <v>234</v>
      </c>
      <c r="B598" s="739" t="s">
        <v>832</v>
      </c>
      <c r="C598" s="743"/>
      <c r="D598" s="729">
        <v>223922</v>
      </c>
      <c r="E598" s="730">
        <v>10</v>
      </c>
      <c r="F598" s="491" t="s">
        <v>41</v>
      </c>
      <c r="G598" s="492"/>
      <c r="H598" s="456">
        <v>12269</v>
      </c>
      <c r="I598" s="493">
        <v>11211</v>
      </c>
      <c r="J598" s="456">
        <v>2838</v>
      </c>
      <c r="K598" s="731">
        <v>2541</v>
      </c>
      <c r="L598" s="456">
        <v>933</v>
      </c>
      <c r="M598" s="733">
        <v>738</v>
      </c>
      <c r="N598" s="456">
        <v>12405</v>
      </c>
      <c r="O598" s="732">
        <v>12907</v>
      </c>
      <c r="P598" s="449">
        <f t="shared" si="195"/>
        <v>28445</v>
      </c>
      <c r="Q598" s="450">
        <f t="shared" si="196"/>
        <v>948.16666666666663</v>
      </c>
      <c r="R598" s="451">
        <f t="shared" si="197"/>
        <v>27397</v>
      </c>
      <c r="S598" s="452">
        <f t="shared" si="198"/>
        <v>913.23333333333335</v>
      </c>
      <c r="T598" s="456">
        <v>3463</v>
      </c>
      <c r="U598" s="731">
        <v>4439</v>
      </c>
      <c r="V598" s="449">
        <f t="shared" si="199"/>
        <v>28445</v>
      </c>
      <c r="W598" s="448">
        <f t="shared" si="200"/>
        <v>27397</v>
      </c>
      <c r="X598" s="456">
        <v>6322</v>
      </c>
      <c r="Y598" s="731">
        <v>5898</v>
      </c>
      <c r="Z598" s="456">
        <v>8536</v>
      </c>
      <c r="AA598" s="731">
        <v>6427</v>
      </c>
      <c r="AB598" s="456">
        <v>1862</v>
      </c>
      <c r="AC598" s="731">
        <v>1572</v>
      </c>
      <c r="AD598" s="456">
        <v>1680</v>
      </c>
      <c r="AE598" s="731">
        <v>6862</v>
      </c>
      <c r="AF598" s="449">
        <f t="shared" si="201"/>
        <v>18400</v>
      </c>
      <c r="AG598" s="450">
        <f t="shared" si="202"/>
        <v>20.444444444444443</v>
      </c>
      <c r="AH598" s="451">
        <f t="shared" si="203"/>
        <v>20759</v>
      </c>
      <c r="AI598" s="451">
        <f t="shared" si="204"/>
        <v>23.065555555555555</v>
      </c>
      <c r="AJ598" s="456"/>
      <c r="AK598" s="493"/>
      <c r="AL598" s="449">
        <f t="shared" si="205"/>
        <v>0</v>
      </c>
      <c r="AM598" s="452">
        <f t="shared" si="206"/>
        <v>0</v>
      </c>
      <c r="AN598" s="456"/>
      <c r="AO598" s="493"/>
      <c r="AP598" s="456"/>
      <c r="AQ598" s="733"/>
      <c r="AR598" s="456"/>
      <c r="AS598" s="733"/>
      <c r="AT598" s="456"/>
      <c r="AU598" s="733"/>
      <c r="AV598" s="449">
        <f t="shared" si="207"/>
        <v>0</v>
      </c>
      <c r="AW598" s="453">
        <f t="shared" si="208"/>
        <v>0</v>
      </c>
      <c r="AX598" s="451">
        <f t="shared" si="209"/>
        <v>0</v>
      </c>
      <c r="AY598" s="454">
        <f t="shared" si="210"/>
        <v>0</v>
      </c>
      <c r="AZ598" s="455">
        <f t="shared" si="211"/>
        <v>968.61111111111109</v>
      </c>
      <c r="BA598" s="451">
        <f t="shared" si="212"/>
        <v>936.29888888888888</v>
      </c>
    </row>
    <row r="599" spans="1:53">
      <c r="A599" s="594" t="s">
        <v>234</v>
      </c>
      <c r="B599" s="739" t="s">
        <v>833</v>
      </c>
      <c r="C599" s="743"/>
      <c r="D599" s="729">
        <v>224891</v>
      </c>
      <c r="E599" s="730">
        <v>10</v>
      </c>
      <c r="F599" s="491" t="s">
        <v>41</v>
      </c>
      <c r="G599" s="492"/>
      <c r="H599" s="456">
        <v>9846</v>
      </c>
      <c r="I599" s="493">
        <v>11655</v>
      </c>
      <c r="J599" s="456">
        <v>1417</v>
      </c>
      <c r="K599" s="731">
        <v>1641</v>
      </c>
      <c r="L599" s="456">
        <v>466</v>
      </c>
      <c r="M599" s="733">
        <v>618</v>
      </c>
      <c r="N599" s="456">
        <v>11920</v>
      </c>
      <c r="O599" s="732">
        <v>12372</v>
      </c>
      <c r="P599" s="449">
        <f t="shared" si="195"/>
        <v>23649</v>
      </c>
      <c r="Q599" s="450">
        <f t="shared" si="196"/>
        <v>788.3</v>
      </c>
      <c r="R599" s="451">
        <f t="shared" si="197"/>
        <v>26286</v>
      </c>
      <c r="S599" s="452">
        <f t="shared" si="198"/>
        <v>876.2</v>
      </c>
      <c r="T599" s="456">
        <v>6178</v>
      </c>
      <c r="U599" s="731">
        <v>7957</v>
      </c>
      <c r="V599" s="449">
        <f t="shared" si="199"/>
        <v>23649</v>
      </c>
      <c r="W599" s="448">
        <f t="shared" si="200"/>
        <v>26286</v>
      </c>
      <c r="X599" s="456">
        <v>17211</v>
      </c>
      <c r="Y599" s="731">
        <v>33357</v>
      </c>
      <c r="Z599" s="456">
        <v>25554</v>
      </c>
      <c r="AA599" s="731">
        <v>28725</v>
      </c>
      <c r="AB599" s="456">
        <v>18564</v>
      </c>
      <c r="AC599" s="731">
        <v>25851</v>
      </c>
      <c r="AD599" s="456">
        <v>39926</v>
      </c>
      <c r="AE599" s="731">
        <v>15387</v>
      </c>
      <c r="AF599" s="449">
        <f t="shared" si="201"/>
        <v>101255</v>
      </c>
      <c r="AG599" s="450">
        <f t="shared" si="202"/>
        <v>112.50555555555556</v>
      </c>
      <c r="AH599" s="451">
        <f t="shared" si="203"/>
        <v>103320</v>
      </c>
      <c r="AI599" s="451">
        <f t="shared" si="204"/>
        <v>114.8</v>
      </c>
      <c r="AJ599" s="456"/>
      <c r="AK599" s="493"/>
      <c r="AL599" s="449">
        <f t="shared" si="205"/>
        <v>0</v>
      </c>
      <c r="AM599" s="452">
        <f t="shared" si="206"/>
        <v>0</v>
      </c>
      <c r="AN599" s="456"/>
      <c r="AO599" s="493"/>
      <c r="AP599" s="456"/>
      <c r="AQ599" s="733"/>
      <c r="AR599" s="456"/>
      <c r="AS599" s="733"/>
      <c r="AT599" s="456"/>
      <c r="AU599" s="733"/>
      <c r="AV599" s="449">
        <f t="shared" si="207"/>
        <v>0</v>
      </c>
      <c r="AW599" s="453">
        <f t="shared" si="208"/>
        <v>0</v>
      </c>
      <c r="AX599" s="451">
        <f t="shared" si="209"/>
        <v>0</v>
      </c>
      <c r="AY599" s="454">
        <f t="shared" si="210"/>
        <v>0</v>
      </c>
      <c r="AZ599" s="455">
        <f t="shared" si="211"/>
        <v>900.80555555555554</v>
      </c>
      <c r="BA599" s="451">
        <f t="shared" si="212"/>
        <v>991</v>
      </c>
    </row>
    <row r="600" spans="1:53">
      <c r="A600" s="594" t="s">
        <v>234</v>
      </c>
      <c r="B600" s="739" t="s">
        <v>834</v>
      </c>
      <c r="C600" s="743"/>
      <c r="D600" s="729">
        <v>224961</v>
      </c>
      <c r="E600" s="730">
        <v>10</v>
      </c>
      <c r="F600" s="491" t="s">
        <v>41</v>
      </c>
      <c r="G600" s="492"/>
      <c r="H600" s="456">
        <v>18777</v>
      </c>
      <c r="I600" s="493">
        <v>17400</v>
      </c>
      <c r="J600" s="456">
        <v>4576</v>
      </c>
      <c r="K600" s="731">
        <v>4252</v>
      </c>
      <c r="L600" s="456">
        <v>3327</v>
      </c>
      <c r="M600" s="731">
        <v>3435</v>
      </c>
      <c r="N600" s="456">
        <v>16505</v>
      </c>
      <c r="O600" s="732">
        <v>16412</v>
      </c>
      <c r="P600" s="449">
        <f t="shared" si="195"/>
        <v>43185</v>
      </c>
      <c r="Q600" s="450">
        <f t="shared" si="196"/>
        <v>1439.5</v>
      </c>
      <c r="R600" s="451">
        <f t="shared" si="197"/>
        <v>41499</v>
      </c>
      <c r="S600" s="452">
        <f t="shared" si="198"/>
        <v>1383.3</v>
      </c>
      <c r="T600" s="456">
        <v>2834</v>
      </c>
      <c r="U600" s="731">
        <v>3458</v>
      </c>
      <c r="V600" s="449">
        <f t="shared" si="199"/>
        <v>43185</v>
      </c>
      <c r="W600" s="448">
        <f t="shared" si="200"/>
        <v>41499</v>
      </c>
      <c r="X600" s="456">
        <v>3018</v>
      </c>
      <c r="Y600" s="731">
        <v>7520</v>
      </c>
      <c r="Z600" s="456">
        <v>2463</v>
      </c>
      <c r="AA600" s="731">
        <v>3704</v>
      </c>
      <c r="AB600" s="456">
        <v>3380</v>
      </c>
      <c r="AC600" s="731">
        <v>3984</v>
      </c>
      <c r="AD600" s="456">
        <v>7767</v>
      </c>
      <c r="AE600" s="731">
        <v>16315</v>
      </c>
      <c r="AF600" s="449">
        <f t="shared" si="201"/>
        <v>16628</v>
      </c>
      <c r="AG600" s="450">
        <f t="shared" si="202"/>
        <v>18.475555555555555</v>
      </c>
      <c r="AH600" s="451">
        <f t="shared" si="203"/>
        <v>31523</v>
      </c>
      <c r="AI600" s="451">
        <f t="shared" si="204"/>
        <v>35.025555555555556</v>
      </c>
      <c r="AJ600" s="456"/>
      <c r="AK600" s="493"/>
      <c r="AL600" s="449">
        <f t="shared" si="205"/>
        <v>0</v>
      </c>
      <c r="AM600" s="452">
        <f t="shared" si="206"/>
        <v>0</v>
      </c>
      <c r="AN600" s="456"/>
      <c r="AO600" s="493"/>
      <c r="AP600" s="456"/>
      <c r="AQ600" s="733"/>
      <c r="AR600" s="456"/>
      <c r="AS600" s="733"/>
      <c r="AT600" s="456"/>
      <c r="AU600" s="733"/>
      <c r="AV600" s="449">
        <f t="shared" si="207"/>
        <v>0</v>
      </c>
      <c r="AW600" s="453">
        <f t="shared" si="208"/>
        <v>0</v>
      </c>
      <c r="AX600" s="451">
        <f t="shared" si="209"/>
        <v>0</v>
      </c>
      <c r="AY600" s="454">
        <f t="shared" si="210"/>
        <v>0</v>
      </c>
      <c r="AZ600" s="455">
        <f t="shared" si="211"/>
        <v>1457.9755555555555</v>
      </c>
      <c r="BA600" s="451">
        <f t="shared" si="212"/>
        <v>1418.3255555555554</v>
      </c>
    </row>
    <row r="601" spans="1:53">
      <c r="A601" s="594" t="s">
        <v>234</v>
      </c>
      <c r="B601" s="739" t="s">
        <v>835</v>
      </c>
      <c r="C601" s="745"/>
      <c r="D601" s="741">
        <v>226107</v>
      </c>
      <c r="E601" s="742">
        <v>10</v>
      </c>
      <c r="F601" s="491" t="s">
        <v>41</v>
      </c>
      <c r="G601" s="492"/>
      <c r="H601" s="456">
        <v>19767</v>
      </c>
      <c r="I601" s="493">
        <v>19087</v>
      </c>
      <c r="J601" s="456">
        <v>5787</v>
      </c>
      <c r="K601" s="731">
        <v>5696</v>
      </c>
      <c r="L601" s="456">
        <v>0</v>
      </c>
      <c r="M601" s="733">
        <v>0</v>
      </c>
      <c r="N601" s="456">
        <v>21206</v>
      </c>
      <c r="O601" s="732">
        <v>21101</v>
      </c>
      <c r="P601" s="449">
        <f t="shared" si="195"/>
        <v>46760</v>
      </c>
      <c r="Q601" s="450">
        <f t="shared" si="196"/>
        <v>1558.6666666666667</v>
      </c>
      <c r="R601" s="451">
        <f t="shared" si="197"/>
        <v>45884</v>
      </c>
      <c r="S601" s="452">
        <f t="shared" si="198"/>
        <v>1529.4666666666667</v>
      </c>
      <c r="T601" s="456">
        <v>3996</v>
      </c>
      <c r="U601" s="731">
        <v>3825</v>
      </c>
      <c r="V601" s="449">
        <f t="shared" si="199"/>
        <v>46760</v>
      </c>
      <c r="W601" s="448">
        <f t="shared" si="200"/>
        <v>45884</v>
      </c>
      <c r="X601" s="456">
        <v>2026</v>
      </c>
      <c r="Y601" s="731">
        <v>11059</v>
      </c>
      <c r="Z601" s="456">
        <v>1348</v>
      </c>
      <c r="AA601" s="731">
        <v>4067</v>
      </c>
      <c r="AB601" s="456">
        <v>6133</v>
      </c>
      <c r="AC601" s="731">
        <v>4764</v>
      </c>
      <c r="AD601" s="456">
        <v>4483</v>
      </c>
      <c r="AE601" s="731">
        <v>6916</v>
      </c>
      <c r="AF601" s="449">
        <f t="shared" si="201"/>
        <v>13990</v>
      </c>
      <c r="AG601" s="450">
        <f t="shared" si="202"/>
        <v>15.544444444444444</v>
      </c>
      <c r="AH601" s="451">
        <f t="shared" si="203"/>
        <v>26806</v>
      </c>
      <c r="AI601" s="451">
        <f t="shared" si="204"/>
        <v>29.784444444444443</v>
      </c>
      <c r="AJ601" s="456"/>
      <c r="AK601" s="493"/>
      <c r="AL601" s="449">
        <f t="shared" si="205"/>
        <v>0</v>
      </c>
      <c r="AM601" s="452">
        <f t="shared" si="206"/>
        <v>0</v>
      </c>
      <c r="AN601" s="456"/>
      <c r="AO601" s="493"/>
      <c r="AP601" s="456"/>
      <c r="AQ601" s="733"/>
      <c r="AR601" s="456"/>
      <c r="AS601" s="733"/>
      <c r="AT601" s="456"/>
      <c r="AU601" s="733"/>
      <c r="AV601" s="449">
        <f t="shared" si="207"/>
        <v>0</v>
      </c>
      <c r="AW601" s="453">
        <f t="shared" si="208"/>
        <v>0</v>
      </c>
      <c r="AX601" s="451">
        <f t="shared" si="209"/>
        <v>0</v>
      </c>
      <c r="AY601" s="454">
        <f t="shared" si="210"/>
        <v>0</v>
      </c>
      <c r="AZ601" s="455">
        <f t="shared" si="211"/>
        <v>1574.2111111111112</v>
      </c>
      <c r="BA601" s="451">
        <f t="shared" si="212"/>
        <v>1559.2511111111112</v>
      </c>
    </row>
    <row r="602" spans="1:53">
      <c r="A602" s="594" t="s">
        <v>234</v>
      </c>
      <c r="B602" s="752" t="s">
        <v>836</v>
      </c>
      <c r="C602" s="745"/>
      <c r="D602" s="753" t="s">
        <v>837</v>
      </c>
      <c r="E602" s="742">
        <v>10</v>
      </c>
      <c r="F602" s="491" t="s">
        <v>41</v>
      </c>
      <c r="G602" s="492"/>
      <c r="H602" s="456">
        <v>12135</v>
      </c>
      <c r="I602" s="493">
        <v>15964</v>
      </c>
      <c r="J602" s="456">
        <v>3961</v>
      </c>
      <c r="K602" s="731">
        <v>7755</v>
      </c>
      <c r="L602" s="456">
        <v>0</v>
      </c>
      <c r="M602" s="733">
        <v>0</v>
      </c>
      <c r="N602" s="456">
        <v>11970</v>
      </c>
      <c r="O602" s="732">
        <v>19402</v>
      </c>
      <c r="P602" s="449">
        <f t="shared" si="195"/>
        <v>28066</v>
      </c>
      <c r="Q602" s="450">
        <f t="shared" si="196"/>
        <v>935.5333333333333</v>
      </c>
      <c r="R602" s="451">
        <f t="shared" si="197"/>
        <v>43121</v>
      </c>
      <c r="S602" s="452">
        <f t="shared" si="198"/>
        <v>1437.3666666666666</v>
      </c>
      <c r="T602" s="456">
        <v>0</v>
      </c>
      <c r="U602" s="733">
        <v>24</v>
      </c>
      <c r="V602" s="449">
        <f t="shared" si="199"/>
        <v>28066</v>
      </c>
      <c r="W602" s="448">
        <f t="shared" si="200"/>
        <v>43121</v>
      </c>
      <c r="X602" s="456">
        <v>11472</v>
      </c>
      <c r="Y602" s="731">
        <v>1808</v>
      </c>
      <c r="Z602" s="456">
        <v>24592</v>
      </c>
      <c r="AA602" s="733">
        <v>552</v>
      </c>
      <c r="AB602" s="456">
        <v>2776</v>
      </c>
      <c r="AC602" s="731">
        <v>6528</v>
      </c>
      <c r="AD602" s="456">
        <v>4296</v>
      </c>
      <c r="AE602" s="731">
        <v>2680</v>
      </c>
      <c r="AF602" s="449">
        <f t="shared" si="201"/>
        <v>43136</v>
      </c>
      <c r="AG602" s="450">
        <f t="shared" si="202"/>
        <v>47.928888888888892</v>
      </c>
      <c r="AH602" s="451">
        <f t="shared" si="203"/>
        <v>11568</v>
      </c>
      <c r="AI602" s="451">
        <f t="shared" si="204"/>
        <v>12.853333333333333</v>
      </c>
      <c r="AJ602" s="456"/>
      <c r="AK602" s="493"/>
      <c r="AL602" s="449">
        <f t="shared" si="205"/>
        <v>0</v>
      </c>
      <c r="AM602" s="452">
        <f t="shared" si="206"/>
        <v>0</v>
      </c>
      <c r="AN602" s="456"/>
      <c r="AO602" s="493"/>
      <c r="AP602" s="456"/>
      <c r="AQ602" s="733"/>
      <c r="AR602" s="456"/>
      <c r="AS602" s="733"/>
      <c r="AT602" s="456"/>
      <c r="AU602" s="733"/>
      <c r="AV602" s="449">
        <f t="shared" si="207"/>
        <v>0</v>
      </c>
      <c r="AW602" s="453">
        <f t="shared" si="208"/>
        <v>0</v>
      </c>
      <c r="AX602" s="451">
        <f t="shared" si="209"/>
        <v>0</v>
      </c>
      <c r="AY602" s="454">
        <f t="shared" si="210"/>
        <v>0</v>
      </c>
      <c r="AZ602" s="455">
        <f t="shared" si="211"/>
        <v>983.46222222222218</v>
      </c>
      <c r="BA602" s="451">
        <f t="shared" si="212"/>
        <v>1450.2199999999998</v>
      </c>
    </row>
    <row r="603" spans="1:53">
      <c r="A603" s="594" t="s">
        <v>234</v>
      </c>
      <c r="B603" s="739" t="s">
        <v>838</v>
      </c>
      <c r="C603" s="743"/>
      <c r="D603" s="729">
        <v>227386</v>
      </c>
      <c r="E603" s="730">
        <v>10</v>
      </c>
      <c r="F603" s="491" t="s">
        <v>41</v>
      </c>
      <c r="G603" s="492"/>
      <c r="H603" s="456">
        <v>24376</v>
      </c>
      <c r="I603" s="493">
        <v>24672</v>
      </c>
      <c r="J603" s="456">
        <v>3818</v>
      </c>
      <c r="K603" s="731">
        <v>2848</v>
      </c>
      <c r="L603" s="456">
        <v>1259</v>
      </c>
      <c r="M603" s="731">
        <v>1766</v>
      </c>
      <c r="N603" s="456">
        <v>26415</v>
      </c>
      <c r="O603" s="732">
        <v>27379</v>
      </c>
      <c r="P603" s="449">
        <f t="shared" si="195"/>
        <v>55868</v>
      </c>
      <c r="Q603" s="450">
        <f t="shared" si="196"/>
        <v>1862.2666666666667</v>
      </c>
      <c r="R603" s="451">
        <f t="shared" si="197"/>
        <v>56665</v>
      </c>
      <c r="S603" s="452">
        <f t="shared" si="198"/>
        <v>1888.8333333333333</v>
      </c>
      <c r="T603" s="456">
        <v>5073</v>
      </c>
      <c r="U603" s="731">
        <v>6149</v>
      </c>
      <c r="V603" s="449">
        <f t="shared" si="199"/>
        <v>55868</v>
      </c>
      <c r="W603" s="448">
        <f t="shared" si="200"/>
        <v>56665</v>
      </c>
      <c r="X603" s="456">
        <v>12599</v>
      </c>
      <c r="Y603" s="731">
        <v>13245</v>
      </c>
      <c r="Z603" s="456">
        <v>9374</v>
      </c>
      <c r="AA603" s="731">
        <v>7942</v>
      </c>
      <c r="AB603" s="456">
        <v>11055</v>
      </c>
      <c r="AC603" s="731">
        <v>12179</v>
      </c>
      <c r="AD603" s="456">
        <v>15209</v>
      </c>
      <c r="AE603" s="731">
        <v>7868</v>
      </c>
      <c r="AF603" s="449">
        <f t="shared" si="201"/>
        <v>48237</v>
      </c>
      <c r="AG603" s="450">
        <f t="shared" si="202"/>
        <v>53.596666666666664</v>
      </c>
      <c r="AH603" s="451">
        <f t="shared" si="203"/>
        <v>41234</v>
      </c>
      <c r="AI603" s="451">
        <f t="shared" si="204"/>
        <v>45.815555555555555</v>
      </c>
      <c r="AJ603" s="456"/>
      <c r="AK603" s="493"/>
      <c r="AL603" s="449">
        <f t="shared" si="205"/>
        <v>0</v>
      </c>
      <c r="AM603" s="452">
        <f t="shared" si="206"/>
        <v>0</v>
      </c>
      <c r="AN603" s="456"/>
      <c r="AO603" s="493"/>
      <c r="AP603" s="456"/>
      <c r="AQ603" s="733"/>
      <c r="AR603" s="456"/>
      <c r="AS603" s="733"/>
      <c r="AT603" s="456"/>
      <c r="AU603" s="733"/>
      <c r="AV603" s="449">
        <f t="shared" si="207"/>
        <v>0</v>
      </c>
      <c r="AW603" s="453">
        <f t="shared" si="208"/>
        <v>0</v>
      </c>
      <c r="AX603" s="451">
        <f t="shared" si="209"/>
        <v>0</v>
      </c>
      <c r="AY603" s="454">
        <f t="shared" si="210"/>
        <v>0</v>
      </c>
      <c r="AZ603" s="455">
        <f t="shared" si="211"/>
        <v>1915.8633333333332</v>
      </c>
      <c r="BA603" s="451">
        <f t="shared" si="212"/>
        <v>1934.6488888888889</v>
      </c>
    </row>
    <row r="604" spans="1:53">
      <c r="A604" s="594" t="s">
        <v>234</v>
      </c>
      <c r="B604" s="739" t="s">
        <v>839</v>
      </c>
      <c r="C604" s="743"/>
      <c r="D604" s="729">
        <v>227687</v>
      </c>
      <c r="E604" s="730">
        <v>10</v>
      </c>
      <c r="F604" s="491" t="s">
        <v>41</v>
      </c>
      <c r="G604" s="492"/>
      <c r="H604" s="456">
        <v>16760</v>
      </c>
      <c r="I604" s="493">
        <v>19111</v>
      </c>
      <c r="J604" s="456">
        <v>3768</v>
      </c>
      <c r="K604" s="731">
        <v>3510</v>
      </c>
      <c r="L604" s="456">
        <v>1136</v>
      </c>
      <c r="M604" s="731">
        <v>1060</v>
      </c>
      <c r="N604" s="456">
        <v>21241</v>
      </c>
      <c r="O604" s="732">
        <v>20731</v>
      </c>
      <c r="P604" s="449">
        <f t="shared" si="195"/>
        <v>42905</v>
      </c>
      <c r="Q604" s="450">
        <f t="shared" si="196"/>
        <v>1430.1666666666667</v>
      </c>
      <c r="R604" s="451">
        <f t="shared" si="197"/>
        <v>44412</v>
      </c>
      <c r="S604" s="452">
        <f t="shared" si="198"/>
        <v>1480.4</v>
      </c>
      <c r="T604" s="456">
        <v>7156</v>
      </c>
      <c r="U604" s="731">
        <v>8345</v>
      </c>
      <c r="V604" s="449">
        <f t="shared" si="199"/>
        <v>42905</v>
      </c>
      <c r="W604" s="448">
        <f t="shared" si="200"/>
        <v>44412</v>
      </c>
      <c r="X604" s="456">
        <v>9036</v>
      </c>
      <c r="Y604" s="731">
        <v>8711</v>
      </c>
      <c r="Z604" s="456">
        <v>9486</v>
      </c>
      <c r="AA604" s="731">
        <v>24916</v>
      </c>
      <c r="AB604" s="456">
        <v>12086</v>
      </c>
      <c r="AC604" s="731">
        <v>12542</v>
      </c>
      <c r="AD604" s="456">
        <v>9090</v>
      </c>
      <c r="AE604" s="731">
        <v>10075</v>
      </c>
      <c r="AF604" s="449">
        <f t="shared" si="201"/>
        <v>39698</v>
      </c>
      <c r="AG604" s="450">
        <f t="shared" si="202"/>
        <v>44.108888888888892</v>
      </c>
      <c r="AH604" s="451">
        <f t="shared" si="203"/>
        <v>56244</v>
      </c>
      <c r="AI604" s="451">
        <f t="shared" si="204"/>
        <v>62.493333333333332</v>
      </c>
      <c r="AJ604" s="456"/>
      <c r="AK604" s="493"/>
      <c r="AL604" s="449">
        <f t="shared" si="205"/>
        <v>0</v>
      </c>
      <c r="AM604" s="452">
        <f t="shared" si="206"/>
        <v>0</v>
      </c>
      <c r="AN604" s="456"/>
      <c r="AO604" s="493"/>
      <c r="AP604" s="456"/>
      <c r="AQ604" s="733"/>
      <c r="AR604" s="456"/>
      <c r="AS604" s="733"/>
      <c r="AT604" s="456"/>
      <c r="AU604" s="733"/>
      <c r="AV604" s="449">
        <f t="shared" si="207"/>
        <v>0</v>
      </c>
      <c r="AW604" s="453">
        <f t="shared" si="208"/>
        <v>0</v>
      </c>
      <c r="AX604" s="451">
        <f t="shared" si="209"/>
        <v>0</v>
      </c>
      <c r="AY604" s="454">
        <f t="shared" si="210"/>
        <v>0</v>
      </c>
      <c r="AZ604" s="455">
        <f t="shared" si="211"/>
        <v>1474.2755555555557</v>
      </c>
      <c r="BA604" s="451">
        <f t="shared" si="212"/>
        <v>1542.8933333333334</v>
      </c>
    </row>
    <row r="605" spans="1:53">
      <c r="A605" s="594" t="s">
        <v>234</v>
      </c>
      <c r="B605" s="754" t="s">
        <v>840</v>
      </c>
      <c r="C605" s="743"/>
      <c r="D605" s="729">
        <v>382911</v>
      </c>
      <c r="E605" s="730">
        <v>10</v>
      </c>
      <c r="F605" s="491" t="s">
        <v>41</v>
      </c>
      <c r="G605" s="492"/>
      <c r="H605" s="456">
        <v>1361</v>
      </c>
      <c r="I605" s="493">
        <v>1121</v>
      </c>
      <c r="J605" s="456">
        <v>60</v>
      </c>
      <c r="K605" s="733">
        <v>0</v>
      </c>
      <c r="L605" s="456">
        <v>0</v>
      </c>
      <c r="M605" s="733">
        <v>0</v>
      </c>
      <c r="N605" s="456">
        <v>1314</v>
      </c>
      <c r="O605" s="732">
        <v>1219</v>
      </c>
      <c r="P605" s="449">
        <f t="shared" si="195"/>
        <v>2735</v>
      </c>
      <c r="Q605" s="450">
        <f t="shared" si="196"/>
        <v>91.166666666666671</v>
      </c>
      <c r="R605" s="451">
        <f t="shared" si="197"/>
        <v>2340</v>
      </c>
      <c r="S605" s="452">
        <f t="shared" si="198"/>
        <v>78</v>
      </c>
      <c r="T605" s="456">
        <v>0</v>
      </c>
      <c r="U605" s="733">
        <v>0</v>
      </c>
      <c r="V605" s="449">
        <f t="shared" si="199"/>
        <v>2735</v>
      </c>
      <c r="W605" s="448">
        <f t="shared" si="200"/>
        <v>2340</v>
      </c>
      <c r="X605" s="456"/>
      <c r="Y605" s="733"/>
      <c r="Z605" s="456"/>
      <c r="AA605" s="733"/>
      <c r="AB605" s="456"/>
      <c r="AC605" s="733"/>
      <c r="AD605" s="456"/>
      <c r="AE605" s="733"/>
      <c r="AF605" s="449">
        <f t="shared" si="201"/>
        <v>0</v>
      </c>
      <c r="AG605" s="450">
        <f t="shared" si="202"/>
        <v>0</v>
      </c>
      <c r="AH605" s="451">
        <f t="shared" si="203"/>
        <v>0</v>
      </c>
      <c r="AI605" s="451">
        <f t="shared" si="204"/>
        <v>0</v>
      </c>
      <c r="AJ605" s="456"/>
      <c r="AK605" s="493"/>
      <c r="AL605" s="449">
        <f t="shared" si="205"/>
        <v>0</v>
      </c>
      <c r="AM605" s="452">
        <f t="shared" si="206"/>
        <v>0</v>
      </c>
      <c r="AN605" s="456"/>
      <c r="AO605" s="493"/>
      <c r="AP605" s="456"/>
      <c r="AQ605" s="733"/>
      <c r="AR605" s="456"/>
      <c r="AS605" s="733"/>
      <c r="AT605" s="456"/>
      <c r="AU605" s="733"/>
      <c r="AV605" s="449">
        <f t="shared" si="207"/>
        <v>0</v>
      </c>
      <c r="AW605" s="453">
        <f t="shared" si="208"/>
        <v>0</v>
      </c>
      <c r="AX605" s="451">
        <f t="shared" si="209"/>
        <v>0</v>
      </c>
      <c r="AY605" s="454">
        <f t="shared" si="210"/>
        <v>0</v>
      </c>
      <c r="AZ605" s="455">
        <f t="shared" si="211"/>
        <v>91.166666666666671</v>
      </c>
      <c r="BA605" s="451">
        <f t="shared" si="212"/>
        <v>78</v>
      </c>
    </row>
    <row r="606" spans="1:53">
      <c r="A606" s="594" t="s">
        <v>234</v>
      </c>
      <c r="B606" s="739" t="s">
        <v>841</v>
      </c>
      <c r="C606" s="743"/>
      <c r="D606" s="729">
        <v>408394</v>
      </c>
      <c r="E606" s="730">
        <v>10</v>
      </c>
      <c r="F606" s="491" t="s">
        <v>41</v>
      </c>
      <c r="G606" s="492"/>
      <c r="H606" s="456">
        <v>6889</v>
      </c>
      <c r="I606" s="493">
        <v>6613</v>
      </c>
      <c r="J606" s="456">
        <v>4220</v>
      </c>
      <c r="K606" s="731">
        <v>4029</v>
      </c>
      <c r="L606" s="456">
        <v>0</v>
      </c>
      <c r="M606" s="733">
        <v>0</v>
      </c>
      <c r="N606" s="456">
        <v>7948</v>
      </c>
      <c r="O606" s="732">
        <v>7917</v>
      </c>
      <c r="P606" s="449">
        <f t="shared" si="195"/>
        <v>19057</v>
      </c>
      <c r="Q606" s="450">
        <f t="shared" si="196"/>
        <v>635.23333333333335</v>
      </c>
      <c r="R606" s="451">
        <f t="shared" si="197"/>
        <v>18559</v>
      </c>
      <c r="S606" s="452">
        <f t="shared" si="198"/>
        <v>618.63333333333333</v>
      </c>
      <c r="T606" s="456">
        <v>1945</v>
      </c>
      <c r="U606" s="731">
        <v>1829</v>
      </c>
      <c r="V606" s="449">
        <f t="shared" si="199"/>
        <v>19057</v>
      </c>
      <c r="W606" s="448">
        <f t="shared" si="200"/>
        <v>18559</v>
      </c>
      <c r="X606" s="456">
        <v>3449</v>
      </c>
      <c r="Y606" s="731">
        <v>7368</v>
      </c>
      <c r="Z606" s="456">
        <v>4568</v>
      </c>
      <c r="AA606" s="731">
        <v>6032</v>
      </c>
      <c r="AB606" s="456">
        <v>3477</v>
      </c>
      <c r="AC606" s="731">
        <v>7408</v>
      </c>
      <c r="AD606" s="456">
        <v>5976</v>
      </c>
      <c r="AE606" s="731">
        <v>4312</v>
      </c>
      <c r="AF606" s="449">
        <f t="shared" si="201"/>
        <v>17470</v>
      </c>
      <c r="AG606" s="450">
        <f t="shared" si="202"/>
        <v>19.411111111111111</v>
      </c>
      <c r="AH606" s="451">
        <f t="shared" si="203"/>
        <v>25120</v>
      </c>
      <c r="AI606" s="451">
        <f t="shared" si="204"/>
        <v>27.911111111111111</v>
      </c>
      <c r="AJ606" s="456"/>
      <c r="AK606" s="493"/>
      <c r="AL606" s="449">
        <f t="shared" si="205"/>
        <v>0</v>
      </c>
      <c r="AM606" s="452">
        <f t="shared" si="206"/>
        <v>0</v>
      </c>
      <c r="AN606" s="456"/>
      <c r="AO606" s="493"/>
      <c r="AP606" s="456"/>
      <c r="AQ606" s="733"/>
      <c r="AR606" s="456"/>
      <c r="AS606" s="733"/>
      <c r="AT606" s="456"/>
      <c r="AU606" s="733"/>
      <c r="AV606" s="449">
        <f t="shared" si="207"/>
        <v>0</v>
      </c>
      <c r="AW606" s="453">
        <f t="shared" si="208"/>
        <v>0</v>
      </c>
      <c r="AX606" s="451">
        <f t="shared" si="209"/>
        <v>0</v>
      </c>
      <c r="AY606" s="454">
        <f t="shared" si="210"/>
        <v>0</v>
      </c>
      <c r="AZ606" s="455">
        <f t="shared" si="211"/>
        <v>654.6444444444445</v>
      </c>
      <c r="BA606" s="451">
        <f t="shared" si="212"/>
        <v>646.54444444444448</v>
      </c>
    </row>
    <row r="607" spans="1:53">
      <c r="A607" s="594" t="s">
        <v>234</v>
      </c>
      <c r="B607" s="739" t="s">
        <v>842</v>
      </c>
      <c r="C607" s="745"/>
      <c r="D607" s="741">
        <v>229328</v>
      </c>
      <c r="E607" s="742">
        <v>10</v>
      </c>
      <c r="F607" s="491" t="s">
        <v>41</v>
      </c>
      <c r="G607" s="492"/>
      <c r="H607" s="456">
        <v>10147</v>
      </c>
      <c r="I607" s="493">
        <v>10066</v>
      </c>
      <c r="J607" s="456">
        <v>7300</v>
      </c>
      <c r="K607" s="731">
        <v>6532</v>
      </c>
      <c r="L607" s="456">
        <v>0</v>
      </c>
      <c r="M607" s="733">
        <v>0</v>
      </c>
      <c r="N607" s="456">
        <v>11736</v>
      </c>
      <c r="O607" s="732">
        <v>10833</v>
      </c>
      <c r="P607" s="449">
        <f t="shared" si="195"/>
        <v>29183</v>
      </c>
      <c r="Q607" s="450">
        <f t="shared" si="196"/>
        <v>972.76666666666665</v>
      </c>
      <c r="R607" s="451">
        <f t="shared" si="197"/>
        <v>27431</v>
      </c>
      <c r="S607" s="452">
        <f t="shared" si="198"/>
        <v>914.36666666666667</v>
      </c>
      <c r="T607" s="456">
        <v>2315</v>
      </c>
      <c r="U607" s="731">
        <v>2817</v>
      </c>
      <c r="V607" s="449">
        <f t="shared" si="199"/>
        <v>29183</v>
      </c>
      <c r="W607" s="448">
        <f t="shared" si="200"/>
        <v>27431</v>
      </c>
      <c r="X607" s="456">
        <v>2120</v>
      </c>
      <c r="Y607" s="731">
        <v>1513</v>
      </c>
      <c r="Z607" s="456">
        <v>4608</v>
      </c>
      <c r="AA607" s="731">
        <v>1547</v>
      </c>
      <c r="AB607" s="456">
        <v>2964</v>
      </c>
      <c r="AC607" s="733">
        <v>945</v>
      </c>
      <c r="AD607" s="456">
        <v>3124</v>
      </c>
      <c r="AE607" s="731">
        <v>1752</v>
      </c>
      <c r="AF607" s="449">
        <f t="shared" si="201"/>
        <v>12816</v>
      </c>
      <c r="AG607" s="450">
        <f t="shared" si="202"/>
        <v>14.24</v>
      </c>
      <c r="AH607" s="451">
        <f t="shared" si="203"/>
        <v>5757</v>
      </c>
      <c r="AI607" s="451">
        <f t="shared" si="204"/>
        <v>6.3966666666666665</v>
      </c>
      <c r="AJ607" s="456"/>
      <c r="AK607" s="493"/>
      <c r="AL607" s="449">
        <f t="shared" si="205"/>
        <v>0</v>
      </c>
      <c r="AM607" s="452">
        <f t="shared" si="206"/>
        <v>0</v>
      </c>
      <c r="AN607" s="456"/>
      <c r="AO607" s="493"/>
      <c r="AP607" s="456"/>
      <c r="AQ607" s="733"/>
      <c r="AR607" s="456"/>
      <c r="AS607" s="733"/>
      <c r="AT607" s="456"/>
      <c r="AU607" s="733"/>
      <c r="AV607" s="449">
        <f t="shared" si="207"/>
        <v>0</v>
      </c>
      <c r="AW607" s="453">
        <f t="shared" si="208"/>
        <v>0</v>
      </c>
      <c r="AX607" s="451">
        <f t="shared" si="209"/>
        <v>0</v>
      </c>
      <c r="AY607" s="454">
        <f t="shared" si="210"/>
        <v>0</v>
      </c>
      <c r="AZ607" s="455">
        <f t="shared" si="211"/>
        <v>987.00666666666666</v>
      </c>
      <c r="BA607" s="451">
        <f t="shared" si="212"/>
        <v>920.76333333333332</v>
      </c>
    </row>
    <row r="608" spans="1:53">
      <c r="A608" s="594" t="s">
        <v>234</v>
      </c>
      <c r="B608" s="739" t="s">
        <v>843</v>
      </c>
      <c r="C608" s="743"/>
      <c r="D608" s="729">
        <v>229832</v>
      </c>
      <c r="E608" s="730">
        <v>10</v>
      </c>
      <c r="F608" s="491" t="s">
        <v>41</v>
      </c>
      <c r="G608" s="492"/>
      <c r="H608" s="456">
        <v>16599</v>
      </c>
      <c r="I608" s="493">
        <v>16396</v>
      </c>
      <c r="J608" s="456">
        <v>6619</v>
      </c>
      <c r="K608" s="731">
        <v>7275</v>
      </c>
      <c r="L608" s="456">
        <v>2551</v>
      </c>
      <c r="M608" s="731">
        <v>2918</v>
      </c>
      <c r="N608" s="456">
        <v>17477</v>
      </c>
      <c r="O608" s="732">
        <v>16972</v>
      </c>
      <c r="P608" s="449">
        <f t="shared" si="195"/>
        <v>43246</v>
      </c>
      <c r="Q608" s="450">
        <f t="shared" si="196"/>
        <v>1441.5333333333333</v>
      </c>
      <c r="R608" s="451">
        <f t="shared" si="197"/>
        <v>43561</v>
      </c>
      <c r="S608" s="452">
        <f t="shared" si="198"/>
        <v>1452.0333333333333</v>
      </c>
      <c r="T608" s="456">
        <v>7467</v>
      </c>
      <c r="U608" s="731">
        <v>8621</v>
      </c>
      <c r="V608" s="449">
        <f t="shared" si="199"/>
        <v>43246</v>
      </c>
      <c r="W608" s="448">
        <f t="shared" si="200"/>
        <v>43561</v>
      </c>
      <c r="X608" s="456">
        <v>21153</v>
      </c>
      <c r="Y608" s="731">
        <v>12853</v>
      </c>
      <c r="Z608" s="456">
        <v>33667</v>
      </c>
      <c r="AA608" s="731">
        <v>25382</v>
      </c>
      <c r="AB608" s="456">
        <v>13009</v>
      </c>
      <c r="AC608" s="731">
        <v>11821</v>
      </c>
      <c r="AD608" s="456">
        <v>28465</v>
      </c>
      <c r="AE608" s="731">
        <v>29433</v>
      </c>
      <c r="AF608" s="449">
        <f t="shared" si="201"/>
        <v>96294</v>
      </c>
      <c r="AG608" s="450">
        <f t="shared" si="202"/>
        <v>106.99333333333334</v>
      </c>
      <c r="AH608" s="451">
        <f t="shared" si="203"/>
        <v>79489</v>
      </c>
      <c r="AI608" s="451">
        <f t="shared" si="204"/>
        <v>88.321111111111108</v>
      </c>
      <c r="AJ608" s="456"/>
      <c r="AK608" s="493"/>
      <c r="AL608" s="449">
        <f t="shared" si="205"/>
        <v>0</v>
      </c>
      <c r="AM608" s="452">
        <f t="shared" si="206"/>
        <v>0</v>
      </c>
      <c r="AN608" s="456"/>
      <c r="AO608" s="493"/>
      <c r="AP608" s="456"/>
      <c r="AQ608" s="733"/>
      <c r="AR608" s="456"/>
      <c r="AS608" s="733"/>
      <c r="AT608" s="456"/>
      <c r="AU608" s="733"/>
      <c r="AV608" s="449">
        <f t="shared" si="207"/>
        <v>0</v>
      </c>
      <c r="AW608" s="453">
        <f t="shared" si="208"/>
        <v>0</v>
      </c>
      <c r="AX608" s="451">
        <f t="shared" si="209"/>
        <v>0</v>
      </c>
      <c r="AY608" s="454">
        <f t="shared" si="210"/>
        <v>0</v>
      </c>
      <c r="AZ608" s="455">
        <f t="shared" si="211"/>
        <v>1548.5266666666666</v>
      </c>
      <c r="BA608" s="451">
        <f t="shared" si="212"/>
        <v>1540.3544444444444</v>
      </c>
    </row>
    <row r="609" spans="1:53">
      <c r="A609" s="594" t="s">
        <v>234</v>
      </c>
      <c r="B609" s="747" t="s">
        <v>844</v>
      </c>
      <c r="C609" s="747"/>
      <c r="D609" s="597"/>
      <c r="E609" s="755">
        <v>11</v>
      </c>
      <c r="F609" s="491" t="s">
        <v>41</v>
      </c>
      <c r="G609" s="492"/>
      <c r="H609" s="756">
        <v>455317</v>
      </c>
      <c r="I609" s="757">
        <f>I614+I618</f>
        <v>446949</v>
      </c>
      <c r="J609" s="756">
        <v>171057</v>
      </c>
      <c r="K609" s="731">
        <f>K614+K618</f>
        <v>177199</v>
      </c>
      <c r="L609" s="756">
        <v>0</v>
      </c>
      <c r="M609" s="731">
        <f>M614+M618</f>
        <v>0</v>
      </c>
      <c r="N609" s="756">
        <v>406484</v>
      </c>
      <c r="O609" s="732">
        <f>O614+O618</f>
        <v>409197</v>
      </c>
      <c r="P609" s="449">
        <f t="shared" si="195"/>
        <v>1032858</v>
      </c>
      <c r="Q609" s="450">
        <f t="shared" si="196"/>
        <v>34428.6</v>
      </c>
      <c r="R609" s="451">
        <f t="shared" si="197"/>
        <v>1033345</v>
      </c>
      <c r="S609" s="452">
        <f t="shared" si="198"/>
        <v>34444.833333333336</v>
      </c>
      <c r="T609" s="756">
        <v>86623</v>
      </c>
      <c r="U609" s="733">
        <f>U614+U618</f>
        <v>101860</v>
      </c>
      <c r="V609" s="449">
        <f t="shared" si="199"/>
        <v>1032858</v>
      </c>
      <c r="W609" s="448">
        <f t="shared" si="200"/>
        <v>1033345</v>
      </c>
      <c r="X609" s="756">
        <v>117946</v>
      </c>
      <c r="Y609" s="758">
        <f>Y614+Y618</f>
        <v>123642</v>
      </c>
      <c r="Z609" s="756">
        <v>161923</v>
      </c>
      <c r="AA609" s="758">
        <f>AA614+AA618</f>
        <v>125171</v>
      </c>
      <c r="AB609" s="756">
        <v>150363</v>
      </c>
      <c r="AC609" s="758">
        <f>AC614+AC618</f>
        <v>119697</v>
      </c>
      <c r="AD609" s="756">
        <v>142039</v>
      </c>
      <c r="AE609" s="758">
        <f>AE614+AE618</f>
        <v>111508</v>
      </c>
      <c r="AF609" s="449">
        <f t="shared" si="201"/>
        <v>572271</v>
      </c>
      <c r="AG609" s="450">
        <f t="shared" si="202"/>
        <v>635.85666666666668</v>
      </c>
      <c r="AH609" s="451">
        <f t="shared" si="203"/>
        <v>480018</v>
      </c>
      <c r="AI609" s="451">
        <f t="shared" si="204"/>
        <v>533.35333333333335</v>
      </c>
      <c r="AJ609" s="756"/>
      <c r="AK609" s="758"/>
      <c r="AL609" s="449">
        <f t="shared" si="205"/>
        <v>0</v>
      </c>
      <c r="AM609" s="452">
        <f t="shared" si="206"/>
        <v>0</v>
      </c>
      <c r="AN609" s="756"/>
      <c r="AO609" s="758"/>
      <c r="AP609" s="756"/>
      <c r="AQ609" s="733"/>
      <c r="AR609" s="756"/>
      <c r="AS609" s="733"/>
      <c r="AT609" s="756"/>
      <c r="AU609" s="733"/>
      <c r="AV609" s="449">
        <f t="shared" si="207"/>
        <v>0</v>
      </c>
      <c r="AW609" s="453">
        <f t="shared" si="208"/>
        <v>0</v>
      </c>
      <c r="AX609" s="451">
        <f t="shared" si="209"/>
        <v>0</v>
      </c>
      <c r="AY609" s="454">
        <f t="shared" si="210"/>
        <v>0</v>
      </c>
      <c r="AZ609" s="455">
        <f t="shared" si="211"/>
        <v>35064.456666666665</v>
      </c>
      <c r="BA609" s="451">
        <f t="shared" si="212"/>
        <v>34978.186666666668</v>
      </c>
    </row>
    <row r="610" spans="1:53">
      <c r="A610" s="594" t="s">
        <v>234</v>
      </c>
      <c r="B610" s="744" t="s">
        <v>845</v>
      </c>
      <c r="C610" s="744"/>
      <c r="D610" s="597"/>
      <c r="E610" s="755">
        <v>11</v>
      </c>
      <c r="F610" s="491" t="s">
        <v>41</v>
      </c>
      <c r="G610" s="492"/>
      <c r="H610" s="756">
        <v>558215</v>
      </c>
      <c r="I610" s="757">
        <f>I615+I616</f>
        <v>550686</v>
      </c>
      <c r="J610" s="756">
        <v>296813</v>
      </c>
      <c r="K610" s="731">
        <f>K615+K616</f>
        <v>303598</v>
      </c>
      <c r="L610" s="756">
        <v>0</v>
      </c>
      <c r="M610" s="731">
        <f>M615+M616</f>
        <v>0</v>
      </c>
      <c r="N610" s="756">
        <v>472500</v>
      </c>
      <c r="O610" s="732">
        <f>O615+O616</f>
        <v>466836</v>
      </c>
      <c r="P610" s="449">
        <f t="shared" si="195"/>
        <v>1327528</v>
      </c>
      <c r="Q610" s="450">
        <f t="shared" si="196"/>
        <v>44250.933333333334</v>
      </c>
      <c r="R610" s="451">
        <f t="shared" si="197"/>
        <v>1321120</v>
      </c>
      <c r="S610" s="452">
        <f t="shared" si="198"/>
        <v>44037.333333333336</v>
      </c>
      <c r="T610" s="756">
        <v>118392</v>
      </c>
      <c r="U610" s="733">
        <f>U615+U616</f>
        <v>134601</v>
      </c>
      <c r="V610" s="449">
        <f t="shared" si="199"/>
        <v>1327528</v>
      </c>
      <c r="W610" s="448">
        <f t="shared" si="200"/>
        <v>1321120</v>
      </c>
      <c r="X610" s="756">
        <v>689363</v>
      </c>
      <c r="Y610" s="758">
        <f>Y615+Y616</f>
        <v>737303</v>
      </c>
      <c r="Z610" s="756">
        <v>682429</v>
      </c>
      <c r="AA610" s="758">
        <f>AA615+AA616</f>
        <v>822144</v>
      </c>
      <c r="AB610" s="756">
        <v>666561</v>
      </c>
      <c r="AC610" s="758">
        <f>AC615+AC616</f>
        <v>750388</v>
      </c>
      <c r="AD610" s="756">
        <v>875801</v>
      </c>
      <c r="AE610" s="758">
        <f>AE615+AE616</f>
        <v>957130</v>
      </c>
      <c r="AF610" s="449">
        <f t="shared" si="201"/>
        <v>2914154</v>
      </c>
      <c r="AG610" s="450">
        <f t="shared" si="202"/>
        <v>3237.9488888888891</v>
      </c>
      <c r="AH610" s="451">
        <f t="shared" si="203"/>
        <v>3266965</v>
      </c>
      <c r="AI610" s="451">
        <f t="shared" si="204"/>
        <v>3629.9611111111112</v>
      </c>
      <c r="AJ610" s="756"/>
      <c r="AK610" s="758"/>
      <c r="AL610" s="449">
        <f t="shared" si="205"/>
        <v>0</v>
      </c>
      <c r="AM610" s="452">
        <f t="shared" si="206"/>
        <v>0</v>
      </c>
      <c r="AN610" s="756"/>
      <c r="AO610" s="758"/>
      <c r="AP610" s="756"/>
      <c r="AQ610" s="733"/>
      <c r="AR610" s="756"/>
      <c r="AS610" s="733"/>
      <c r="AT610" s="756"/>
      <c r="AU610" s="733"/>
      <c r="AV610" s="449">
        <f t="shared" si="207"/>
        <v>0</v>
      </c>
      <c r="AW610" s="453">
        <f t="shared" si="208"/>
        <v>0</v>
      </c>
      <c r="AX610" s="451">
        <f t="shared" si="209"/>
        <v>0</v>
      </c>
      <c r="AY610" s="454">
        <f t="shared" si="210"/>
        <v>0</v>
      </c>
      <c r="AZ610" s="455">
        <f t="shared" si="211"/>
        <v>47488.882222222222</v>
      </c>
      <c r="BA610" s="451">
        <f t="shared" si="212"/>
        <v>47667.294444444444</v>
      </c>
    </row>
    <row r="611" spans="1:53">
      <c r="A611" s="594" t="s">
        <v>234</v>
      </c>
      <c r="B611" s="749" t="s">
        <v>846</v>
      </c>
      <c r="C611" s="749"/>
      <c r="D611" s="597"/>
      <c r="E611" s="755">
        <v>11</v>
      </c>
      <c r="F611" s="491" t="s">
        <v>41</v>
      </c>
      <c r="G611" s="492"/>
      <c r="H611" s="756">
        <v>31481</v>
      </c>
      <c r="I611" s="757">
        <f>I617+I619</f>
        <v>27177</v>
      </c>
      <c r="J611" s="756">
        <v>3284</v>
      </c>
      <c r="K611" s="731">
        <f>K617+K619</f>
        <v>3688</v>
      </c>
      <c r="L611" s="756">
        <v>1703</v>
      </c>
      <c r="M611" s="731">
        <f>M617+M619</f>
        <v>1600</v>
      </c>
      <c r="N611" s="756">
        <v>30708</v>
      </c>
      <c r="O611" s="732">
        <f>O617+O619</f>
        <v>30772</v>
      </c>
      <c r="P611" s="449">
        <f t="shared" si="195"/>
        <v>67176</v>
      </c>
      <c r="Q611" s="450">
        <f t="shared" si="196"/>
        <v>2239.1999999999998</v>
      </c>
      <c r="R611" s="451">
        <f t="shared" si="197"/>
        <v>63237</v>
      </c>
      <c r="S611" s="452">
        <f t="shared" si="198"/>
        <v>2107.9</v>
      </c>
      <c r="T611" s="756">
        <v>16398</v>
      </c>
      <c r="U611" s="733">
        <f>U617+U619</f>
        <v>17667</v>
      </c>
      <c r="V611" s="449">
        <f t="shared" si="199"/>
        <v>67176</v>
      </c>
      <c r="W611" s="448">
        <f t="shared" si="200"/>
        <v>63237</v>
      </c>
      <c r="X611" s="756">
        <v>173459</v>
      </c>
      <c r="Y611" s="758">
        <f>Y617+Y619</f>
        <v>130658</v>
      </c>
      <c r="Z611" s="756">
        <v>172296</v>
      </c>
      <c r="AA611" s="758">
        <f>AA617+AA619</f>
        <v>128260</v>
      </c>
      <c r="AB611" s="756">
        <v>152628</v>
      </c>
      <c r="AC611" s="758">
        <f>AC617+AC619</f>
        <v>140947</v>
      </c>
      <c r="AD611" s="756">
        <v>166857</v>
      </c>
      <c r="AE611" s="758">
        <f>AE617+AE619</f>
        <v>131190</v>
      </c>
      <c r="AF611" s="449">
        <f t="shared" si="201"/>
        <v>665240</v>
      </c>
      <c r="AG611" s="450">
        <f t="shared" si="202"/>
        <v>739.15555555555557</v>
      </c>
      <c r="AH611" s="451">
        <f t="shared" si="203"/>
        <v>531055</v>
      </c>
      <c r="AI611" s="451">
        <f t="shared" si="204"/>
        <v>590.06111111111113</v>
      </c>
      <c r="AJ611" s="756"/>
      <c r="AK611" s="758"/>
      <c r="AL611" s="449">
        <f t="shared" si="205"/>
        <v>0</v>
      </c>
      <c r="AM611" s="452">
        <f t="shared" si="206"/>
        <v>0</v>
      </c>
      <c r="AN611" s="756"/>
      <c r="AO611" s="758"/>
      <c r="AP611" s="756"/>
      <c r="AQ611" s="733"/>
      <c r="AR611" s="756"/>
      <c r="AS611" s="733"/>
      <c r="AT611" s="756"/>
      <c r="AU611" s="733"/>
      <c r="AV611" s="449">
        <f t="shared" si="207"/>
        <v>0</v>
      </c>
      <c r="AW611" s="453">
        <f t="shared" si="208"/>
        <v>0</v>
      </c>
      <c r="AX611" s="451">
        <f t="shared" si="209"/>
        <v>0</v>
      </c>
      <c r="AY611" s="454">
        <f t="shared" si="210"/>
        <v>0</v>
      </c>
      <c r="AZ611" s="455">
        <f t="shared" si="211"/>
        <v>2978.3555555555554</v>
      </c>
      <c r="BA611" s="451">
        <f t="shared" si="212"/>
        <v>2697.9611111111112</v>
      </c>
    </row>
    <row r="612" spans="1:53">
      <c r="A612" s="594" t="s">
        <v>234</v>
      </c>
      <c r="B612" s="734" t="s">
        <v>847</v>
      </c>
      <c r="C612" s="598" t="s">
        <v>848</v>
      </c>
      <c r="D612" s="738">
        <v>443711</v>
      </c>
      <c r="E612" s="730">
        <v>99</v>
      </c>
      <c r="F612" s="491" t="s">
        <v>41</v>
      </c>
      <c r="G612" s="492"/>
      <c r="H612" s="456"/>
      <c r="I612" s="757">
        <v>0</v>
      </c>
      <c r="J612" s="456">
        <v>14983</v>
      </c>
      <c r="K612" s="731">
        <v>17970</v>
      </c>
      <c r="L612" s="456">
        <v>3456</v>
      </c>
      <c r="M612" s="731">
        <v>5282</v>
      </c>
      <c r="N612" s="456">
        <v>18913</v>
      </c>
      <c r="O612" s="732">
        <v>20795</v>
      </c>
      <c r="P612" s="449">
        <f t="shared" si="195"/>
        <v>37352</v>
      </c>
      <c r="Q612" s="450">
        <f t="shared" si="196"/>
        <v>1245.0666666666666</v>
      </c>
      <c r="R612" s="451">
        <f t="shared" si="197"/>
        <v>44047</v>
      </c>
      <c r="S612" s="452">
        <f t="shared" si="198"/>
        <v>1468.2333333333333</v>
      </c>
      <c r="T612" s="456"/>
      <c r="U612" s="733">
        <v>0</v>
      </c>
      <c r="V612" s="449">
        <f t="shared" si="199"/>
        <v>0</v>
      </c>
      <c r="W612" s="448">
        <f t="shared" si="200"/>
        <v>44047</v>
      </c>
      <c r="X612" s="456"/>
      <c r="Y612" s="757"/>
      <c r="Z612" s="456"/>
      <c r="AA612" s="757"/>
      <c r="AB612" s="456"/>
      <c r="AC612" s="757"/>
      <c r="AD612" s="456"/>
      <c r="AE612" s="757"/>
      <c r="AF612" s="449">
        <f t="shared" si="201"/>
        <v>0</v>
      </c>
      <c r="AG612" s="450">
        <f t="shared" si="202"/>
        <v>0</v>
      </c>
      <c r="AH612" s="451">
        <f t="shared" si="203"/>
        <v>0</v>
      </c>
      <c r="AI612" s="451">
        <f t="shared" si="204"/>
        <v>0</v>
      </c>
      <c r="AJ612" s="456"/>
      <c r="AK612" s="757"/>
      <c r="AL612" s="449">
        <f t="shared" si="205"/>
        <v>0</v>
      </c>
      <c r="AM612" s="452">
        <f t="shared" si="206"/>
        <v>0</v>
      </c>
      <c r="AN612" s="456"/>
      <c r="AO612" s="757"/>
      <c r="AP612" s="456">
        <v>1311</v>
      </c>
      <c r="AQ612" s="731">
        <v>1668</v>
      </c>
      <c r="AR612" s="456">
        <v>1629</v>
      </c>
      <c r="AS612" s="731">
        <v>1343</v>
      </c>
      <c r="AT612" s="456">
        <v>1684</v>
      </c>
      <c r="AU612" s="731">
        <v>5211</v>
      </c>
      <c r="AV612" s="449">
        <f t="shared" si="207"/>
        <v>4624</v>
      </c>
      <c r="AW612" s="453">
        <f t="shared" si="208"/>
        <v>192.66666666666666</v>
      </c>
      <c r="AX612" s="451">
        <f t="shared" si="209"/>
        <v>8222</v>
      </c>
      <c r="AY612" s="454">
        <f t="shared" si="210"/>
        <v>342.58333333333331</v>
      </c>
      <c r="AZ612" s="455">
        <f t="shared" si="211"/>
        <v>1437.7333333333333</v>
      </c>
      <c r="BA612" s="451">
        <f t="shared" si="212"/>
        <v>1810.8166666666666</v>
      </c>
    </row>
    <row r="613" spans="1:53">
      <c r="A613" s="594" t="s">
        <v>234</v>
      </c>
      <c r="B613" s="759" t="s">
        <v>849</v>
      </c>
      <c r="C613" s="598" t="s">
        <v>850</v>
      </c>
      <c r="D613" s="738"/>
      <c r="E613" s="730">
        <v>99</v>
      </c>
      <c r="F613" s="491" t="s">
        <v>41</v>
      </c>
      <c r="G613" s="492"/>
      <c r="H613" s="456"/>
      <c r="I613" s="757">
        <v>0</v>
      </c>
      <c r="J613" s="456">
        <v>0</v>
      </c>
      <c r="K613" s="731">
        <v>0</v>
      </c>
      <c r="L613" s="456">
        <v>0</v>
      </c>
      <c r="M613" s="731">
        <v>0</v>
      </c>
      <c r="N613" s="456">
        <v>0</v>
      </c>
      <c r="O613" s="732">
        <v>0</v>
      </c>
      <c r="P613" s="449">
        <f t="shared" si="195"/>
        <v>0</v>
      </c>
      <c r="Q613" s="450">
        <f t="shared" si="196"/>
        <v>0</v>
      </c>
      <c r="R613" s="451">
        <f t="shared" si="197"/>
        <v>0</v>
      </c>
      <c r="S613" s="452">
        <f t="shared" si="198"/>
        <v>0</v>
      </c>
      <c r="T613" s="456"/>
      <c r="U613" s="733">
        <v>0</v>
      </c>
      <c r="V613" s="449">
        <f t="shared" si="199"/>
        <v>0</v>
      </c>
      <c r="W613" s="448">
        <f t="shared" si="200"/>
        <v>0</v>
      </c>
      <c r="X613" s="456"/>
      <c r="Y613" s="757"/>
      <c r="Z613" s="456"/>
      <c r="AA613" s="757"/>
      <c r="AB613" s="456"/>
      <c r="AC613" s="757"/>
      <c r="AD613" s="456"/>
      <c r="AE613" s="757"/>
      <c r="AF613" s="449">
        <f t="shared" si="201"/>
        <v>0</v>
      </c>
      <c r="AG613" s="450">
        <f t="shared" si="202"/>
        <v>0</v>
      </c>
      <c r="AH613" s="451">
        <f t="shared" si="203"/>
        <v>0</v>
      </c>
      <c r="AI613" s="451">
        <f t="shared" si="204"/>
        <v>0</v>
      </c>
      <c r="AJ613" s="456"/>
      <c r="AK613" s="757"/>
      <c r="AL613" s="449">
        <f t="shared" si="205"/>
        <v>0</v>
      </c>
      <c r="AM613" s="452">
        <f t="shared" si="206"/>
        <v>0</v>
      </c>
      <c r="AN613" s="456"/>
      <c r="AO613" s="757"/>
      <c r="AP613" s="456">
        <v>0</v>
      </c>
      <c r="AQ613" s="731">
        <v>1789</v>
      </c>
      <c r="AR613" s="456">
        <v>0</v>
      </c>
      <c r="AS613" s="733">
        <v>290</v>
      </c>
      <c r="AT613" s="456">
        <v>2191</v>
      </c>
      <c r="AU613" s="733">
        <v>0</v>
      </c>
      <c r="AV613" s="449">
        <f t="shared" si="207"/>
        <v>2191</v>
      </c>
      <c r="AW613" s="453">
        <f t="shared" si="208"/>
        <v>91.291666666666671</v>
      </c>
      <c r="AX613" s="451">
        <f t="shared" si="209"/>
        <v>2079</v>
      </c>
      <c r="AY613" s="454">
        <f t="shared" si="210"/>
        <v>86.625</v>
      </c>
      <c r="AZ613" s="455">
        <f t="shared" si="211"/>
        <v>91.291666666666671</v>
      </c>
      <c r="BA613" s="451">
        <f t="shared" si="212"/>
        <v>86.625</v>
      </c>
    </row>
    <row r="614" spans="1:53">
      <c r="A614" s="594" t="s">
        <v>234</v>
      </c>
      <c r="B614" s="747" t="s">
        <v>844</v>
      </c>
      <c r="C614" s="760"/>
      <c r="D614" s="597"/>
      <c r="E614" s="761" t="s">
        <v>235</v>
      </c>
      <c r="F614" s="491" t="s">
        <v>41</v>
      </c>
      <c r="G614" s="492"/>
      <c r="H614" s="795">
        <v>443182</v>
      </c>
      <c r="I614" s="823">
        <v>430985</v>
      </c>
      <c r="J614" s="795">
        <v>167096</v>
      </c>
      <c r="K614" s="823">
        <v>169444</v>
      </c>
      <c r="L614" s="795">
        <v>0</v>
      </c>
      <c r="M614" s="823">
        <v>0</v>
      </c>
      <c r="N614" s="795">
        <v>394514</v>
      </c>
      <c r="O614" s="824">
        <v>389795</v>
      </c>
      <c r="P614" s="449">
        <f t="shared" si="195"/>
        <v>1004792</v>
      </c>
      <c r="Q614" s="450">
        <f t="shared" si="196"/>
        <v>33493.066666666666</v>
      </c>
      <c r="R614" s="451">
        <f t="shared" si="197"/>
        <v>990224</v>
      </c>
      <c r="S614" s="452">
        <f t="shared" si="198"/>
        <v>33007.466666666667</v>
      </c>
      <c r="T614" s="795">
        <v>86623</v>
      </c>
      <c r="U614" s="825">
        <v>101836</v>
      </c>
      <c r="V614" s="449">
        <f t="shared" si="199"/>
        <v>1004792</v>
      </c>
      <c r="W614" s="448">
        <f t="shared" si="200"/>
        <v>990224</v>
      </c>
      <c r="X614" s="795">
        <v>106474</v>
      </c>
      <c r="Y614" s="825">
        <v>121834</v>
      </c>
      <c r="Z614" s="795">
        <v>137331</v>
      </c>
      <c r="AA614" s="825">
        <v>124619</v>
      </c>
      <c r="AB614" s="795">
        <v>147587</v>
      </c>
      <c r="AC614" s="825">
        <v>113169</v>
      </c>
      <c r="AD614" s="795">
        <v>137743</v>
      </c>
      <c r="AE614" s="825">
        <v>108828</v>
      </c>
      <c r="AF614" s="449">
        <f t="shared" si="201"/>
        <v>529135</v>
      </c>
      <c r="AG614" s="450">
        <f t="shared" si="202"/>
        <v>587.92777777777781</v>
      </c>
      <c r="AH614" s="451">
        <f t="shared" si="203"/>
        <v>468450</v>
      </c>
      <c r="AI614" s="451">
        <f t="shared" si="204"/>
        <v>520.5</v>
      </c>
      <c r="AJ614" s="756"/>
      <c r="AK614" s="758"/>
      <c r="AL614" s="449">
        <f t="shared" si="205"/>
        <v>0</v>
      </c>
      <c r="AM614" s="452">
        <f t="shared" si="206"/>
        <v>0</v>
      </c>
      <c r="AN614" s="756"/>
      <c r="AO614" s="758"/>
      <c r="AP614" s="756"/>
      <c r="AQ614" s="733"/>
      <c r="AR614" s="756"/>
      <c r="AS614" s="733"/>
      <c r="AT614" s="756"/>
      <c r="AU614" s="733"/>
      <c r="AV614" s="449">
        <f t="shared" si="207"/>
        <v>0</v>
      </c>
      <c r="AW614" s="453">
        <f t="shared" si="208"/>
        <v>0</v>
      </c>
      <c r="AX614" s="451">
        <f t="shared" si="209"/>
        <v>0</v>
      </c>
      <c r="AY614" s="454">
        <f t="shared" si="210"/>
        <v>0</v>
      </c>
      <c r="AZ614" s="455">
        <f t="shared" si="211"/>
        <v>34080.994444444441</v>
      </c>
      <c r="BA614" s="451">
        <f t="shared" si="212"/>
        <v>33527.966666666667</v>
      </c>
    </row>
    <row r="615" spans="1:53">
      <c r="A615" s="594" t="s">
        <v>234</v>
      </c>
      <c r="B615" s="744" t="s">
        <v>845</v>
      </c>
      <c r="C615" s="762"/>
      <c r="D615" s="597"/>
      <c r="E615" s="761" t="s">
        <v>235</v>
      </c>
      <c r="F615" s="491" t="s">
        <v>41</v>
      </c>
      <c r="G615" s="492"/>
      <c r="H615" s="795">
        <v>457806</v>
      </c>
      <c r="I615" s="823">
        <v>452073</v>
      </c>
      <c r="J615" s="795">
        <v>245295</v>
      </c>
      <c r="K615" s="823">
        <v>246005</v>
      </c>
      <c r="L615" s="795">
        <v>0</v>
      </c>
      <c r="M615" s="823">
        <v>0</v>
      </c>
      <c r="N615" s="795">
        <v>381271</v>
      </c>
      <c r="O615" s="824">
        <v>372587</v>
      </c>
      <c r="P615" s="449">
        <f t="shared" si="195"/>
        <v>1084372</v>
      </c>
      <c r="Q615" s="450">
        <f t="shared" si="196"/>
        <v>36145.73333333333</v>
      </c>
      <c r="R615" s="451">
        <f t="shared" si="197"/>
        <v>1070665</v>
      </c>
      <c r="S615" s="452">
        <f t="shared" si="198"/>
        <v>35688.833333333336</v>
      </c>
      <c r="T615" s="795">
        <v>90991</v>
      </c>
      <c r="U615" s="825">
        <v>99402</v>
      </c>
      <c r="V615" s="449">
        <f t="shared" si="199"/>
        <v>1084372</v>
      </c>
      <c r="W615" s="448">
        <f t="shared" si="200"/>
        <v>1070665</v>
      </c>
      <c r="X615" s="795">
        <v>641624</v>
      </c>
      <c r="Y615" s="825">
        <v>667581</v>
      </c>
      <c r="Z615" s="795">
        <v>617466</v>
      </c>
      <c r="AA615" s="825">
        <v>743759</v>
      </c>
      <c r="AB615" s="795">
        <v>581737</v>
      </c>
      <c r="AC615" s="825">
        <v>668339</v>
      </c>
      <c r="AD615" s="795">
        <v>807821</v>
      </c>
      <c r="AE615" s="825">
        <v>857965</v>
      </c>
      <c r="AF615" s="449">
        <f t="shared" si="201"/>
        <v>2648648</v>
      </c>
      <c r="AG615" s="450">
        <f t="shared" si="202"/>
        <v>2942.9422222222224</v>
      </c>
      <c r="AH615" s="451">
        <f t="shared" si="203"/>
        <v>2937644</v>
      </c>
      <c r="AI615" s="451">
        <f t="shared" si="204"/>
        <v>3264.048888888889</v>
      </c>
      <c r="AJ615" s="756"/>
      <c r="AK615" s="758"/>
      <c r="AL615" s="449">
        <f t="shared" si="205"/>
        <v>0</v>
      </c>
      <c r="AM615" s="452">
        <f t="shared" si="206"/>
        <v>0</v>
      </c>
      <c r="AN615" s="756"/>
      <c r="AO615" s="758"/>
      <c r="AP615" s="756"/>
      <c r="AQ615" s="733"/>
      <c r="AR615" s="756"/>
      <c r="AS615" s="733"/>
      <c r="AT615" s="756"/>
      <c r="AU615" s="733"/>
      <c r="AV615" s="449">
        <f t="shared" si="207"/>
        <v>0</v>
      </c>
      <c r="AW615" s="453">
        <f t="shared" si="208"/>
        <v>0</v>
      </c>
      <c r="AX615" s="451">
        <f t="shared" si="209"/>
        <v>0</v>
      </c>
      <c r="AY615" s="454">
        <f t="shared" si="210"/>
        <v>0</v>
      </c>
      <c r="AZ615" s="455">
        <f t="shared" si="211"/>
        <v>39088.67555555555</v>
      </c>
      <c r="BA615" s="451">
        <f t="shared" si="212"/>
        <v>38952.882222222222</v>
      </c>
    </row>
    <row r="616" spans="1:53">
      <c r="A616" s="594" t="s">
        <v>234</v>
      </c>
      <c r="B616" s="748" t="s">
        <v>845</v>
      </c>
      <c r="C616" s="763"/>
      <c r="D616" s="597"/>
      <c r="E616" s="761" t="s">
        <v>236</v>
      </c>
      <c r="F616" s="491" t="s">
        <v>41</v>
      </c>
      <c r="G616" s="492"/>
      <c r="H616" s="795">
        <v>100409</v>
      </c>
      <c r="I616" s="823">
        <v>98613</v>
      </c>
      <c r="J616" s="795">
        <v>51518</v>
      </c>
      <c r="K616" s="823">
        <v>57593</v>
      </c>
      <c r="L616" s="795">
        <v>0</v>
      </c>
      <c r="M616" s="823">
        <v>0</v>
      </c>
      <c r="N616" s="795">
        <v>91229</v>
      </c>
      <c r="O616" s="824">
        <v>94249</v>
      </c>
      <c r="P616" s="449">
        <f t="shared" si="195"/>
        <v>243156</v>
      </c>
      <c r="Q616" s="450">
        <f t="shared" si="196"/>
        <v>8105.2</v>
      </c>
      <c r="R616" s="451">
        <f t="shared" si="197"/>
        <v>250455</v>
      </c>
      <c r="S616" s="452">
        <f t="shared" si="198"/>
        <v>8348.5</v>
      </c>
      <c r="T616" s="795">
        <v>27401</v>
      </c>
      <c r="U616" s="825">
        <v>35199</v>
      </c>
      <c r="V616" s="449">
        <f t="shared" si="199"/>
        <v>243156</v>
      </c>
      <c r="W616" s="448">
        <f t="shared" si="200"/>
        <v>250455</v>
      </c>
      <c r="X616" s="795">
        <v>47739</v>
      </c>
      <c r="Y616" s="825">
        <v>69722</v>
      </c>
      <c r="Z616" s="795">
        <v>64963</v>
      </c>
      <c r="AA616" s="825">
        <v>78385</v>
      </c>
      <c r="AB616" s="795">
        <v>84824</v>
      </c>
      <c r="AC616" s="825">
        <v>82049</v>
      </c>
      <c r="AD616" s="795">
        <v>67980</v>
      </c>
      <c r="AE616" s="825">
        <v>99165</v>
      </c>
      <c r="AF616" s="449">
        <f t="shared" si="201"/>
        <v>265506</v>
      </c>
      <c r="AG616" s="450">
        <f t="shared" si="202"/>
        <v>295.00666666666666</v>
      </c>
      <c r="AH616" s="451">
        <f t="shared" si="203"/>
        <v>329321</v>
      </c>
      <c r="AI616" s="451">
        <f t="shared" si="204"/>
        <v>365.91222222222223</v>
      </c>
      <c r="AJ616" s="756"/>
      <c r="AK616" s="758"/>
      <c r="AL616" s="449">
        <f t="shared" si="205"/>
        <v>0</v>
      </c>
      <c r="AM616" s="452">
        <f t="shared" si="206"/>
        <v>0</v>
      </c>
      <c r="AN616" s="756"/>
      <c r="AO616" s="758"/>
      <c r="AP616" s="756"/>
      <c r="AQ616" s="733"/>
      <c r="AR616" s="756"/>
      <c r="AS616" s="733"/>
      <c r="AT616" s="756"/>
      <c r="AU616" s="733"/>
      <c r="AV616" s="449">
        <f t="shared" si="207"/>
        <v>0</v>
      </c>
      <c r="AW616" s="453">
        <f t="shared" si="208"/>
        <v>0</v>
      </c>
      <c r="AX616" s="451">
        <f t="shared" si="209"/>
        <v>0</v>
      </c>
      <c r="AY616" s="454">
        <f t="shared" si="210"/>
        <v>0</v>
      </c>
      <c r="AZ616" s="455">
        <f t="shared" si="211"/>
        <v>8400.2066666666669</v>
      </c>
      <c r="BA616" s="451">
        <f t="shared" si="212"/>
        <v>8714.4122222222213</v>
      </c>
    </row>
    <row r="617" spans="1:53">
      <c r="A617" s="594" t="s">
        <v>234</v>
      </c>
      <c r="B617" s="749" t="s">
        <v>846</v>
      </c>
      <c r="C617" s="764"/>
      <c r="D617" s="597"/>
      <c r="E617" s="761" t="s">
        <v>236</v>
      </c>
      <c r="F617" s="491" t="s">
        <v>41</v>
      </c>
      <c r="G617" s="492"/>
      <c r="H617" s="795">
        <v>30120</v>
      </c>
      <c r="I617" s="823">
        <v>26056</v>
      </c>
      <c r="J617" s="795">
        <v>3224</v>
      </c>
      <c r="K617" s="823">
        <v>3688</v>
      </c>
      <c r="L617" s="795">
        <v>1703</v>
      </c>
      <c r="M617" s="823">
        <v>1600</v>
      </c>
      <c r="N617" s="795">
        <v>29394</v>
      </c>
      <c r="O617" s="824">
        <v>29553</v>
      </c>
      <c r="P617" s="449">
        <f t="shared" si="195"/>
        <v>64441</v>
      </c>
      <c r="Q617" s="450">
        <f t="shared" si="196"/>
        <v>2148.0333333333333</v>
      </c>
      <c r="R617" s="451">
        <f t="shared" si="197"/>
        <v>60897</v>
      </c>
      <c r="S617" s="452">
        <f t="shared" si="198"/>
        <v>2029.9</v>
      </c>
      <c r="T617" s="795">
        <v>16398</v>
      </c>
      <c r="U617" s="825">
        <v>17667</v>
      </c>
      <c r="V617" s="449">
        <f t="shared" si="199"/>
        <v>64441</v>
      </c>
      <c r="W617" s="448">
        <f t="shared" si="200"/>
        <v>60897</v>
      </c>
      <c r="X617" s="795">
        <v>173459</v>
      </c>
      <c r="Y617" s="825">
        <v>130658</v>
      </c>
      <c r="Z617" s="795">
        <v>172296</v>
      </c>
      <c r="AA617" s="825">
        <v>128260</v>
      </c>
      <c r="AB617" s="795">
        <v>152628</v>
      </c>
      <c r="AC617" s="825">
        <v>140947</v>
      </c>
      <c r="AD617" s="795">
        <v>166857</v>
      </c>
      <c r="AE617" s="825">
        <v>131190</v>
      </c>
      <c r="AF617" s="449">
        <f t="shared" si="201"/>
        <v>665240</v>
      </c>
      <c r="AG617" s="450">
        <f t="shared" si="202"/>
        <v>739.15555555555557</v>
      </c>
      <c r="AH617" s="451">
        <f t="shared" si="203"/>
        <v>531055</v>
      </c>
      <c r="AI617" s="451">
        <f t="shared" si="204"/>
        <v>590.06111111111113</v>
      </c>
      <c r="AJ617" s="756"/>
      <c r="AK617" s="758"/>
      <c r="AL617" s="449">
        <f t="shared" si="205"/>
        <v>0</v>
      </c>
      <c r="AM617" s="452">
        <f t="shared" si="206"/>
        <v>0</v>
      </c>
      <c r="AN617" s="756"/>
      <c r="AO617" s="758"/>
      <c r="AP617" s="756"/>
      <c r="AQ617" s="733"/>
      <c r="AR617" s="756"/>
      <c r="AS617" s="733"/>
      <c r="AT617" s="756"/>
      <c r="AU617" s="733"/>
      <c r="AV617" s="449">
        <f t="shared" si="207"/>
        <v>0</v>
      </c>
      <c r="AW617" s="453">
        <f t="shared" si="208"/>
        <v>0</v>
      </c>
      <c r="AX617" s="451">
        <f t="shared" si="209"/>
        <v>0</v>
      </c>
      <c r="AY617" s="454">
        <f t="shared" si="210"/>
        <v>0</v>
      </c>
      <c r="AZ617" s="455">
        <f t="shared" si="211"/>
        <v>2887.1888888888889</v>
      </c>
      <c r="BA617" s="451">
        <f t="shared" si="212"/>
        <v>2619.9611111111112</v>
      </c>
    </row>
    <row r="618" spans="1:53">
      <c r="A618" s="594" t="s">
        <v>234</v>
      </c>
      <c r="B618" s="752" t="s">
        <v>844</v>
      </c>
      <c r="C618" s="765"/>
      <c r="D618" s="597"/>
      <c r="E618" s="761" t="s">
        <v>145</v>
      </c>
      <c r="F618" s="491" t="s">
        <v>41</v>
      </c>
      <c r="G618" s="492"/>
      <c r="H618" s="795">
        <v>12135</v>
      </c>
      <c r="I618" s="823">
        <v>15964</v>
      </c>
      <c r="J618" s="795">
        <v>3961</v>
      </c>
      <c r="K618" s="823">
        <v>7755</v>
      </c>
      <c r="L618" s="795">
        <v>0</v>
      </c>
      <c r="M618" s="823">
        <v>0</v>
      </c>
      <c r="N618" s="795">
        <v>11970</v>
      </c>
      <c r="O618" s="824">
        <v>19402</v>
      </c>
      <c r="P618" s="449">
        <f t="shared" si="195"/>
        <v>28066</v>
      </c>
      <c r="Q618" s="450">
        <f t="shared" si="196"/>
        <v>935.5333333333333</v>
      </c>
      <c r="R618" s="451">
        <f t="shared" si="197"/>
        <v>43121</v>
      </c>
      <c r="S618" s="452">
        <f t="shared" si="198"/>
        <v>1437.3666666666666</v>
      </c>
      <c r="T618" s="795">
        <v>0</v>
      </c>
      <c r="U618" s="825">
        <v>24</v>
      </c>
      <c r="V618" s="449">
        <f t="shared" si="199"/>
        <v>28066</v>
      </c>
      <c r="W618" s="448">
        <f t="shared" si="200"/>
        <v>43121</v>
      </c>
      <c r="X618" s="795">
        <v>11472</v>
      </c>
      <c r="Y618" s="825">
        <v>1808</v>
      </c>
      <c r="Z618" s="795">
        <v>24592</v>
      </c>
      <c r="AA618" s="825">
        <v>552</v>
      </c>
      <c r="AB618" s="795">
        <v>2776</v>
      </c>
      <c r="AC618" s="825">
        <v>6528</v>
      </c>
      <c r="AD618" s="795">
        <v>4296</v>
      </c>
      <c r="AE618" s="825">
        <v>2680</v>
      </c>
      <c r="AF618" s="449">
        <f t="shared" si="201"/>
        <v>43136</v>
      </c>
      <c r="AG618" s="450">
        <f t="shared" si="202"/>
        <v>47.928888888888892</v>
      </c>
      <c r="AH618" s="451">
        <f t="shared" si="203"/>
        <v>11568</v>
      </c>
      <c r="AI618" s="451">
        <f t="shared" si="204"/>
        <v>12.853333333333333</v>
      </c>
      <c r="AJ618" s="756"/>
      <c r="AK618" s="758"/>
      <c r="AL618" s="449">
        <f t="shared" si="205"/>
        <v>0</v>
      </c>
      <c r="AM618" s="452">
        <f t="shared" si="206"/>
        <v>0</v>
      </c>
      <c r="AN618" s="756"/>
      <c r="AO618" s="758"/>
      <c r="AP618" s="756"/>
      <c r="AR618" s="756"/>
      <c r="AT618" s="756"/>
      <c r="AV618" s="449">
        <f t="shared" si="207"/>
        <v>0</v>
      </c>
      <c r="AW618" s="453">
        <f t="shared" si="208"/>
        <v>0</v>
      </c>
      <c r="AX618" s="451">
        <f t="shared" si="209"/>
        <v>0</v>
      </c>
      <c r="AY618" s="454">
        <f t="shared" si="210"/>
        <v>0</v>
      </c>
      <c r="AZ618" s="455">
        <f t="shared" si="211"/>
        <v>983.46222222222218</v>
      </c>
      <c r="BA618" s="451">
        <f t="shared" si="212"/>
        <v>1450.2199999999998</v>
      </c>
    </row>
    <row r="619" spans="1:53">
      <c r="A619" s="594" t="s">
        <v>234</v>
      </c>
      <c r="B619" s="754" t="s">
        <v>846</v>
      </c>
      <c r="C619" s="766"/>
      <c r="D619" s="597"/>
      <c r="E619" s="761" t="s">
        <v>145</v>
      </c>
      <c r="F619" s="491" t="s">
        <v>41</v>
      </c>
      <c r="G619" s="492"/>
      <c r="H619" s="795">
        <v>1361</v>
      </c>
      <c r="I619" s="823">
        <v>1121</v>
      </c>
      <c r="J619" s="795">
        <v>60</v>
      </c>
      <c r="K619" s="823">
        <v>0</v>
      </c>
      <c r="L619" s="795">
        <v>0</v>
      </c>
      <c r="M619" s="823">
        <v>0</v>
      </c>
      <c r="N619" s="795">
        <v>1314</v>
      </c>
      <c r="O619" s="824">
        <v>1219</v>
      </c>
      <c r="P619" s="449">
        <f t="shared" si="195"/>
        <v>2735</v>
      </c>
      <c r="Q619" s="450">
        <f t="shared" si="196"/>
        <v>91.166666666666671</v>
      </c>
      <c r="R619" s="451">
        <f t="shared" si="197"/>
        <v>2340</v>
      </c>
      <c r="S619" s="452">
        <f t="shared" si="198"/>
        <v>78</v>
      </c>
      <c r="T619" s="795">
        <v>0</v>
      </c>
      <c r="U619" s="825">
        <v>0</v>
      </c>
      <c r="V619" s="449">
        <f t="shared" si="199"/>
        <v>2735</v>
      </c>
      <c r="W619" s="448">
        <f t="shared" si="200"/>
        <v>2340</v>
      </c>
      <c r="X619" s="795">
        <v>0</v>
      </c>
      <c r="Y619" s="825">
        <v>0</v>
      </c>
      <c r="Z619" s="795">
        <v>0</v>
      </c>
      <c r="AA619" s="825">
        <v>0</v>
      </c>
      <c r="AB619" s="795">
        <v>0</v>
      </c>
      <c r="AC619" s="825">
        <v>0</v>
      </c>
      <c r="AD619" s="795">
        <v>0</v>
      </c>
      <c r="AE619" s="825">
        <v>0</v>
      </c>
      <c r="AF619" s="449">
        <f t="shared" si="201"/>
        <v>0</v>
      </c>
      <c r="AG619" s="450">
        <f t="shared" si="202"/>
        <v>0</v>
      </c>
      <c r="AH619" s="451">
        <f t="shared" si="203"/>
        <v>0</v>
      </c>
      <c r="AI619" s="451">
        <f t="shared" si="204"/>
        <v>0</v>
      </c>
      <c r="AJ619" s="756"/>
      <c r="AK619" s="758"/>
      <c r="AL619" s="449">
        <f t="shared" si="205"/>
        <v>0</v>
      </c>
      <c r="AM619" s="452">
        <f t="shared" si="206"/>
        <v>0</v>
      </c>
      <c r="AN619" s="756"/>
      <c r="AO619" s="758"/>
      <c r="AP619" s="756"/>
      <c r="AR619" s="756"/>
      <c r="AT619" s="756"/>
      <c r="AV619" s="449">
        <f t="shared" si="207"/>
        <v>0</v>
      </c>
      <c r="AW619" s="453">
        <f t="shared" si="208"/>
        <v>0</v>
      </c>
      <c r="AX619" s="451">
        <f t="shared" si="209"/>
        <v>0</v>
      </c>
      <c r="AY619" s="454">
        <f t="shared" si="210"/>
        <v>0</v>
      </c>
      <c r="AZ619" s="455">
        <f t="shared" si="211"/>
        <v>91.166666666666671</v>
      </c>
      <c r="BA619" s="451">
        <f t="shared" si="212"/>
        <v>78</v>
      </c>
    </row>
    <row r="620" spans="1:53">
      <c r="A620" s="779" t="s">
        <v>249</v>
      </c>
      <c r="B620" s="780" t="s">
        <v>884</v>
      </c>
      <c r="C620" s="781"/>
      <c r="D620" s="782">
        <v>232186</v>
      </c>
      <c r="E620" s="566">
        <v>1</v>
      </c>
      <c r="F620" s="491" t="s">
        <v>41</v>
      </c>
      <c r="G620" s="492" t="s">
        <v>41</v>
      </c>
      <c r="H620" s="456"/>
      <c r="I620" s="783"/>
      <c r="J620" s="456">
        <v>272424.5</v>
      </c>
      <c r="K620" s="783">
        <v>284102</v>
      </c>
      <c r="L620" s="456">
        <v>56207</v>
      </c>
      <c r="M620" s="783">
        <v>53435</v>
      </c>
      <c r="N620" s="456">
        <v>292154</v>
      </c>
      <c r="O620" s="783">
        <v>302855.5</v>
      </c>
      <c r="P620" s="449">
        <f t="shared" si="195"/>
        <v>620785.5</v>
      </c>
      <c r="Q620" s="450">
        <f t="shared" si="196"/>
        <v>20692.849999999999</v>
      </c>
      <c r="R620" s="451">
        <f t="shared" si="197"/>
        <v>640392.5</v>
      </c>
      <c r="S620" s="452">
        <f t="shared" si="198"/>
        <v>21346.416666666668</v>
      </c>
      <c r="T620" s="456">
        <v>20297</v>
      </c>
      <c r="U620" s="783">
        <v>16141</v>
      </c>
      <c r="V620" s="449">
        <f t="shared" si="199"/>
        <v>620785.5</v>
      </c>
      <c r="W620" s="448">
        <f t="shared" si="200"/>
        <v>640392.5</v>
      </c>
      <c r="X620" s="456"/>
      <c r="Y620" s="783"/>
      <c r="Z620" s="456"/>
      <c r="AA620" s="783"/>
      <c r="AB620" s="456"/>
      <c r="AC620" s="783"/>
      <c r="AD620" s="456"/>
      <c r="AE620" s="783"/>
      <c r="AF620" s="449">
        <f t="shared" si="201"/>
        <v>0</v>
      </c>
      <c r="AG620" s="450">
        <f t="shared" si="202"/>
        <v>0</v>
      </c>
      <c r="AH620" s="451">
        <f t="shared" si="203"/>
        <v>0</v>
      </c>
      <c r="AI620" s="451">
        <f t="shared" si="204"/>
        <v>0</v>
      </c>
      <c r="AJ620" s="456"/>
      <c r="AK620" s="783"/>
      <c r="AL620" s="449">
        <f t="shared" si="205"/>
        <v>0</v>
      </c>
      <c r="AM620" s="452">
        <f t="shared" si="206"/>
        <v>0</v>
      </c>
      <c r="AN620" s="456"/>
      <c r="AO620" s="783"/>
      <c r="AP620" s="456">
        <v>73690</v>
      </c>
      <c r="AQ620" s="783">
        <v>72782</v>
      </c>
      <c r="AR620" s="456">
        <v>18880.5</v>
      </c>
      <c r="AS620" s="783">
        <v>18432</v>
      </c>
      <c r="AT620" s="456">
        <v>73796</v>
      </c>
      <c r="AU620" s="783">
        <v>72083.5</v>
      </c>
      <c r="AV620" s="449">
        <f t="shared" si="207"/>
        <v>166366.5</v>
      </c>
      <c r="AW620" s="453">
        <f t="shared" si="208"/>
        <v>6931.9375</v>
      </c>
      <c r="AX620" s="451">
        <f t="shared" si="209"/>
        <v>163297.5</v>
      </c>
      <c r="AY620" s="454">
        <f t="shared" si="210"/>
        <v>6804.0625</v>
      </c>
      <c r="AZ620" s="455">
        <f t="shared" si="211"/>
        <v>27624.787499999999</v>
      </c>
      <c r="BA620" s="451">
        <f t="shared" si="212"/>
        <v>28150.479166666668</v>
      </c>
    </row>
    <row r="621" spans="1:53">
      <c r="A621" s="779" t="s">
        <v>249</v>
      </c>
      <c r="B621" s="717" t="s">
        <v>885</v>
      </c>
      <c r="C621" s="715"/>
      <c r="D621" s="782">
        <v>232982</v>
      </c>
      <c r="E621" s="566">
        <v>1</v>
      </c>
      <c r="F621" s="491" t="s">
        <v>41</v>
      </c>
      <c r="G621" s="492" t="s">
        <v>41</v>
      </c>
      <c r="H621" s="456"/>
      <c r="I621" s="783"/>
      <c r="J621" s="456">
        <v>222539</v>
      </c>
      <c r="K621" s="783">
        <v>224529</v>
      </c>
      <c r="L621" s="456">
        <v>55961</v>
      </c>
      <c r="M621" s="783">
        <v>55397</v>
      </c>
      <c r="N621" s="456">
        <v>244833</v>
      </c>
      <c r="O621" s="783">
        <v>245454</v>
      </c>
      <c r="P621" s="449">
        <f t="shared" si="195"/>
        <v>523333</v>
      </c>
      <c r="Q621" s="450">
        <f t="shared" si="196"/>
        <v>17444.433333333334</v>
      </c>
      <c r="R621" s="451">
        <f t="shared" si="197"/>
        <v>525380</v>
      </c>
      <c r="S621" s="452">
        <f t="shared" si="198"/>
        <v>17512.666666666668</v>
      </c>
      <c r="T621" s="456">
        <v>91</v>
      </c>
      <c r="U621" s="783">
        <v>66</v>
      </c>
      <c r="V621" s="449">
        <f t="shared" si="199"/>
        <v>523333</v>
      </c>
      <c r="W621" s="448">
        <f t="shared" si="200"/>
        <v>525380</v>
      </c>
      <c r="X621" s="456"/>
      <c r="Y621" s="783"/>
      <c r="Z621" s="456"/>
      <c r="AA621" s="783"/>
      <c r="AB621" s="456"/>
      <c r="AC621" s="783"/>
      <c r="AD621" s="456"/>
      <c r="AE621" s="783"/>
      <c r="AF621" s="449">
        <f t="shared" si="201"/>
        <v>0</v>
      </c>
      <c r="AG621" s="450">
        <f t="shared" si="202"/>
        <v>0</v>
      </c>
      <c r="AH621" s="451">
        <f t="shared" si="203"/>
        <v>0</v>
      </c>
      <c r="AI621" s="451">
        <f t="shared" si="204"/>
        <v>0</v>
      </c>
      <c r="AJ621" s="456"/>
      <c r="AK621" s="783"/>
      <c r="AL621" s="449">
        <f t="shared" si="205"/>
        <v>0</v>
      </c>
      <c r="AM621" s="452">
        <f t="shared" si="206"/>
        <v>0</v>
      </c>
      <c r="AN621" s="456"/>
      <c r="AO621" s="783"/>
      <c r="AP621" s="456">
        <v>27848</v>
      </c>
      <c r="AQ621" s="783">
        <v>27242</v>
      </c>
      <c r="AR621" s="456">
        <v>14076</v>
      </c>
      <c r="AS621" s="783">
        <v>13603</v>
      </c>
      <c r="AT621" s="456">
        <v>28997</v>
      </c>
      <c r="AU621" s="783">
        <v>27178</v>
      </c>
      <c r="AV621" s="449">
        <f t="shared" si="207"/>
        <v>70921</v>
      </c>
      <c r="AW621" s="453">
        <f t="shared" si="208"/>
        <v>2955.0416666666665</v>
      </c>
      <c r="AX621" s="451">
        <f t="shared" si="209"/>
        <v>68023</v>
      </c>
      <c r="AY621" s="454">
        <f t="shared" si="210"/>
        <v>2834.2916666666665</v>
      </c>
      <c r="AZ621" s="455">
        <f t="shared" si="211"/>
        <v>20399.475000000002</v>
      </c>
      <c r="BA621" s="451">
        <f t="shared" si="212"/>
        <v>20346.958333333336</v>
      </c>
    </row>
    <row r="622" spans="1:53">
      <c r="A622" s="779" t="s">
        <v>249</v>
      </c>
      <c r="B622" s="717" t="s">
        <v>886</v>
      </c>
      <c r="C622" s="715"/>
      <c r="D622" s="782">
        <v>234076</v>
      </c>
      <c r="E622" s="566">
        <v>1</v>
      </c>
      <c r="F622" s="491" t="s">
        <v>41</v>
      </c>
      <c r="G622" s="492" t="s">
        <v>41</v>
      </c>
      <c r="H622" s="456"/>
      <c r="I622" s="783"/>
      <c r="J622" s="456">
        <v>225049</v>
      </c>
      <c r="K622" s="783">
        <v>230413</v>
      </c>
      <c r="L622" s="456">
        <v>22994</v>
      </c>
      <c r="M622" s="783">
        <v>18270</v>
      </c>
      <c r="N622" s="456">
        <v>235424.5</v>
      </c>
      <c r="O622" s="783">
        <v>239828.5</v>
      </c>
      <c r="P622" s="449">
        <f t="shared" si="195"/>
        <v>483467.5</v>
      </c>
      <c r="Q622" s="450">
        <f t="shared" si="196"/>
        <v>16115.583333333334</v>
      </c>
      <c r="R622" s="451">
        <f t="shared" si="197"/>
        <v>488511.5</v>
      </c>
      <c r="S622" s="452">
        <f t="shared" si="198"/>
        <v>16283.716666666667</v>
      </c>
      <c r="T622" s="456">
        <v>0</v>
      </c>
      <c r="U622" s="783">
        <v>0</v>
      </c>
      <c r="V622" s="449">
        <f t="shared" si="199"/>
        <v>483467.5</v>
      </c>
      <c r="W622" s="448">
        <f t="shared" si="200"/>
        <v>488511.5</v>
      </c>
      <c r="X622" s="456"/>
      <c r="Y622" s="783"/>
      <c r="Z622" s="456"/>
      <c r="AA622" s="783"/>
      <c r="AB622" s="456"/>
      <c r="AC622" s="783"/>
      <c r="AD622" s="456"/>
      <c r="AE622" s="783"/>
      <c r="AF622" s="449">
        <f t="shared" si="201"/>
        <v>0</v>
      </c>
      <c r="AG622" s="450">
        <f t="shared" si="202"/>
        <v>0</v>
      </c>
      <c r="AH622" s="451">
        <f t="shared" si="203"/>
        <v>0</v>
      </c>
      <c r="AI622" s="451">
        <f t="shared" si="204"/>
        <v>0</v>
      </c>
      <c r="AJ622" s="456"/>
      <c r="AK622" s="783"/>
      <c r="AL622" s="449">
        <f t="shared" si="205"/>
        <v>0</v>
      </c>
      <c r="AM622" s="452">
        <f t="shared" si="206"/>
        <v>0</v>
      </c>
      <c r="AN622" s="456"/>
      <c r="AO622" s="783"/>
      <c r="AP622" s="456">
        <v>84462</v>
      </c>
      <c r="AQ622" s="783">
        <v>83438.5</v>
      </c>
      <c r="AR622" s="456">
        <v>14947.8</v>
      </c>
      <c r="AS622" s="783">
        <v>14352</v>
      </c>
      <c r="AT622" s="456">
        <v>84245.1</v>
      </c>
      <c r="AU622" s="783">
        <v>83050</v>
      </c>
      <c r="AV622" s="449">
        <f t="shared" si="207"/>
        <v>183654.90000000002</v>
      </c>
      <c r="AW622" s="453">
        <f t="shared" si="208"/>
        <v>7652.2875000000013</v>
      </c>
      <c r="AX622" s="451">
        <f t="shared" si="209"/>
        <v>180840.5</v>
      </c>
      <c r="AY622" s="454">
        <f t="shared" si="210"/>
        <v>7535.020833333333</v>
      </c>
      <c r="AZ622" s="455">
        <f t="shared" si="211"/>
        <v>23767.870833333334</v>
      </c>
      <c r="BA622" s="451">
        <f t="shared" si="212"/>
        <v>23818.737499999999</v>
      </c>
    </row>
    <row r="623" spans="1:53">
      <c r="A623" s="779" t="s">
        <v>249</v>
      </c>
      <c r="B623" s="717" t="s">
        <v>887</v>
      </c>
      <c r="C623" s="715"/>
      <c r="D623" s="782">
        <v>233921</v>
      </c>
      <c r="E623" s="566">
        <v>1</v>
      </c>
      <c r="F623" s="491" t="s">
        <v>41</v>
      </c>
      <c r="G623" s="492" t="s">
        <v>41</v>
      </c>
      <c r="H623" s="456"/>
      <c r="I623" s="783"/>
      <c r="J623" s="456">
        <v>351407</v>
      </c>
      <c r="K623" s="783">
        <v>359738</v>
      </c>
      <c r="L623" s="456">
        <v>37073</v>
      </c>
      <c r="M623" s="783">
        <v>33893</v>
      </c>
      <c r="N623" s="456">
        <v>372913</v>
      </c>
      <c r="O623" s="783">
        <v>389183</v>
      </c>
      <c r="P623" s="449">
        <f t="shared" si="195"/>
        <v>761393</v>
      </c>
      <c r="Q623" s="450">
        <f t="shared" si="196"/>
        <v>25379.766666666666</v>
      </c>
      <c r="R623" s="451">
        <f t="shared" si="197"/>
        <v>782814</v>
      </c>
      <c r="S623" s="452">
        <f t="shared" si="198"/>
        <v>26093.8</v>
      </c>
      <c r="T623" s="456">
        <v>0</v>
      </c>
      <c r="U623" s="783">
        <v>0</v>
      </c>
      <c r="V623" s="449">
        <f t="shared" si="199"/>
        <v>761393</v>
      </c>
      <c r="W623" s="448">
        <f t="shared" si="200"/>
        <v>782814</v>
      </c>
      <c r="X623" s="456"/>
      <c r="Y623" s="783"/>
      <c r="Z623" s="456"/>
      <c r="AA623" s="783"/>
      <c r="AB623" s="456"/>
      <c r="AC623" s="783"/>
      <c r="AD623" s="456"/>
      <c r="AE623" s="783"/>
      <c r="AF623" s="449">
        <f t="shared" si="201"/>
        <v>0</v>
      </c>
      <c r="AG623" s="450">
        <f t="shared" si="202"/>
        <v>0</v>
      </c>
      <c r="AH623" s="451">
        <f t="shared" si="203"/>
        <v>0</v>
      </c>
      <c r="AI623" s="451">
        <f t="shared" si="204"/>
        <v>0</v>
      </c>
      <c r="AJ623" s="456"/>
      <c r="AK623" s="783"/>
      <c r="AL623" s="449">
        <f t="shared" si="205"/>
        <v>0</v>
      </c>
      <c r="AM623" s="452">
        <f t="shared" si="206"/>
        <v>0</v>
      </c>
      <c r="AN623" s="456"/>
      <c r="AO623" s="783"/>
      <c r="AP623" s="456">
        <v>66274</v>
      </c>
      <c r="AQ623" s="783">
        <v>64843</v>
      </c>
      <c r="AR623" s="456">
        <v>7993</v>
      </c>
      <c r="AS623" s="783">
        <v>7661</v>
      </c>
      <c r="AT623" s="456">
        <v>67769</v>
      </c>
      <c r="AU623" s="783">
        <v>69586</v>
      </c>
      <c r="AV623" s="449">
        <f t="shared" si="207"/>
        <v>142036</v>
      </c>
      <c r="AW623" s="453">
        <f t="shared" si="208"/>
        <v>5918.166666666667</v>
      </c>
      <c r="AX623" s="451">
        <f t="shared" si="209"/>
        <v>142090</v>
      </c>
      <c r="AY623" s="454">
        <f t="shared" si="210"/>
        <v>5920.416666666667</v>
      </c>
      <c r="AZ623" s="455">
        <f t="shared" si="211"/>
        <v>31297.933333333334</v>
      </c>
      <c r="BA623" s="451">
        <f t="shared" si="212"/>
        <v>32014.216666666667</v>
      </c>
    </row>
    <row r="624" spans="1:53">
      <c r="A624" s="779" t="s">
        <v>249</v>
      </c>
      <c r="B624" s="717" t="s">
        <v>888</v>
      </c>
      <c r="C624" s="715"/>
      <c r="D624" s="782">
        <v>231624</v>
      </c>
      <c r="E624" s="566">
        <v>2</v>
      </c>
      <c r="F624" s="491" t="s">
        <v>41</v>
      </c>
      <c r="G624" s="492" t="s">
        <v>41</v>
      </c>
      <c r="H624" s="456"/>
      <c r="I624" s="783"/>
      <c r="J624" s="456">
        <v>85670.9</v>
      </c>
      <c r="K624" s="783">
        <v>86903.6</v>
      </c>
      <c r="L624" s="456">
        <v>8731</v>
      </c>
      <c r="M624" s="783">
        <v>8631</v>
      </c>
      <c r="N624" s="456">
        <v>90434.9</v>
      </c>
      <c r="O624" s="783">
        <v>90795.3</v>
      </c>
      <c r="P624" s="449">
        <f t="shared" si="195"/>
        <v>184836.8</v>
      </c>
      <c r="Q624" s="450">
        <f t="shared" si="196"/>
        <v>6161.2266666666665</v>
      </c>
      <c r="R624" s="451">
        <f t="shared" si="197"/>
        <v>186329.90000000002</v>
      </c>
      <c r="S624" s="452">
        <f t="shared" si="198"/>
        <v>6210.9966666666678</v>
      </c>
      <c r="T624" s="456">
        <v>0</v>
      </c>
      <c r="U624" s="783">
        <v>0</v>
      </c>
      <c r="V624" s="449">
        <f t="shared" si="199"/>
        <v>184836.8</v>
      </c>
      <c r="W624" s="448">
        <f t="shared" si="200"/>
        <v>186329.90000000002</v>
      </c>
      <c r="X624" s="456"/>
      <c r="Y624" s="783"/>
      <c r="Z624" s="456"/>
      <c r="AA624" s="783"/>
      <c r="AB624" s="456"/>
      <c r="AC624" s="783"/>
      <c r="AD624" s="456"/>
      <c r="AE624" s="783"/>
      <c r="AF624" s="449">
        <f t="shared" si="201"/>
        <v>0</v>
      </c>
      <c r="AG624" s="450">
        <f t="shared" si="202"/>
        <v>0</v>
      </c>
      <c r="AH624" s="451">
        <f t="shared" si="203"/>
        <v>0</v>
      </c>
      <c r="AI624" s="451">
        <f t="shared" si="204"/>
        <v>0</v>
      </c>
      <c r="AJ624" s="456"/>
      <c r="AK624" s="783"/>
      <c r="AL624" s="449">
        <f t="shared" si="205"/>
        <v>0</v>
      </c>
      <c r="AM624" s="452">
        <f t="shared" si="206"/>
        <v>0</v>
      </c>
      <c r="AN624" s="456"/>
      <c r="AO624" s="783"/>
      <c r="AP624" s="456">
        <v>25101</v>
      </c>
      <c r="AQ624" s="783">
        <v>24289.5</v>
      </c>
      <c r="AR624" s="456">
        <v>4729</v>
      </c>
      <c r="AS624" s="783">
        <v>4353.5</v>
      </c>
      <c r="AT624" s="456">
        <v>25611.5</v>
      </c>
      <c r="AU624" s="783">
        <v>26074</v>
      </c>
      <c r="AV624" s="449">
        <f t="shared" si="207"/>
        <v>55441.5</v>
      </c>
      <c r="AW624" s="453">
        <f t="shared" si="208"/>
        <v>2310.0625</v>
      </c>
      <c r="AX624" s="451">
        <f t="shared" si="209"/>
        <v>54717</v>
      </c>
      <c r="AY624" s="454">
        <f t="shared" si="210"/>
        <v>2279.875</v>
      </c>
      <c r="AZ624" s="455">
        <f t="shared" si="211"/>
        <v>8471.2891666666656</v>
      </c>
      <c r="BA624" s="451">
        <f t="shared" si="212"/>
        <v>8490.8716666666678</v>
      </c>
    </row>
    <row r="625" spans="1:53">
      <c r="A625" s="779" t="s">
        <v>249</v>
      </c>
      <c r="B625" s="717" t="s">
        <v>889</v>
      </c>
      <c r="C625" s="784" t="s">
        <v>930</v>
      </c>
      <c r="D625" s="782">
        <v>234030</v>
      </c>
      <c r="E625" s="573">
        <v>1</v>
      </c>
      <c r="F625" s="491" t="s">
        <v>41</v>
      </c>
      <c r="G625" s="492" t="s">
        <v>41</v>
      </c>
      <c r="H625" s="456"/>
      <c r="I625" s="783"/>
      <c r="J625" s="456">
        <v>291502.5</v>
      </c>
      <c r="K625" s="783">
        <v>298822</v>
      </c>
      <c r="L625" s="456">
        <v>39733.5</v>
      </c>
      <c r="M625" s="783">
        <v>39960.5</v>
      </c>
      <c r="N625" s="456">
        <v>324721.5</v>
      </c>
      <c r="O625" s="783">
        <v>322337.5</v>
      </c>
      <c r="P625" s="449">
        <f t="shared" si="195"/>
        <v>655957.5</v>
      </c>
      <c r="Q625" s="450">
        <f t="shared" si="196"/>
        <v>21865.25</v>
      </c>
      <c r="R625" s="451">
        <f t="shared" si="197"/>
        <v>661120</v>
      </c>
      <c r="S625" s="452">
        <f t="shared" si="198"/>
        <v>22037.333333333332</v>
      </c>
      <c r="T625" s="456">
        <v>8094</v>
      </c>
      <c r="U625" s="783">
        <v>7673</v>
      </c>
      <c r="V625" s="449">
        <f t="shared" si="199"/>
        <v>655957.5</v>
      </c>
      <c r="W625" s="448">
        <f t="shared" si="200"/>
        <v>661120</v>
      </c>
      <c r="X625" s="456"/>
      <c r="Y625" s="783"/>
      <c r="Z625" s="456"/>
      <c r="AA625" s="783"/>
      <c r="AB625" s="456"/>
      <c r="AC625" s="783"/>
      <c r="AD625" s="456"/>
      <c r="AE625" s="783"/>
      <c r="AF625" s="449">
        <f t="shared" si="201"/>
        <v>0</v>
      </c>
      <c r="AG625" s="450">
        <f t="shared" si="202"/>
        <v>0</v>
      </c>
      <c r="AH625" s="451">
        <f t="shared" si="203"/>
        <v>0</v>
      </c>
      <c r="AI625" s="451">
        <f t="shared" si="204"/>
        <v>0</v>
      </c>
      <c r="AJ625" s="456"/>
      <c r="AK625" s="783"/>
      <c r="AL625" s="449">
        <f t="shared" si="205"/>
        <v>0</v>
      </c>
      <c r="AM625" s="452">
        <f t="shared" si="206"/>
        <v>0</v>
      </c>
      <c r="AN625" s="456"/>
      <c r="AO625" s="783"/>
      <c r="AP625" s="456">
        <v>57646.5</v>
      </c>
      <c r="AQ625" s="783">
        <v>59693.5</v>
      </c>
      <c r="AR625" s="456">
        <v>12435.5</v>
      </c>
      <c r="AS625" s="783">
        <v>11708.5</v>
      </c>
      <c r="AT625" s="456">
        <v>61504.5</v>
      </c>
      <c r="AU625" s="783">
        <v>61948.5</v>
      </c>
      <c r="AV625" s="449">
        <f t="shared" si="207"/>
        <v>131586.5</v>
      </c>
      <c r="AW625" s="453">
        <f t="shared" si="208"/>
        <v>5482.770833333333</v>
      </c>
      <c r="AX625" s="451">
        <f t="shared" si="209"/>
        <v>133350.5</v>
      </c>
      <c r="AY625" s="454">
        <f t="shared" si="210"/>
        <v>5556.270833333333</v>
      </c>
      <c r="AZ625" s="455">
        <f t="shared" si="211"/>
        <v>27348.020833333332</v>
      </c>
      <c r="BA625" s="451">
        <f t="shared" si="212"/>
        <v>27593.604166666664</v>
      </c>
    </row>
    <row r="626" spans="1:53">
      <c r="A626" s="779" t="s">
        <v>249</v>
      </c>
      <c r="B626" s="717" t="s">
        <v>890</v>
      </c>
      <c r="C626" s="715"/>
      <c r="D626" s="782">
        <v>232423</v>
      </c>
      <c r="E626" s="566">
        <v>3</v>
      </c>
      <c r="F626" s="491" t="s">
        <v>41</v>
      </c>
      <c r="G626" s="492" t="s">
        <v>41</v>
      </c>
      <c r="H626" s="456"/>
      <c r="I626" s="783"/>
      <c r="J626" s="456">
        <v>256541</v>
      </c>
      <c r="K626" s="783">
        <v>261923</v>
      </c>
      <c r="L626" s="456">
        <v>26912</v>
      </c>
      <c r="M626" s="783">
        <v>27605</v>
      </c>
      <c r="N626" s="456">
        <v>279066</v>
      </c>
      <c r="O626" s="783">
        <v>283191</v>
      </c>
      <c r="P626" s="449">
        <f t="shared" si="195"/>
        <v>562519</v>
      </c>
      <c r="Q626" s="450">
        <f t="shared" si="196"/>
        <v>18750.633333333335</v>
      </c>
      <c r="R626" s="451">
        <f t="shared" si="197"/>
        <v>572719</v>
      </c>
      <c r="S626" s="452">
        <f t="shared" si="198"/>
        <v>19090.633333333335</v>
      </c>
      <c r="T626" s="456">
        <v>7004</v>
      </c>
      <c r="U626" s="783">
        <v>6114</v>
      </c>
      <c r="V626" s="449">
        <f t="shared" si="199"/>
        <v>562519</v>
      </c>
      <c r="W626" s="448">
        <f t="shared" si="200"/>
        <v>572719</v>
      </c>
      <c r="X626" s="456"/>
      <c r="Y626" s="783"/>
      <c r="Z626" s="456"/>
      <c r="AA626" s="783"/>
      <c r="AB626" s="456"/>
      <c r="AC626" s="783"/>
      <c r="AD626" s="456"/>
      <c r="AE626" s="783"/>
      <c r="AF626" s="449">
        <f t="shared" si="201"/>
        <v>0</v>
      </c>
      <c r="AG626" s="450">
        <f t="shared" si="202"/>
        <v>0</v>
      </c>
      <c r="AH626" s="451">
        <f t="shared" si="203"/>
        <v>0</v>
      </c>
      <c r="AI626" s="451">
        <f t="shared" si="204"/>
        <v>0</v>
      </c>
      <c r="AJ626" s="456"/>
      <c r="AK626" s="783"/>
      <c r="AL626" s="449">
        <f t="shared" si="205"/>
        <v>0</v>
      </c>
      <c r="AM626" s="452">
        <f t="shared" si="206"/>
        <v>0</v>
      </c>
      <c r="AN626" s="456"/>
      <c r="AO626" s="783"/>
      <c r="AP626" s="456">
        <v>13966</v>
      </c>
      <c r="AQ626" s="783">
        <v>13061</v>
      </c>
      <c r="AR626" s="456">
        <v>7515</v>
      </c>
      <c r="AS626" s="783">
        <v>7160</v>
      </c>
      <c r="AT626" s="456">
        <v>13840</v>
      </c>
      <c r="AU626" s="783">
        <v>15034</v>
      </c>
      <c r="AV626" s="449">
        <f t="shared" si="207"/>
        <v>35321</v>
      </c>
      <c r="AW626" s="453">
        <f t="shared" si="208"/>
        <v>1471.7083333333333</v>
      </c>
      <c r="AX626" s="451">
        <f t="shared" si="209"/>
        <v>35255</v>
      </c>
      <c r="AY626" s="454">
        <f t="shared" si="210"/>
        <v>1468.9583333333333</v>
      </c>
      <c r="AZ626" s="455">
        <f t="shared" si="211"/>
        <v>20222.341666666667</v>
      </c>
      <c r="BA626" s="451">
        <f t="shared" si="212"/>
        <v>20559.591666666667</v>
      </c>
    </row>
    <row r="627" spans="1:53">
      <c r="A627" s="779" t="s">
        <v>249</v>
      </c>
      <c r="B627" s="717" t="s">
        <v>891</v>
      </c>
      <c r="C627" s="784"/>
      <c r="D627" s="785">
        <v>232566</v>
      </c>
      <c r="E627" s="805">
        <v>3</v>
      </c>
      <c r="F627" s="491" t="s">
        <v>41</v>
      </c>
      <c r="G627" s="492" t="s">
        <v>41</v>
      </c>
      <c r="H627" s="456"/>
      <c r="I627" s="783"/>
      <c r="J627" s="456">
        <v>60247</v>
      </c>
      <c r="K627" s="783">
        <v>61851</v>
      </c>
      <c r="L627" s="456">
        <v>9292</v>
      </c>
      <c r="M627" s="783">
        <v>9954</v>
      </c>
      <c r="N627" s="456">
        <v>63570.5</v>
      </c>
      <c r="O627" s="783">
        <v>63561</v>
      </c>
      <c r="P627" s="449">
        <f t="shared" si="195"/>
        <v>133109.5</v>
      </c>
      <c r="Q627" s="450">
        <f t="shared" si="196"/>
        <v>4436.9833333333336</v>
      </c>
      <c r="R627" s="451">
        <f t="shared" si="197"/>
        <v>135366</v>
      </c>
      <c r="S627" s="452">
        <f t="shared" si="198"/>
        <v>4512.2</v>
      </c>
      <c r="T627" s="456">
        <v>726</v>
      </c>
      <c r="U627" s="783">
        <v>1346</v>
      </c>
      <c r="V627" s="449">
        <f t="shared" si="199"/>
        <v>133109.5</v>
      </c>
      <c r="W627" s="448">
        <f t="shared" si="200"/>
        <v>135366</v>
      </c>
      <c r="X627" s="456"/>
      <c r="Y627" s="783"/>
      <c r="Z627" s="456"/>
      <c r="AA627" s="783"/>
      <c r="AB627" s="456"/>
      <c r="AC627" s="783"/>
      <c r="AD627" s="456"/>
      <c r="AE627" s="783"/>
      <c r="AF627" s="449">
        <f t="shared" si="201"/>
        <v>0</v>
      </c>
      <c r="AG627" s="450">
        <f t="shared" si="202"/>
        <v>0</v>
      </c>
      <c r="AH627" s="451">
        <f t="shared" si="203"/>
        <v>0</v>
      </c>
      <c r="AI627" s="451">
        <f t="shared" si="204"/>
        <v>0</v>
      </c>
      <c r="AJ627" s="456"/>
      <c r="AK627" s="783"/>
      <c r="AL627" s="449">
        <f t="shared" si="205"/>
        <v>0</v>
      </c>
      <c r="AM627" s="452">
        <f t="shared" si="206"/>
        <v>0</v>
      </c>
      <c r="AN627" s="456"/>
      <c r="AO627" s="783"/>
      <c r="AP627" s="456">
        <v>2719</v>
      </c>
      <c r="AQ627" s="783">
        <v>2818</v>
      </c>
      <c r="AR627" s="456">
        <v>2482</v>
      </c>
      <c r="AS627" s="783">
        <v>2848</v>
      </c>
      <c r="AT627" s="456">
        <v>3032</v>
      </c>
      <c r="AU627" s="783">
        <v>2935</v>
      </c>
      <c r="AV627" s="449">
        <f t="shared" si="207"/>
        <v>8233</v>
      </c>
      <c r="AW627" s="453">
        <f t="shared" si="208"/>
        <v>343.04166666666669</v>
      </c>
      <c r="AX627" s="451">
        <f t="shared" si="209"/>
        <v>8601</v>
      </c>
      <c r="AY627" s="454">
        <f t="shared" si="210"/>
        <v>358.375</v>
      </c>
      <c r="AZ627" s="455">
        <f t="shared" si="211"/>
        <v>4780.0250000000005</v>
      </c>
      <c r="BA627" s="451">
        <f t="shared" si="212"/>
        <v>4870.5749999999998</v>
      </c>
    </row>
    <row r="628" spans="1:53">
      <c r="A628" s="779" t="s">
        <v>249</v>
      </c>
      <c r="B628" s="717" t="s">
        <v>892</v>
      </c>
      <c r="C628" s="715"/>
      <c r="D628" s="782">
        <v>232937</v>
      </c>
      <c r="E628" s="566">
        <v>3</v>
      </c>
      <c r="F628" s="491" t="s">
        <v>41</v>
      </c>
      <c r="G628" s="492" t="s">
        <v>41</v>
      </c>
      <c r="H628" s="456"/>
      <c r="I628" s="783"/>
      <c r="J628" s="456">
        <v>73813</v>
      </c>
      <c r="K628" s="783">
        <v>65661</v>
      </c>
      <c r="L628" s="456">
        <v>8921</v>
      </c>
      <c r="M628" s="783">
        <v>7911</v>
      </c>
      <c r="N628" s="456">
        <v>73460</v>
      </c>
      <c r="O628" s="783">
        <v>61923</v>
      </c>
      <c r="P628" s="449">
        <f t="shared" si="195"/>
        <v>156194</v>
      </c>
      <c r="Q628" s="450">
        <f t="shared" si="196"/>
        <v>5206.4666666666662</v>
      </c>
      <c r="R628" s="451">
        <f t="shared" si="197"/>
        <v>135495</v>
      </c>
      <c r="S628" s="452">
        <f t="shared" si="198"/>
        <v>4516.5</v>
      </c>
      <c r="T628" s="456">
        <v>555</v>
      </c>
      <c r="U628" s="783">
        <v>433</v>
      </c>
      <c r="V628" s="449">
        <f t="shared" si="199"/>
        <v>156194</v>
      </c>
      <c r="W628" s="448">
        <f t="shared" si="200"/>
        <v>135495</v>
      </c>
      <c r="X628" s="456"/>
      <c r="Y628" s="783"/>
      <c r="Z628" s="456"/>
      <c r="AA628" s="783"/>
      <c r="AB628" s="456"/>
      <c r="AC628" s="783"/>
      <c r="AD628" s="456"/>
      <c r="AE628" s="783"/>
      <c r="AF628" s="449">
        <f t="shared" si="201"/>
        <v>0</v>
      </c>
      <c r="AG628" s="450">
        <f t="shared" si="202"/>
        <v>0</v>
      </c>
      <c r="AH628" s="451">
        <f t="shared" si="203"/>
        <v>0</v>
      </c>
      <c r="AI628" s="451">
        <f t="shared" si="204"/>
        <v>0</v>
      </c>
      <c r="AJ628" s="456"/>
      <c r="AK628" s="783"/>
      <c r="AL628" s="449">
        <f t="shared" si="205"/>
        <v>0</v>
      </c>
      <c r="AM628" s="452">
        <f t="shared" si="206"/>
        <v>0</v>
      </c>
      <c r="AN628" s="456"/>
      <c r="AO628" s="783"/>
      <c r="AP628" s="456">
        <v>5695</v>
      </c>
      <c r="AQ628" s="783">
        <v>5212</v>
      </c>
      <c r="AR628" s="456">
        <v>622</v>
      </c>
      <c r="AS628" s="783">
        <v>701</v>
      </c>
      <c r="AT628" s="456">
        <v>5778</v>
      </c>
      <c r="AU628" s="783">
        <v>5106</v>
      </c>
      <c r="AV628" s="449">
        <f t="shared" si="207"/>
        <v>12095</v>
      </c>
      <c r="AW628" s="453">
        <f t="shared" si="208"/>
        <v>503.95833333333331</v>
      </c>
      <c r="AX628" s="451">
        <f t="shared" si="209"/>
        <v>11019</v>
      </c>
      <c r="AY628" s="454">
        <f t="shared" si="210"/>
        <v>459.125</v>
      </c>
      <c r="AZ628" s="455">
        <f t="shared" si="211"/>
        <v>5710.4249999999993</v>
      </c>
      <c r="BA628" s="451">
        <f t="shared" si="212"/>
        <v>4975.625</v>
      </c>
    </row>
    <row r="629" spans="1:53">
      <c r="A629" s="779" t="s">
        <v>249</v>
      </c>
      <c r="B629" s="717" t="s">
        <v>893</v>
      </c>
      <c r="C629" s="715"/>
      <c r="D629" s="782">
        <v>233277</v>
      </c>
      <c r="E629" s="805">
        <v>3</v>
      </c>
      <c r="F629" s="491" t="s">
        <v>41</v>
      </c>
      <c r="G629" s="492" t="s">
        <v>41</v>
      </c>
      <c r="H629" s="456"/>
      <c r="I629" s="783"/>
      <c r="J629" s="456">
        <v>122233</v>
      </c>
      <c r="K629" s="783">
        <v>121297</v>
      </c>
      <c r="L629" s="456">
        <v>10991</v>
      </c>
      <c r="M629" s="783">
        <v>11066</v>
      </c>
      <c r="N629" s="456">
        <v>130858</v>
      </c>
      <c r="O629" s="783">
        <v>130137</v>
      </c>
      <c r="P629" s="449">
        <f t="shared" si="195"/>
        <v>264082</v>
      </c>
      <c r="Q629" s="450">
        <f t="shared" si="196"/>
        <v>8802.7333333333336</v>
      </c>
      <c r="R629" s="451">
        <f t="shared" si="197"/>
        <v>262500</v>
      </c>
      <c r="S629" s="452">
        <f t="shared" si="198"/>
        <v>8750</v>
      </c>
      <c r="T629" s="456">
        <v>0</v>
      </c>
      <c r="U629" s="783">
        <v>0</v>
      </c>
      <c r="V629" s="449">
        <f t="shared" si="199"/>
        <v>264082</v>
      </c>
      <c r="W629" s="448">
        <f t="shared" si="200"/>
        <v>262500</v>
      </c>
      <c r="X629" s="456"/>
      <c r="Y629" s="783"/>
      <c r="Z629" s="456"/>
      <c r="AA629" s="783"/>
      <c r="AB629" s="456"/>
      <c r="AC629" s="783"/>
      <c r="AD629" s="456"/>
      <c r="AE629" s="783"/>
      <c r="AF629" s="449">
        <f t="shared" si="201"/>
        <v>0</v>
      </c>
      <c r="AG629" s="450">
        <f t="shared" si="202"/>
        <v>0</v>
      </c>
      <c r="AH629" s="451">
        <f t="shared" si="203"/>
        <v>0</v>
      </c>
      <c r="AI629" s="451">
        <f t="shared" si="204"/>
        <v>0</v>
      </c>
      <c r="AJ629" s="456"/>
      <c r="AK629" s="783"/>
      <c r="AL629" s="449">
        <f t="shared" si="205"/>
        <v>0</v>
      </c>
      <c r="AM629" s="452">
        <f t="shared" si="206"/>
        <v>0</v>
      </c>
      <c r="AN629" s="456"/>
      <c r="AO629" s="783"/>
      <c r="AP629" s="456">
        <v>8614</v>
      </c>
      <c r="AQ629" s="783">
        <v>7624</v>
      </c>
      <c r="AR629" s="456">
        <v>4167</v>
      </c>
      <c r="AS629" s="783">
        <v>3713</v>
      </c>
      <c r="AT629" s="456">
        <v>8078</v>
      </c>
      <c r="AU629" s="783">
        <v>7863</v>
      </c>
      <c r="AV629" s="449">
        <f t="shared" si="207"/>
        <v>20859</v>
      </c>
      <c r="AW629" s="453">
        <f t="shared" si="208"/>
        <v>869.125</v>
      </c>
      <c r="AX629" s="451">
        <f t="shared" si="209"/>
        <v>19200</v>
      </c>
      <c r="AY629" s="454">
        <f t="shared" si="210"/>
        <v>800</v>
      </c>
      <c r="AZ629" s="455">
        <f t="shared" si="211"/>
        <v>9671.8583333333336</v>
      </c>
      <c r="BA629" s="451">
        <f t="shared" si="212"/>
        <v>9550</v>
      </c>
    </row>
    <row r="630" spans="1:53">
      <c r="A630" s="779" t="s">
        <v>249</v>
      </c>
      <c r="B630" s="780" t="s">
        <v>894</v>
      </c>
      <c r="C630" s="784"/>
      <c r="D630" s="782">
        <v>232681</v>
      </c>
      <c r="E630" s="805">
        <v>3</v>
      </c>
      <c r="F630" s="491" t="s">
        <v>41</v>
      </c>
      <c r="G630" s="492" t="s">
        <v>41</v>
      </c>
      <c r="H630" s="456"/>
      <c r="I630" s="783"/>
      <c r="J630" s="456">
        <v>57011</v>
      </c>
      <c r="K630" s="783">
        <v>54910</v>
      </c>
      <c r="L630" s="456">
        <v>5119</v>
      </c>
      <c r="M630" s="783">
        <v>4690</v>
      </c>
      <c r="N630" s="456">
        <v>58124</v>
      </c>
      <c r="O630" s="783">
        <v>59702</v>
      </c>
      <c r="P630" s="449">
        <f t="shared" si="195"/>
        <v>120254</v>
      </c>
      <c r="Q630" s="450">
        <f t="shared" si="196"/>
        <v>4008.4666666666667</v>
      </c>
      <c r="R630" s="451">
        <f t="shared" si="197"/>
        <v>119302</v>
      </c>
      <c r="S630" s="452">
        <f t="shared" si="198"/>
        <v>3976.7333333333331</v>
      </c>
      <c r="T630" s="456">
        <v>29</v>
      </c>
      <c r="U630" s="783">
        <v>54</v>
      </c>
      <c r="V630" s="449">
        <f t="shared" si="199"/>
        <v>120254</v>
      </c>
      <c r="W630" s="448">
        <f t="shared" si="200"/>
        <v>119302</v>
      </c>
      <c r="X630" s="456"/>
      <c r="Y630" s="783"/>
      <c r="Z630" s="456"/>
      <c r="AA630" s="783"/>
      <c r="AB630" s="456"/>
      <c r="AC630" s="783"/>
      <c r="AD630" s="456"/>
      <c r="AE630" s="783"/>
      <c r="AF630" s="449">
        <f t="shared" si="201"/>
        <v>0</v>
      </c>
      <c r="AG630" s="450">
        <f t="shared" si="202"/>
        <v>0</v>
      </c>
      <c r="AH630" s="451">
        <f t="shared" si="203"/>
        <v>0</v>
      </c>
      <c r="AI630" s="451">
        <f t="shared" si="204"/>
        <v>0</v>
      </c>
      <c r="AJ630" s="456"/>
      <c r="AK630" s="783"/>
      <c r="AL630" s="449">
        <f t="shared" si="205"/>
        <v>0</v>
      </c>
      <c r="AM630" s="452">
        <f t="shared" si="206"/>
        <v>0</v>
      </c>
      <c r="AN630" s="456"/>
      <c r="AO630" s="783"/>
      <c r="AP630" s="456">
        <v>2414.1999999999998</v>
      </c>
      <c r="AQ630" s="783">
        <v>2164.4</v>
      </c>
      <c r="AR630" s="456">
        <v>994</v>
      </c>
      <c r="AS630" s="783">
        <v>1070</v>
      </c>
      <c r="AT630" s="456">
        <v>2460</v>
      </c>
      <c r="AU630" s="783">
        <v>2417</v>
      </c>
      <c r="AV630" s="449">
        <f t="shared" si="207"/>
        <v>5868.2</v>
      </c>
      <c r="AW630" s="453">
        <f t="shared" si="208"/>
        <v>244.50833333333333</v>
      </c>
      <c r="AX630" s="451">
        <f t="shared" si="209"/>
        <v>5651.4</v>
      </c>
      <c r="AY630" s="454">
        <f t="shared" si="210"/>
        <v>235.47499999999999</v>
      </c>
      <c r="AZ630" s="455">
        <f t="shared" si="211"/>
        <v>4252.9750000000004</v>
      </c>
      <c r="BA630" s="451">
        <f t="shared" si="212"/>
        <v>4212.208333333333</v>
      </c>
    </row>
    <row r="631" spans="1:53">
      <c r="A631" s="779" t="s">
        <v>249</v>
      </c>
      <c r="B631" s="717" t="s">
        <v>895</v>
      </c>
      <c r="C631" s="784"/>
      <c r="D631" s="782">
        <v>234155</v>
      </c>
      <c r="E631" s="805">
        <v>3</v>
      </c>
      <c r="F631" s="491" t="s">
        <v>41</v>
      </c>
      <c r="G631" s="492" t="s">
        <v>41</v>
      </c>
      <c r="H631" s="456"/>
      <c r="I631" s="783"/>
      <c r="J631" s="456">
        <v>68689</v>
      </c>
      <c r="K631" s="783">
        <v>63192</v>
      </c>
      <c r="L631" s="456">
        <v>3925</v>
      </c>
      <c r="M631" s="783">
        <v>3465</v>
      </c>
      <c r="N631" s="456">
        <v>68390</v>
      </c>
      <c r="O631" s="783">
        <v>66136</v>
      </c>
      <c r="P631" s="449">
        <f t="shared" si="195"/>
        <v>141004</v>
      </c>
      <c r="Q631" s="450">
        <f t="shared" si="196"/>
        <v>4700.1333333333332</v>
      </c>
      <c r="R631" s="451">
        <f t="shared" si="197"/>
        <v>132793</v>
      </c>
      <c r="S631" s="452">
        <f t="shared" si="198"/>
        <v>4426.4333333333334</v>
      </c>
      <c r="T631" s="456">
        <v>0</v>
      </c>
      <c r="U631" s="783">
        <v>0</v>
      </c>
      <c r="V631" s="449">
        <f t="shared" si="199"/>
        <v>141004</v>
      </c>
      <c r="W631" s="448">
        <f t="shared" si="200"/>
        <v>132793</v>
      </c>
      <c r="X631" s="456"/>
      <c r="Y631" s="783"/>
      <c r="Z631" s="456"/>
      <c r="AA631" s="783"/>
      <c r="AB631" s="456"/>
      <c r="AC631" s="783"/>
      <c r="AD631" s="456"/>
      <c r="AE631" s="783"/>
      <c r="AF631" s="449">
        <f t="shared" si="201"/>
        <v>0</v>
      </c>
      <c r="AG631" s="450">
        <f t="shared" si="202"/>
        <v>0</v>
      </c>
      <c r="AH631" s="451">
        <f t="shared" si="203"/>
        <v>0</v>
      </c>
      <c r="AI631" s="451">
        <f t="shared" si="204"/>
        <v>0</v>
      </c>
      <c r="AJ631" s="456"/>
      <c r="AK631" s="783"/>
      <c r="AL631" s="449">
        <f t="shared" si="205"/>
        <v>0</v>
      </c>
      <c r="AM631" s="452">
        <f t="shared" si="206"/>
        <v>0</v>
      </c>
      <c r="AN631" s="456"/>
      <c r="AO631" s="783"/>
      <c r="AP631" s="456">
        <v>4707</v>
      </c>
      <c r="AQ631" s="783">
        <v>3594</v>
      </c>
      <c r="AR631" s="456">
        <v>894</v>
      </c>
      <c r="AS631" s="783">
        <v>609</v>
      </c>
      <c r="AT631" s="456">
        <v>3913</v>
      </c>
      <c r="AU631" s="783">
        <v>3392</v>
      </c>
      <c r="AV631" s="449">
        <f t="shared" si="207"/>
        <v>9514</v>
      </c>
      <c r="AW631" s="453">
        <f t="shared" si="208"/>
        <v>396.41666666666669</v>
      </c>
      <c r="AX631" s="451">
        <f t="shared" si="209"/>
        <v>7595</v>
      </c>
      <c r="AY631" s="454">
        <f t="shared" si="210"/>
        <v>316.45833333333331</v>
      </c>
      <c r="AZ631" s="455">
        <f t="shared" si="211"/>
        <v>5096.55</v>
      </c>
      <c r="BA631" s="451">
        <f t="shared" si="212"/>
        <v>4742.8916666666664</v>
      </c>
    </row>
    <row r="632" spans="1:53">
      <c r="A632" s="779" t="s">
        <v>249</v>
      </c>
      <c r="B632" s="717" t="s">
        <v>896</v>
      </c>
      <c r="C632" s="715"/>
      <c r="D632" s="782">
        <v>231712</v>
      </c>
      <c r="E632" s="566">
        <v>5</v>
      </c>
      <c r="F632" s="491" t="s">
        <v>41</v>
      </c>
      <c r="G632" s="492" t="s">
        <v>41</v>
      </c>
      <c r="H632" s="456"/>
      <c r="I632" s="783"/>
      <c r="J632" s="456">
        <v>71413</v>
      </c>
      <c r="K632" s="783">
        <v>71331</v>
      </c>
      <c r="L632" s="456">
        <v>1170</v>
      </c>
      <c r="M632" s="783">
        <v>1203</v>
      </c>
      <c r="N632" s="456">
        <v>75781</v>
      </c>
      <c r="O632" s="783">
        <v>75257</v>
      </c>
      <c r="P632" s="449">
        <f t="shared" si="195"/>
        <v>148364</v>
      </c>
      <c r="Q632" s="450">
        <f t="shared" si="196"/>
        <v>4945.4666666666662</v>
      </c>
      <c r="R632" s="451">
        <f t="shared" si="197"/>
        <v>147791</v>
      </c>
      <c r="S632" s="452">
        <f t="shared" si="198"/>
        <v>4926.3666666666668</v>
      </c>
      <c r="T632" s="456">
        <v>0</v>
      </c>
      <c r="U632" s="783">
        <v>57</v>
      </c>
      <c r="V632" s="449">
        <f t="shared" si="199"/>
        <v>148364</v>
      </c>
      <c r="W632" s="448">
        <f t="shared" si="200"/>
        <v>147791</v>
      </c>
      <c r="X632" s="456"/>
      <c r="Y632" s="783"/>
      <c r="Z632" s="456"/>
      <c r="AA632" s="783"/>
      <c r="AB632" s="456"/>
      <c r="AC632" s="783"/>
      <c r="AD632" s="456"/>
      <c r="AE632" s="783"/>
      <c r="AF632" s="449">
        <f t="shared" si="201"/>
        <v>0</v>
      </c>
      <c r="AG632" s="450">
        <f t="shared" si="202"/>
        <v>0</v>
      </c>
      <c r="AH632" s="451">
        <f t="shared" si="203"/>
        <v>0</v>
      </c>
      <c r="AI632" s="451">
        <f t="shared" si="204"/>
        <v>0</v>
      </c>
      <c r="AJ632" s="456"/>
      <c r="AK632" s="783"/>
      <c r="AL632" s="449">
        <f t="shared" si="205"/>
        <v>0</v>
      </c>
      <c r="AM632" s="452">
        <f t="shared" si="206"/>
        <v>0</v>
      </c>
      <c r="AN632" s="456"/>
      <c r="AO632" s="783"/>
      <c r="AP632" s="456">
        <v>1347</v>
      </c>
      <c r="AQ632" s="783">
        <v>1284</v>
      </c>
      <c r="AR632" s="456">
        <v>656</v>
      </c>
      <c r="AS632" s="783">
        <v>613</v>
      </c>
      <c r="AT632" s="456">
        <v>1391</v>
      </c>
      <c r="AU632" s="783">
        <v>1385</v>
      </c>
      <c r="AV632" s="449">
        <f t="shared" si="207"/>
        <v>3394</v>
      </c>
      <c r="AW632" s="453">
        <f t="shared" si="208"/>
        <v>141.41666666666666</v>
      </c>
      <c r="AX632" s="451">
        <f t="shared" si="209"/>
        <v>3282</v>
      </c>
      <c r="AY632" s="454">
        <f t="shared" si="210"/>
        <v>136.75</v>
      </c>
      <c r="AZ632" s="455">
        <f t="shared" si="211"/>
        <v>5086.8833333333332</v>
      </c>
      <c r="BA632" s="451">
        <f t="shared" si="212"/>
        <v>5063.1166666666668</v>
      </c>
    </row>
    <row r="633" spans="1:53">
      <c r="A633" s="779" t="s">
        <v>249</v>
      </c>
      <c r="B633" s="780" t="s">
        <v>897</v>
      </c>
      <c r="C633" s="781"/>
      <c r="D633" s="782">
        <v>233897</v>
      </c>
      <c r="E633" s="566">
        <v>6</v>
      </c>
      <c r="F633" s="491" t="s">
        <v>41</v>
      </c>
      <c r="G633" s="492" t="s">
        <v>41</v>
      </c>
      <c r="H633" s="456"/>
      <c r="I633" s="783"/>
      <c r="J633" s="456">
        <v>24407</v>
      </c>
      <c r="K633" s="783">
        <v>23496</v>
      </c>
      <c r="L633" s="456">
        <v>4086</v>
      </c>
      <c r="M633" s="783">
        <v>5708</v>
      </c>
      <c r="N633" s="456">
        <v>24192</v>
      </c>
      <c r="O633" s="783">
        <v>22802</v>
      </c>
      <c r="P633" s="449">
        <f t="shared" si="195"/>
        <v>52685</v>
      </c>
      <c r="Q633" s="450">
        <f t="shared" si="196"/>
        <v>1756.1666666666667</v>
      </c>
      <c r="R633" s="451">
        <f t="shared" si="197"/>
        <v>52006</v>
      </c>
      <c r="S633" s="452">
        <f t="shared" si="198"/>
        <v>1733.5333333333333</v>
      </c>
      <c r="T633" s="456">
        <v>358</v>
      </c>
      <c r="U633" s="783">
        <v>449</v>
      </c>
      <c r="V633" s="449">
        <f t="shared" si="199"/>
        <v>52685</v>
      </c>
      <c r="W633" s="448">
        <f t="shared" si="200"/>
        <v>52006</v>
      </c>
      <c r="X633" s="456"/>
      <c r="Y633" s="783"/>
      <c r="Z633" s="456"/>
      <c r="AA633" s="783"/>
      <c r="AB633" s="456"/>
      <c r="AC633" s="783"/>
      <c r="AD633" s="456"/>
      <c r="AE633" s="783"/>
      <c r="AF633" s="449">
        <f t="shared" si="201"/>
        <v>0</v>
      </c>
      <c r="AG633" s="450">
        <f t="shared" si="202"/>
        <v>0</v>
      </c>
      <c r="AH633" s="451">
        <f t="shared" si="203"/>
        <v>0</v>
      </c>
      <c r="AI633" s="451">
        <f t="shared" si="204"/>
        <v>0</v>
      </c>
      <c r="AJ633" s="456"/>
      <c r="AK633" s="783"/>
      <c r="AL633" s="449">
        <f t="shared" si="205"/>
        <v>0</v>
      </c>
      <c r="AM633" s="452">
        <f t="shared" si="206"/>
        <v>0</v>
      </c>
      <c r="AN633" s="456"/>
      <c r="AO633" s="783"/>
      <c r="AP633" s="456">
        <v>0</v>
      </c>
      <c r="AQ633" s="783"/>
      <c r="AR633" s="456">
        <v>0</v>
      </c>
      <c r="AS633" s="783"/>
      <c r="AT633" s="456">
        <v>0</v>
      </c>
      <c r="AU633" s="783"/>
      <c r="AV633" s="449">
        <f t="shared" si="207"/>
        <v>0</v>
      </c>
      <c r="AW633" s="453">
        <f t="shared" si="208"/>
        <v>0</v>
      </c>
      <c r="AX633" s="451">
        <f t="shared" si="209"/>
        <v>0</v>
      </c>
      <c r="AY633" s="454">
        <f t="shared" si="210"/>
        <v>0</v>
      </c>
      <c r="AZ633" s="455">
        <f t="shared" si="211"/>
        <v>1756.1666666666667</v>
      </c>
      <c r="BA633" s="451">
        <f t="shared" si="212"/>
        <v>1733.5333333333333</v>
      </c>
    </row>
    <row r="634" spans="1:53">
      <c r="A634" s="779" t="s">
        <v>249</v>
      </c>
      <c r="B634" s="780" t="s">
        <v>898</v>
      </c>
      <c r="C634" s="781"/>
      <c r="D634" s="782">
        <v>232414</v>
      </c>
      <c r="E634" s="566">
        <v>8</v>
      </c>
      <c r="F634" s="491" t="s">
        <v>41</v>
      </c>
      <c r="G634" s="492" t="s">
        <v>41</v>
      </c>
      <c r="H634" s="456"/>
      <c r="I634" s="786"/>
      <c r="J634" s="456">
        <v>96404</v>
      </c>
      <c r="K634" s="786">
        <v>92271</v>
      </c>
      <c r="L634" s="456">
        <v>37720</v>
      </c>
      <c r="M634" s="786">
        <v>33671</v>
      </c>
      <c r="N634" s="456">
        <v>98123</v>
      </c>
      <c r="O634" s="786">
        <v>90084</v>
      </c>
      <c r="P634" s="449">
        <f t="shared" si="195"/>
        <v>232247</v>
      </c>
      <c r="Q634" s="450">
        <f t="shared" si="196"/>
        <v>7741.5666666666666</v>
      </c>
      <c r="R634" s="451">
        <f t="shared" si="197"/>
        <v>216026</v>
      </c>
      <c r="S634" s="452">
        <f t="shared" si="198"/>
        <v>7200.8666666666668</v>
      </c>
      <c r="T634" s="456">
        <v>14538</v>
      </c>
      <c r="U634" s="786">
        <v>16807</v>
      </c>
      <c r="V634" s="449">
        <f t="shared" si="199"/>
        <v>232247</v>
      </c>
      <c r="W634" s="448">
        <f t="shared" si="200"/>
        <v>216026</v>
      </c>
      <c r="X634" s="456"/>
      <c r="Y634" s="786"/>
      <c r="Z634" s="456"/>
      <c r="AA634" s="786"/>
      <c r="AB634" s="456"/>
      <c r="AC634" s="786"/>
      <c r="AD634" s="456"/>
      <c r="AE634" s="786"/>
      <c r="AF634" s="449">
        <f t="shared" si="201"/>
        <v>0</v>
      </c>
      <c r="AG634" s="450">
        <f t="shared" si="202"/>
        <v>0</v>
      </c>
      <c r="AH634" s="451">
        <f t="shared" si="203"/>
        <v>0</v>
      </c>
      <c r="AI634" s="451">
        <f t="shared" si="204"/>
        <v>0</v>
      </c>
      <c r="AJ634" s="456"/>
      <c r="AK634" s="786"/>
      <c r="AL634" s="449">
        <f t="shared" si="205"/>
        <v>0</v>
      </c>
      <c r="AM634" s="452">
        <f t="shared" si="206"/>
        <v>0</v>
      </c>
      <c r="AN634" s="456"/>
      <c r="AO634" s="786"/>
      <c r="AP634" s="456"/>
      <c r="AQ634" s="786"/>
      <c r="AR634" s="456"/>
      <c r="AS634" s="786"/>
      <c r="AT634" s="456"/>
      <c r="AU634" s="786"/>
      <c r="AV634" s="449">
        <f t="shared" si="207"/>
        <v>0</v>
      </c>
      <c r="AW634" s="453">
        <f t="shared" si="208"/>
        <v>0</v>
      </c>
      <c r="AX634" s="451">
        <f t="shared" si="209"/>
        <v>0</v>
      </c>
      <c r="AY634" s="454">
        <f t="shared" si="210"/>
        <v>0</v>
      </c>
      <c r="AZ634" s="455">
        <f t="shared" si="211"/>
        <v>7741.5666666666666</v>
      </c>
      <c r="BA634" s="451">
        <f t="shared" si="212"/>
        <v>7200.8666666666668</v>
      </c>
    </row>
    <row r="635" spans="1:53">
      <c r="A635" s="779" t="s">
        <v>249</v>
      </c>
      <c r="B635" s="780" t="s">
        <v>899</v>
      </c>
      <c r="C635" s="787"/>
      <c r="D635" s="782">
        <v>232450</v>
      </c>
      <c r="E635" s="566">
        <v>8</v>
      </c>
      <c r="F635" s="491" t="s">
        <v>41</v>
      </c>
      <c r="G635" s="492" t="s">
        <v>41</v>
      </c>
      <c r="H635" s="456"/>
      <c r="I635" s="786"/>
      <c r="J635" s="456">
        <v>73977</v>
      </c>
      <c r="K635" s="786">
        <v>70008</v>
      </c>
      <c r="L635" s="456">
        <v>18736</v>
      </c>
      <c r="M635" s="786">
        <v>18698</v>
      </c>
      <c r="N635" s="456">
        <v>77598</v>
      </c>
      <c r="O635" s="786">
        <v>76688</v>
      </c>
      <c r="P635" s="449">
        <f t="shared" si="195"/>
        <v>170311</v>
      </c>
      <c r="Q635" s="450">
        <f t="shared" si="196"/>
        <v>5677.0333333333338</v>
      </c>
      <c r="R635" s="451">
        <f t="shared" si="197"/>
        <v>165394</v>
      </c>
      <c r="S635" s="452">
        <f t="shared" si="198"/>
        <v>5513.1333333333332</v>
      </c>
      <c r="T635" s="456">
        <v>41495</v>
      </c>
      <c r="U635" s="786">
        <v>45125</v>
      </c>
      <c r="V635" s="449">
        <f t="shared" si="199"/>
        <v>170311</v>
      </c>
      <c r="W635" s="448">
        <f t="shared" si="200"/>
        <v>165394</v>
      </c>
      <c r="X635" s="456"/>
      <c r="Y635" s="786"/>
      <c r="Z635" s="456"/>
      <c r="AA635" s="786"/>
      <c r="AB635" s="456"/>
      <c r="AC635" s="786"/>
      <c r="AD635" s="456"/>
      <c r="AE635" s="786"/>
      <c r="AF635" s="449">
        <f t="shared" si="201"/>
        <v>0</v>
      </c>
      <c r="AG635" s="450">
        <f t="shared" si="202"/>
        <v>0</v>
      </c>
      <c r="AH635" s="451">
        <f t="shared" si="203"/>
        <v>0</v>
      </c>
      <c r="AI635" s="451">
        <f t="shared" si="204"/>
        <v>0</v>
      </c>
      <c r="AJ635" s="456"/>
      <c r="AK635" s="786"/>
      <c r="AL635" s="449">
        <f t="shared" si="205"/>
        <v>0</v>
      </c>
      <c r="AM635" s="452">
        <f t="shared" si="206"/>
        <v>0</v>
      </c>
      <c r="AN635" s="456"/>
      <c r="AO635" s="786"/>
      <c r="AP635" s="456"/>
      <c r="AQ635" s="786"/>
      <c r="AR635" s="456"/>
      <c r="AS635" s="786"/>
      <c r="AT635" s="456"/>
      <c r="AU635" s="786"/>
      <c r="AV635" s="449">
        <f t="shared" si="207"/>
        <v>0</v>
      </c>
      <c r="AW635" s="453">
        <f t="shared" si="208"/>
        <v>0</v>
      </c>
      <c r="AX635" s="451">
        <f t="shared" si="209"/>
        <v>0</v>
      </c>
      <c r="AY635" s="454">
        <f t="shared" si="210"/>
        <v>0</v>
      </c>
      <c r="AZ635" s="455">
        <f t="shared" si="211"/>
        <v>5677.0333333333338</v>
      </c>
      <c r="BA635" s="451">
        <f t="shared" si="212"/>
        <v>5513.1333333333332</v>
      </c>
    </row>
    <row r="636" spans="1:53">
      <c r="A636" s="779" t="s">
        <v>249</v>
      </c>
      <c r="B636" s="780" t="s">
        <v>900</v>
      </c>
      <c r="C636" s="781"/>
      <c r="D636" s="782">
        <v>232946</v>
      </c>
      <c r="E636" s="566">
        <v>8</v>
      </c>
      <c r="F636" s="491" t="s">
        <v>41</v>
      </c>
      <c r="G636" s="492" t="s">
        <v>41</v>
      </c>
      <c r="H636" s="456"/>
      <c r="I636" s="786"/>
      <c r="J636" s="456">
        <v>440660</v>
      </c>
      <c r="K636" s="786">
        <v>426055.5</v>
      </c>
      <c r="L636" s="456">
        <v>162747</v>
      </c>
      <c r="M636" s="786">
        <v>157192</v>
      </c>
      <c r="N636" s="456">
        <v>454333</v>
      </c>
      <c r="O636" s="786">
        <v>453988</v>
      </c>
      <c r="P636" s="449">
        <f t="shared" si="195"/>
        <v>1057740</v>
      </c>
      <c r="Q636" s="450">
        <f t="shared" si="196"/>
        <v>35258</v>
      </c>
      <c r="R636" s="451">
        <f t="shared" si="197"/>
        <v>1037235.5</v>
      </c>
      <c r="S636" s="452">
        <f t="shared" si="198"/>
        <v>34574.51666666667</v>
      </c>
      <c r="T636" s="456">
        <v>43911</v>
      </c>
      <c r="U636" s="786">
        <v>62676</v>
      </c>
      <c r="V636" s="449">
        <f t="shared" si="199"/>
        <v>1057740</v>
      </c>
      <c r="W636" s="448">
        <f t="shared" si="200"/>
        <v>1037235.5</v>
      </c>
      <c r="X636" s="456"/>
      <c r="Y636" s="786"/>
      <c r="Z636" s="456"/>
      <c r="AA636" s="786"/>
      <c r="AB636" s="456"/>
      <c r="AC636" s="786"/>
      <c r="AD636" s="456"/>
      <c r="AE636" s="786"/>
      <c r="AF636" s="449">
        <f t="shared" si="201"/>
        <v>0</v>
      </c>
      <c r="AG636" s="450">
        <f t="shared" si="202"/>
        <v>0</v>
      </c>
      <c r="AH636" s="451">
        <f t="shared" si="203"/>
        <v>0</v>
      </c>
      <c r="AI636" s="451">
        <f t="shared" si="204"/>
        <v>0</v>
      </c>
      <c r="AJ636" s="456"/>
      <c r="AK636" s="786"/>
      <c r="AL636" s="449">
        <f t="shared" si="205"/>
        <v>0</v>
      </c>
      <c r="AM636" s="452">
        <f t="shared" si="206"/>
        <v>0</v>
      </c>
      <c r="AN636" s="456"/>
      <c r="AO636" s="786"/>
      <c r="AP636" s="456"/>
      <c r="AQ636" s="786"/>
      <c r="AR636" s="456"/>
      <c r="AS636" s="786"/>
      <c r="AT636" s="456"/>
      <c r="AU636" s="786"/>
      <c r="AV636" s="449">
        <f t="shared" si="207"/>
        <v>0</v>
      </c>
      <c r="AW636" s="453">
        <f t="shared" si="208"/>
        <v>0</v>
      </c>
      <c r="AX636" s="451">
        <f t="shared" si="209"/>
        <v>0</v>
      </c>
      <c r="AY636" s="454">
        <f t="shared" si="210"/>
        <v>0</v>
      </c>
      <c r="AZ636" s="455">
        <f t="shared" si="211"/>
        <v>35258</v>
      </c>
      <c r="BA636" s="451">
        <f t="shared" si="212"/>
        <v>34574.51666666667</v>
      </c>
    </row>
    <row r="637" spans="1:53">
      <c r="A637" s="779" t="s">
        <v>249</v>
      </c>
      <c r="B637" s="780" t="s">
        <v>901</v>
      </c>
      <c r="C637" s="781"/>
      <c r="D637" s="782">
        <v>233754</v>
      </c>
      <c r="E637" s="566">
        <v>8</v>
      </c>
      <c r="F637" s="491" t="s">
        <v>41</v>
      </c>
      <c r="G637" s="492" t="s">
        <v>41</v>
      </c>
      <c r="H637" s="456"/>
      <c r="I637" s="786"/>
      <c r="J637" s="456">
        <v>89127</v>
      </c>
      <c r="K637" s="786">
        <v>81747</v>
      </c>
      <c r="L637" s="456">
        <v>26534</v>
      </c>
      <c r="M637" s="786">
        <v>23591</v>
      </c>
      <c r="N637" s="456">
        <v>90057</v>
      </c>
      <c r="O637" s="786">
        <v>81214</v>
      </c>
      <c r="P637" s="449">
        <f t="shared" si="195"/>
        <v>205718</v>
      </c>
      <c r="Q637" s="450">
        <f t="shared" si="196"/>
        <v>6857.2666666666664</v>
      </c>
      <c r="R637" s="451">
        <f t="shared" si="197"/>
        <v>186552</v>
      </c>
      <c r="S637" s="452">
        <f t="shared" si="198"/>
        <v>6218.4</v>
      </c>
      <c r="T637" s="456">
        <v>22530</v>
      </c>
      <c r="U637" s="786">
        <v>18578</v>
      </c>
      <c r="V637" s="449">
        <f t="shared" si="199"/>
        <v>205718</v>
      </c>
      <c r="W637" s="448">
        <f t="shared" si="200"/>
        <v>186552</v>
      </c>
      <c r="X637" s="456"/>
      <c r="Y637" s="786"/>
      <c r="Z637" s="456"/>
      <c r="AA637" s="786"/>
      <c r="AB637" s="456"/>
      <c r="AC637" s="786"/>
      <c r="AD637" s="456"/>
      <c r="AE637" s="786"/>
      <c r="AF637" s="449">
        <f t="shared" si="201"/>
        <v>0</v>
      </c>
      <c r="AG637" s="450">
        <f t="shared" si="202"/>
        <v>0</v>
      </c>
      <c r="AH637" s="451">
        <f t="shared" si="203"/>
        <v>0</v>
      </c>
      <c r="AI637" s="451">
        <f t="shared" si="204"/>
        <v>0</v>
      </c>
      <c r="AJ637" s="456"/>
      <c r="AK637" s="786"/>
      <c r="AL637" s="449">
        <f t="shared" si="205"/>
        <v>0</v>
      </c>
      <c r="AM637" s="452">
        <f t="shared" si="206"/>
        <v>0</v>
      </c>
      <c r="AN637" s="456"/>
      <c r="AO637" s="786"/>
      <c r="AP637" s="456"/>
      <c r="AQ637" s="786"/>
      <c r="AR637" s="456"/>
      <c r="AS637" s="786"/>
      <c r="AT637" s="456"/>
      <c r="AU637" s="786"/>
      <c r="AV637" s="449">
        <f t="shared" si="207"/>
        <v>0</v>
      </c>
      <c r="AW637" s="453">
        <f t="shared" si="208"/>
        <v>0</v>
      </c>
      <c r="AX637" s="451">
        <f t="shared" si="209"/>
        <v>0</v>
      </c>
      <c r="AY637" s="454">
        <f t="shared" si="210"/>
        <v>0</v>
      </c>
      <c r="AZ637" s="455">
        <f t="shared" si="211"/>
        <v>6857.2666666666664</v>
      </c>
      <c r="BA637" s="451">
        <f t="shared" si="212"/>
        <v>6218.4</v>
      </c>
    </row>
    <row r="638" spans="1:53">
      <c r="A638" s="779" t="s">
        <v>249</v>
      </c>
      <c r="B638" s="780" t="s">
        <v>902</v>
      </c>
      <c r="C638" s="781"/>
      <c r="D638" s="782">
        <v>233772</v>
      </c>
      <c r="E638" s="566">
        <v>8</v>
      </c>
      <c r="F638" s="491" t="s">
        <v>41</v>
      </c>
      <c r="G638" s="492" t="s">
        <v>41</v>
      </c>
      <c r="H638" s="456"/>
      <c r="I638" s="786"/>
      <c r="J638" s="456">
        <v>248791</v>
      </c>
      <c r="K638" s="786">
        <v>233794</v>
      </c>
      <c r="L638" s="456">
        <v>86595</v>
      </c>
      <c r="M638" s="786">
        <v>75337</v>
      </c>
      <c r="N638" s="456">
        <v>251049</v>
      </c>
      <c r="O638" s="786">
        <v>233258</v>
      </c>
      <c r="P638" s="449">
        <f t="shared" si="195"/>
        <v>586435</v>
      </c>
      <c r="Q638" s="450">
        <f t="shared" si="196"/>
        <v>19547.833333333332</v>
      </c>
      <c r="R638" s="451">
        <f t="shared" si="197"/>
        <v>542389</v>
      </c>
      <c r="S638" s="452">
        <f t="shared" si="198"/>
        <v>18079.633333333335</v>
      </c>
      <c r="T638" s="456">
        <v>21098</v>
      </c>
      <c r="U638" s="786">
        <v>23955</v>
      </c>
      <c r="V638" s="449">
        <f t="shared" si="199"/>
        <v>586435</v>
      </c>
      <c r="W638" s="448">
        <f t="shared" si="200"/>
        <v>542389</v>
      </c>
      <c r="X638" s="456"/>
      <c r="Y638" s="786"/>
      <c r="Z638" s="456"/>
      <c r="AA638" s="786"/>
      <c r="AB638" s="456"/>
      <c r="AC638" s="786"/>
      <c r="AD638" s="456"/>
      <c r="AE638" s="786"/>
      <c r="AF638" s="449">
        <f t="shared" si="201"/>
        <v>0</v>
      </c>
      <c r="AG638" s="450">
        <f t="shared" si="202"/>
        <v>0</v>
      </c>
      <c r="AH638" s="451">
        <f t="shared" si="203"/>
        <v>0</v>
      </c>
      <c r="AI638" s="451">
        <f t="shared" si="204"/>
        <v>0</v>
      </c>
      <c r="AJ638" s="456"/>
      <c r="AK638" s="786"/>
      <c r="AL638" s="449">
        <f t="shared" si="205"/>
        <v>0</v>
      </c>
      <c r="AM638" s="452">
        <f t="shared" si="206"/>
        <v>0</v>
      </c>
      <c r="AN638" s="456"/>
      <c r="AO638" s="786"/>
      <c r="AP638" s="456"/>
      <c r="AQ638" s="786"/>
      <c r="AR638" s="456"/>
      <c r="AS638" s="786"/>
      <c r="AT638" s="456"/>
      <c r="AU638" s="786"/>
      <c r="AV638" s="449">
        <f t="shared" si="207"/>
        <v>0</v>
      </c>
      <c r="AW638" s="453">
        <f t="shared" si="208"/>
        <v>0</v>
      </c>
      <c r="AX638" s="451">
        <f t="shared" si="209"/>
        <v>0</v>
      </c>
      <c r="AY638" s="454">
        <f t="shared" si="210"/>
        <v>0</v>
      </c>
      <c r="AZ638" s="455">
        <f t="shared" si="211"/>
        <v>19547.833333333332</v>
      </c>
      <c r="BA638" s="451">
        <f t="shared" si="212"/>
        <v>18079.633333333335</v>
      </c>
    </row>
    <row r="639" spans="1:53">
      <c r="A639" s="779" t="s">
        <v>249</v>
      </c>
      <c r="B639" s="780" t="s">
        <v>903</v>
      </c>
      <c r="C639" s="781"/>
      <c r="D639" s="782">
        <v>231536</v>
      </c>
      <c r="E639" s="566">
        <v>9</v>
      </c>
      <c r="F639" s="491" t="s">
        <v>41</v>
      </c>
      <c r="G639" s="492" t="s">
        <v>41</v>
      </c>
      <c r="H639" s="456"/>
      <c r="I639" s="786"/>
      <c r="J639" s="456">
        <v>36903</v>
      </c>
      <c r="K639" s="786">
        <v>35738</v>
      </c>
      <c r="L639" s="456">
        <v>9539</v>
      </c>
      <c r="M639" s="786">
        <v>9397</v>
      </c>
      <c r="N639" s="456">
        <v>39988</v>
      </c>
      <c r="O639" s="786">
        <v>36911</v>
      </c>
      <c r="P639" s="449">
        <f t="shared" si="195"/>
        <v>86430</v>
      </c>
      <c r="Q639" s="450">
        <f t="shared" si="196"/>
        <v>2881</v>
      </c>
      <c r="R639" s="451">
        <f t="shared" si="197"/>
        <v>82046</v>
      </c>
      <c r="S639" s="452">
        <f t="shared" si="198"/>
        <v>2734.8666666666668</v>
      </c>
      <c r="T639" s="456">
        <v>11235</v>
      </c>
      <c r="U639" s="786">
        <v>11167</v>
      </c>
      <c r="V639" s="449">
        <f t="shared" si="199"/>
        <v>86430</v>
      </c>
      <c r="W639" s="448">
        <f t="shared" si="200"/>
        <v>82046</v>
      </c>
      <c r="X639" s="456"/>
      <c r="Y639" s="786"/>
      <c r="Z639" s="456"/>
      <c r="AA639" s="786"/>
      <c r="AB639" s="456"/>
      <c r="AC639" s="786"/>
      <c r="AD639" s="456"/>
      <c r="AE639" s="786"/>
      <c r="AF639" s="449">
        <f t="shared" si="201"/>
        <v>0</v>
      </c>
      <c r="AG639" s="450">
        <f t="shared" si="202"/>
        <v>0</v>
      </c>
      <c r="AH639" s="451">
        <f t="shared" si="203"/>
        <v>0</v>
      </c>
      <c r="AI639" s="451">
        <f t="shared" si="204"/>
        <v>0</v>
      </c>
      <c r="AJ639" s="456"/>
      <c r="AK639" s="786"/>
      <c r="AL639" s="449">
        <f t="shared" si="205"/>
        <v>0</v>
      </c>
      <c r="AM639" s="452">
        <f t="shared" si="206"/>
        <v>0</v>
      </c>
      <c r="AN639" s="456"/>
      <c r="AO639" s="786"/>
      <c r="AP639" s="456"/>
      <c r="AQ639" s="786"/>
      <c r="AR639" s="456"/>
      <c r="AS639" s="786"/>
      <c r="AT639" s="456"/>
      <c r="AU639" s="786"/>
      <c r="AV639" s="449">
        <f t="shared" si="207"/>
        <v>0</v>
      </c>
      <c r="AW639" s="453">
        <f t="shared" si="208"/>
        <v>0</v>
      </c>
      <c r="AX639" s="451">
        <f t="shared" si="209"/>
        <v>0</v>
      </c>
      <c r="AY639" s="454">
        <f t="shared" si="210"/>
        <v>0</v>
      </c>
      <c r="AZ639" s="455">
        <f t="shared" si="211"/>
        <v>2881</v>
      </c>
      <c r="BA639" s="451">
        <f t="shared" si="212"/>
        <v>2734.8666666666668</v>
      </c>
    </row>
    <row r="640" spans="1:53">
      <c r="A640" s="779" t="s">
        <v>249</v>
      </c>
      <c r="B640" s="780" t="s">
        <v>904</v>
      </c>
      <c r="C640" s="781"/>
      <c r="D640" s="782">
        <v>231697</v>
      </c>
      <c r="E640" s="566">
        <v>9</v>
      </c>
      <c r="F640" s="491" t="s">
        <v>41</v>
      </c>
      <c r="G640" s="492" t="s">
        <v>41</v>
      </c>
      <c r="H640" s="456"/>
      <c r="I640" s="786"/>
      <c r="J640" s="456">
        <v>33466</v>
      </c>
      <c r="K640" s="786">
        <v>33880</v>
      </c>
      <c r="L640" s="456">
        <v>8977</v>
      </c>
      <c r="M640" s="786">
        <v>7373</v>
      </c>
      <c r="N640" s="456">
        <v>37092</v>
      </c>
      <c r="O640" s="786">
        <v>36608</v>
      </c>
      <c r="P640" s="449">
        <f t="shared" si="195"/>
        <v>79535</v>
      </c>
      <c r="Q640" s="450">
        <f t="shared" si="196"/>
        <v>2651.1666666666665</v>
      </c>
      <c r="R640" s="451">
        <f t="shared" si="197"/>
        <v>77861</v>
      </c>
      <c r="S640" s="452">
        <f t="shared" si="198"/>
        <v>2595.3666666666668</v>
      </c>
      <c r="T640" s="456">
        <v>33466</v>
      </c>
      <c r="U640" s="786">
        <v>35848</v>
      </c>
      <c r="V640" s="449">
        <f t="shared" si="199"/>
        <v>79535</v>
      </c>
      <c r="W640" s="448">
        <f t="shared" si="200"/>
        <v>77861</v>
      </c>
      <c r="X640" s="456"/>
      <c r="Y640" s="786"/>
      <c r="Z640" s="456"/>
      <c r="AA640" s="786"/>
      <c r="AB640" s="456"/>
      <c r="AC640" s="786"/>
      <c r="AD640" s="456"/>
      <c r="AE640" s="786"/>
      <c r="AF640" s="449">
        <f t="shared" si="201"/>
        <v>0</v>
      </c>
      <c r="AG640" s="450">
        <f t="shared" si="202"/>
        <v>0</v>
      </c>
      <c r="AH640" s="451">
        <f t="shared" si="203"/>
        <v>0</v>
      </c>
      <c r="AI640" s="451">
        <f t="shared" si="204"/>
        <v>0</v>
      </c>
      <c r="AJ640" s="456"/>
      <c r="AK640" s="786"/>
      <c r="AL640" s="449">
        <f t="shared" si="205"/>
        <v>0</v>
      </c>
      <c r="AM640" s="452">
        <f t="shared" si="206"/>
        <v>0</v>
      </c>
      <c r="AN640" s="456"/>
      <c r="AO640" s="786"/>
      <c r="AP640" s="456"/>
      <c r="AQ640" s="786"/>
      <c r="AR640" s="456"/>
      <c r="AS640" s="786"/>
      <c r="AT640" s="456"/>
      <c r="AU640" s="786"/>
      <c r="AV640" s="449">
        <f t="shared" si="207"/>
        <v>0</v>
      </c>
      <c r="AW640" s="453">
        <f t="shared" si="208"/>
        <v>0</v>
      </c>
      <c r="AX640" s="451">
        <f t="shared" si="209"/>
        <v>0</v>
      </c>
      <c r="AY640" s="454">
        <f t="shared" si="210"/>
        <v>0</v>
      </c>
      <c r="AZ640" s="455">
        <f t="shared" si="211"/>
        <v>2651.1666666666665</v>
      </c>
      <c r="BA640" s="451">
        <f t="shared" si="212"/>
        <v>2595.3666666666668</v>
      </c>
    </row>
    <row r="641" spans="1:53">
      <c r="A641" s="779" t="s">
        <v>249</v>
      </c>
      <c r="B641" s="780" t="s">
        <v>905</v>
      </c>
      <c r="C641" s="781"/>
      <c r="D641" s="782">
        <v>231882</v>
      </c>
      <c r="E641" s="566">
        <v>9</v>
      </c>
      <c r="F641" s="491" t="s">
        <v>41</v>
      </c>
      <c r="G641" s="492" t="s">
        <v>41</v>
      </c>
      <c r="H641" s="456"/>
      <c r="I641" s="786"/>
      <c r="J641" s="456">
        <v>33112</v>
      </c>
      <c r="K641" s="786">
        <v>29759</v>
      </c>
      <c r="L641" s="456">
        <v>9107</v>
      </c>
      <c r="M641" s="786">
        <v>7890</v>
      </c>
      <c r="N641" s="456">
        <v>33549</v>
      </c>
      <c r="O641" s="786">
        <v>31445</v>
      </c>
      <c r="P641" s="449">
        <f t="shared" si="195"/>
        <v>75768</v>
      </c>
      <c r="Q641" s="450">
        <f t="shared" si="196"/>
        <v>2525.6</v>
      </c>
      <c r="R641" s="451">
        <f t="shared" si="197"/>
        <v>69094</v>
      </c>
      <c r="S641" s="452">
        <f t="shared" si="198"/>
        <v>2303.1333333333332</v>
      </c>
      <c r="T641" s="456">
        <v>27796</v>
      </c>
      <c r="U641" s="786">
        <v>30058</v>
      </c>
      <c r="V641" s="449">
        <f t="shared" si="199"/>
        <v>75768</v>
      </c>
      <c r="W641" s="448">
        <f t="shared" si="200"/>
        <v>69094</v>
      </c>
      <c r="X641" s="456"/>
      <c r="Y641" s="786"/>
      <c r="Z641" s="456"/>
      <c r="AA641" s="786"/>
      <c r="AB641" s="456"/>
      <c r="AC641" s="786"/>
      <c r="AD641" s="456"/>
      <c r="AE641" s="786"/>
      <c r="AF641" s="449">
        <f t="shared" si="201"/>
        <v>0</v>
      </c>
      <c r="AG641" s="450">
        <f t="shared" si="202"/>
        <v>0</v>
      </c>
      <c r="AH641" s="451">
        <f t="shared" si="203"/>
        <v>0</v>
      </c>
      <c r="AI641" s="451">
        <f t="shared" si="204"/>
        <v>0</v>
      </c>
      <c r="AJ641" s="456"/>
      <c r="AK641" s="786"/>
      <c r="AL641" s="449">
        <f t="shared" si="205"/>
        <v>0</v>
      </c>
      <c r="AM641" s="452">
        <f t="shared" si="206"/>
        <v>0</v>
      </c>
      <c r="AN641" s="456"/>
      <c r="AO641" s="786"/>
      <c r="AP641" s="456"/>
      <c r="AQ641" s="786"/>
      <c r="AR641" s="456"/>
      <c r="AS641" s="786"/>
      <c r="AT641" s="456"/>
      <c r="AU641" s="786"/>
      <c r="AV641" s="449">
        <f t="shared" si="207"/>
        <v>0</v>
      </c>
      <c r="AW641" s="453">
        <f t="shared" si="208"/>
        <v>0</v>
      </c>
      <c r="AX641" s="451">
        <f t="shared" si="209"/>
        <v>0</v>
      </c>
      <c r="AY641" s="454">
        <f t="shared" si="210"/>
        <v>0</v>
      </c>
      <c r="AZ641" s="455">
        <f t="shared" si="211"/>
        <v>2525.6</v>
      </c>
      <c r="BA641" s="451">
        <f t="shared" si="212"/>
        <v>2303.1333333333332</v>
      </c>
    </row>
    <row r="642" spans="1:53">
      <c r="A642" s="779" t="s">
        <v>249</v>
      </c>
      <c r="B642" s="780" t="s">
        <v>906</v>
      </c>
      <c r="C642" s="781"/>
      <c r="D642" s="782">
        <v>232195</v>
      </c>
      <c r="E642" s="566">
        <v>9</v>
      </c>
      <c r="F642" s="491" t="s">
        <v>41</v>
      </c>
      <c r="G642" s="492" t="s">
        <v>41</v>
      </c>
      <c r="H642" s="456"/>
      <c r="I642" s="786"/>
      <c r="J642" s="456">
        <v>56433</v>
      </c>
      <c r="K642" s="786">
        <v>57447</v>
      </c>
      <c r="L642" s="456">
        <v>15753</v>
      </c>
      <c r="M642" s="786">
        <v>16103</v>
      </c>
      <c r="N642" s="456">
        <v>61553</v>
      </c>
      <c r="O642" s="786">
        <v>59548</v>
      </c>
      <c r="P642" s="449">
        <f t="shared" si="195"/>
        <v>133739</v>
      </c>
      <c r="Q642" s="450">
        <f t="shared" si="196"/>
        <v>4457.9666666666662</v>
      </c>
      <c r="R642" s="451">
        <f t="shared" si="197"/>
        <v>133098</v>
      </c>
      <c r="S642" s="452">
        <f t="shared" si="198"/>
        <v>4436.6000000000004</v>
      </c>
      <c r="T642" s="456">
        <v>18605</v>
      </c>
      <c r="U642" s="786">
        <v>21287</v>
      </c>
      <c r="V642" s="449">
        <f t="shared" si="199"/>
        <v>133739</v>
      </c>
      <c r="W642" s="448">
        <f t="shared" si="200"/>
        <v>133098</v>
      </c>
      <c r="X642" s="456"/>
      <c r="Y642" s="786"/>
      <c r="Z642" s="456"/>
      <c r="AA642" s="786"/>
      <c r="AB642" s="456"/>
      <c r="AC642" s="786"/>
      <c r="AD642" s="456"/>
      <c r="AE642" s="786"/>
      <c r="AF642" s="449">
        <f t="shared" si="201"/>
        <v>0</v>
      </c>
      <c r="AG642" s="450">
        <f t="shared" si="202"/>
        <v>0</v>
      </c>
      <c r="AH642" s="451">
        <f t="shared" si="203"/>
        <v>0</v>
      </c>
      <c r="AI642" s="451">
        <f t="shared" si="204"/>
        <v>0</v>
      </c>
      <c r="AJ642" s="456"/>
      <c r="AK642" s="786"/>
      <c r="AL642" s="449">
        <f t="shared" si="205"/>
        <v>0</v>
      </c>
      <c r="AM642" s="452">
        <f t="shared" si="206"/>
        <v>0</v>
      </c>
      <c r="AN642" s="456"/>
      <c r="AO642" s="786"/>
      <c r="AP642" s="456"/>
      <c r="AQ642" s="786"/>
      <c r="AR642" s="456"/>
      <c r="AS642" s="786"/>
      <c r="AT642" s="456"/>
      <c r="AU642" s="786"/>
      <c r="AV642" s="449">
        <f t="shared" si="207"/>
        <v>0</v>
      </c>
      <c r="AW642" s="453">
        <f t="shared" si="208"/>
        <v>0</v>
      </c>
      <c r="AX642" s="451">
        <f t="shared" si="209"/>
        <v>0</v>
      </c>
      <c r="AY642" s="454">
        <f t="shared" si="210"/>
        <v>0</v>
      </c>
      <c r="AZ642" s="455">
        <f t="shared" si="211"/>
        <v>4457.9666666666662</v>
      </c>
      <c r="BA642" s="451">
        <f t="shared" si="212"/>
        <v>4436.6000000000004</v>
      </c>
    </row>
    <row r="643" spans="1:53">
      <c r="A643" s="779" t="s">
        <v>249</v>
      </c>
      <c r="B643" s="780" t="s">
        <v>907</v>
      </c>
      <c r="C643" s="781"/>
      <c r="D643" s="782">
        <v>232575</v>
      </c>
      <c r="E643" s="566">
        <v>9</v>
      </c>
      <c r="F643" s="491" t="s">
        <v>41</v>
      </c>
      <c r="G643" s="492" t="s">
        <v>41</v>
      </c>
      <c r="H643" s="456"/>
      <c r="I643" s="786"/>
      <c r="J643" s="456">
        <v>50516</v>
      </c>
      <c r="K643" s="786">
        <v>50535</v>
      </c>
      <c r="L643" s="456">
        <v>13058</v>
      </c>
      <c r="M643" s="786">
        <v>12607</v>
      </c>
      <c r="N643" s="456">
        <v>57209</v>
      </c>
      <c r="O643" s="786">
        <v>57424</v>
      </c>
      <c r="P643" s="449">
        <f t="shared" si="195"/>
        <v>120783</v>
      </c>
      <c r="Q643" s="450">
        <f t="shared" si="196"/>
        <v>4026.1</v>
      </c>
      <c r="R643" s="451">
        <f t="shared" si="197"/>
        <v>120566</v>
      </c>
      <c r="S643" s="452">
        <f t="shared" si="198"/>
        <v>4018.8666666666668</v>
      </c>
      <c r="T643" s="456">
        <v>48801</v>
      </c>
      <c r="U643" s="786">
        <v>54418</v>
      </c>
      <c r="V643" s="449">
        <f t="shared" si="199"/>
        <v>120783</v>
      </c>
      <c r="W643" s="448">
        <f t="shared" si="200"/>
        <v>120566</v>
      </c>
      <c r="X643" s="456"/>
      <c r="Y643" s="786"/>
      <c r="Z643" s="456"/>
      <c r="AA643" s="786"/>
      <c r="AB643" s="456"/>
      <c r="AC643" s="786"/>
      <c r="AD643" s="456"/>
      <c r="AE643" s="786"/>
      <c r="AF643" s="449">
        <f t="shared" si="201"/>
        <v>0</v>
      </c>
      <c r="AG643" s="450">
        <f t="shared" si="202"/>
        <v>0</v>
      </c>
      <c r="AH643" s="451">
        <f t="shared" si="203"/>
        <v>0</v>
      </c>
      <c r="AI643" s="451">
        <f t="shared" si="204"/>
        <v>0</v>
      </c>
      <c r="AJ643" s="456"/>
      <c r="AK643" s="786"/>
      <c r="AL643" s="449">
        <f t="shared" si="205"/>
        <v>0</v>
      </c>
      <c r="AM643" s="452">
        <f t="shared" si="206"/>
        <v>0</v>
      </c>
      <c r="AN643" s="456"/>
      <c r="AO643" s="786"/>
      <c r="AP643" s="456"/>
      <c r="AQ643" s="786"/>
      <c r="AR643" s="456"/>
      <c r="AS643" s="786"/>
      <c r="AT643" s="456"/>
      <c r="AU643" s="786"/>
      <c r="AV643" s="449">
        <f t="shared" si="207"/>
        <v>0</v>
      </c>
      <c r="AW643" s="453">
        <f t="shared" si="208"/>
        <v>0</v>
      </c>
      <c r="AX643" s="451">
        <f t="shared" si="209"/>
        <v>0</v>
      </c>
      <c r="AY643" s="454">
        <f t="shared" si="210"/>
        <v>0</v>
      </c>
      <c r="AZ643" s="455">
        <f t="shared" si="211"/>
        <v>4026.1</v>
      </c>
      <c r="BA643" s="451">
        <f t="shared" si="212"/>
        <v>4018.8666666666668</v>
      </c>
    </row>
    <row r="644" spans="1:53">
      <c r="A644" s="779" t="s">
        <v>249</v>
      </c>
      <c r="B644" s="717" t="s">
        <v>908</v>
      </c>
      <c r="C644" s="784" t="s">
        <v>574</v>
      </c>
      <c r="D644" s="782">
        <v>232788</v>
      </c>
      <c r="E644" s="573">
        <v>10</v>
      </c>
      <c r="F644" s="491" t="s">
        <v>41</v>
      </c>
      <c r="G644" s="492" t="s">
        <v>41</v>
      </c>
      <c r="H644" s="456"/>
      <c r="I644" s="786"/>
      <c r="J644" s="456">
        <v>22956</v>
      </c>
      <c r="K644" s="786">
        <v>22336</v>
      </c>
      <c r="L644" s="456">
        <v>5773</v>
      </c>
      <c r="M644" s="786">
        <v>5391</v>
      </c>
      <c r="N644" s="456">
        <v>24627</v>
      </c>
      <c r="O644" s="786">
        <v>25394</v>
      </c>
      <c r="P644" s="449">
        <f t="shared" si="195"/>
        <v>53356</v>
      </c>
      <c r="Q644" s="450">
        <f t="shared" si="196"/>
        <v>1778.5333333333333</v>
      </c>
      <c r="R644" s="451">
        <f t="shared" si="197"/>
        <v>53121</v>
      </c>
      <c r="S644" s="452">
        <f t="shared" si="198"/>
        <v>1770.7</v>
      </c>
      <c r="T644" s="456">
        <v>22783</v>
      </c>
      <c r="U644" s="786">
        <v>23769</v>
      </c>
      <c r="V644" s="449">
        <f t="shared" si="199"/>
        <v>53356</v>
      </c>
      <c r="W644" s="448">
        <f t="shared" si="200"/>
        <v>53121</v>
      </c>
      <c r="X644" s="456"/>
      <c r="Y644" s="786"/>
      <c r="Z644" s="456"/>
      <c r="AA644" s="786"/>
      <c r="AB644" s="456"/>
      <c r="AC644" s="786"/>
      <c r="AD644" s="456"/>
      <c r="AE644" s="786"/>
      <c r="AF644" s="449">
        <f t="shared" si="201"/>
        <v>0</v>
      </c>
      <c r="AG644" s="450">
        <f t="shared" si="202"/>
        <v>0</v>
      </c>
      <c r="AH644" s="451">
        <f t="shared" si="203"/>
        <v>0</v>
      </c>
      <c r="AI644" s="451">
        <f t="shared" si="204"/>
        <v>0</v>
      </c>
      <c r="AJ644" s="456"/>
      <c r="AK644" s="786"/>
      <c r="AL644" s="449">
        <f t="shared" si="205"/>
        <v>0</v>
      </c>
      <c r="AM644" s="452">
        <f t="shared" si="206"/>
        <v>0</v>
      </c>
      <c r="AN644" s="456"/>
      <c r="AO644" s="786"/>
      <c r="AP644" s="456"/>
      <c r="AQ644" s="786"/>
      <c r="AR644" s="456"/>
      <c r="AS644" s="786"/>
      <c r="AT644" s="456"/>
      <c r="AU644" s="786"/>
      <c r="AV644" s="449">
        <f t="shared" si="207"/>
        <v>0</v>
      </c>
      <c r="AW644" s="453">
        <f t="shared" si="208"/>
        <v>0</v>
      </c>
      <c r="AX644" s="451">
        <f t="shared" si="209"/>
        <v>0</v>
      </c>
      <c r="AY644" s="454">
        <f t="shared" si="210"/>
        <v>0</v>
      </c>
      <c r="AZ644" s="455">
        <f t="shared" si="211"/>
        <v>1778.5333333333333</v>
      </c>
      <c r="BA644" s="451">
        <f t="shared" si="212"/>
        <v>1770.7</v>
      </c>
    </row>
    <row r="645" spans="1:53">
      <c r="A645" s="779" t="s">
        <v>249</v>
      </c>
      <c r="B645" s="780" t="s">
        <v>909</v>
      </c>
      <c r="C645" s="781"/>
      <c r="D645" s="782">
        <v>232867</v>
      </c>
      <c r="E645" s="566">
        <v>9</v>
      </c>
      <c r="F645" s="491" t="s">
        <v>41</v>
      </c>
      <c r="G645" s="492" t="s">
        <v>41</v>
      </c>
      <c r="H645" s="456"/>
      <c r="I645" s="786"/>
      <c r="J645" s="456">
        <v>37043</v>
      </c>
      <c r="K645" s="786">
        <v>38000</v>
      </c>
      <c r="L645" s="456">
        <v>7946</v>
      </c>
      <c r="M645" s="786">
        <v>6990</v>
      </c>
      <c r="N645" s="456">
        <v>41645</v>
      </c>
      <c r="O645" s="786">
        <v>40612</v>
      </c>
      <c r="P645" s="449">
        <f t="shared" si="195"/>
        <v>86634</v>
      </c>
      <c r="Q645" s="450">
        <f t="shared" si="196"/>
        <v>2887.8</v>
      </c>
      <c r="R645" s="451">
        <f t="shared" si="197"/>
        <v>85602</v>
      </c>
      <c r="S645" s="452">
        <f t="shared" si="198"/>
        <v>2853.4</v>
      </c>
      <c r="T645" s="456">
        <v>30204</v>
      </c>
      <c r="U645" s="786">
        <v>32411</v>
      </c>
      <c r="V645" s="449">
        <f t="shared" si="199"/>
        <v>86634</v>
      </c>
      <c r="W645" s="448">
        <f t="shared" si="200"/>
        <v>85602</v>
      </c>
      <c r="X645" s="456"/>
      <c r="Y645" s="786"/>
      <c r="Z645" s="456"/>
      <c r="AA645" s="786"/>
      <c r="AB645" s="456"/>
      <c r="AC645" s="786"/>
      <c r="AD645" s="456"/>
      <c r="AE645" s="786"/>
      <c r="AF645" s="449">
        <f t="shared" si="201"/>
        <v>0</v>
      </c>
      <c r="AG645" s="450">
        <f t="shared" si="202"/>
        <v>0</v>
      </c>
      <c r="AH645" s="451">
        <f t="shared" si="203"/>
        <v>0</v>
      </c>
      <c r="AI645" s="451">
        <f t="shared" si="204"/>
        <v>0</v>
      </c>
      <c r="AJ645" s="456"/>
      <c r="AK645" s="786"/>
      <c r="AL645" s="449">
        <f t="shared" si="205"/>
        <v>0</v>
      </c>
      <c r="AM645" s="452">
        <f t="shared" si="206"/>
        <v>0</v>
      </c>
      <c r="AN645" s="456"/>
      <c r="AO645" s="786"/>
      <c r="AP645" s="456"/>
      <c r="AQ645" s="786"/>
      <c r="AR645" s="456"/>
      <c r="AS645" s="786"/>
      <c r="AT645" s="456"/>
      <c r="AU645" s="786"/>
      <c r="AV645" s="449">
        <f t="shared" si="207"/>
        <v>0</v>
      </c>
      <c r="AW645" s="453">
        <f t="shared" si="208"/>
        <v>0</v>
      </c>
      <c r="AX645" s="451">
        <f t="shared" si="209"/>
        <v>0</v>
      </c>
      <c r="AY645" s="454">
        <f t="shared" si="210"/>
        <v>0</v>
      </c>
      <c r="AZ645" s="455">
        <f t="shared" si="211"/>
        <v>2887.8</v>
      </c>
      <c r="BA645" s="451">
        <f t="shared" si="212"/>
        <v>2853.4</v>
      </c>
    </row>
    <row r="646" spans="1:53">
      <c r="A646" s="779" t="s">
        <v>249</v>
      </c>
      <c r="B646" s="788" t="s">
        <v>910</v>
      </c>
      <c r="C646" s="806" t="s">
        <v>929</v>
      </c>
      <c r="D646" s="782">
        <v>233019</v>
      </c>
      <c r="E646" s="566">
        <v>9</v>
      </c>
      <c r="F646" s="491" t="s">
        <v>41</v>
      </c>
      <c r="G646" s="492" t="s">
        <v>41</v>
      </c>
      <c r="H646" s="456"/>
      <c r="I646" s="786"/>
      <c r="J646" s="456">
        <v>28314</v>
      </c>
      <c r="K646" s="786">
        <v>26551</v>
      </c>
      <c r="L646" s="456">
        <v>5983</v>
      </c>
      <c r="M646" s="786">
        <v>5567</v>
      </c>
      <c r="N646" s="456">
        <v>29455</v>
      </c>
      <c r="O646" s="786">
        <v>26748</v>
      </c>
      <c r="P646" s="449">
        <f t="shared" si="195"/>
        <v>63752</v>
      </c>
      <c r="Q646" s="450">
        <f t="shared" si="196"/>
        <v>2125.0666666666666</v>
      </c>
      <c r="R646" s="451">
        <f t="shared" si="197"/>
        <v>58866</v>
      </c>
      <c r="S646" s="452">
        <f t="shared" si="198"/>
        <v>1962.2</v>
      </c>
      <c r="T646" s="456">
        <v>30295</v>
      </c>
      <c r="U646" s="786">
        <v>28079</v>
      </c>
      <c r="V646" s="449">
        <f t="shared" si="199"/>
        <v>63752</v>
      </c>
      <c r="W646" s="448">
        <f t="shared" si="200"/>
        <v>58866</v>
      </c>
      <c r="X646" s="456"/>
      <c r="Y646" s="786"/>
      <c r="Z646" s="456"/>
      <c r="AA646" s="786"/>
      <c r="AB646" s="456"/>
      <c r="AC646" s="786"/>
      <c r="AD646" s="456"/>
      <c r="AE646" s="786"/>
      <c r="AF646" s="449">
        <f t="shared" si="201"/>
        <v>0</v>
      </c>
      <c r="AG646" s="450">
        <f t="shared" si="202"/>
        <v>0</v>
      </c>
      <c r="AH646" s="451">
        <f t="shared" si="203"/>
        <v>0</v>
      </c>
      <c r="AI646" s="451">
        <f t="shared" si="204"/>
        <v>0</v>
      </c>
      <c r="AJ646" s="456"/>
      <c r="AK646" s="786"/>
      <c r="AL646" s="449">
        <f t="shared" si="205"/>
        <v>0</v>
      </c>
      <c r="AM646" s="452">
        <f t="shared" si="206"/>
        <v>0</v>
      </c>
      <c r="AN646" s="456"/>
      <c r="AO646" s="786"/>
      <c r="AP646" s="456"/>
      <c r="AQ646" s="786"/>
      <c r="AR646" s="456"/>
      <c r="AS646" s="786"/>
      <c r="AT646" s="456"/>
      <c r="AU646" s="786"/>
      <c r="AV646" s="449">
        <f t="shared" si="207"/>
        <v>0</v>
      </c>
      <c r="AW646" s="453">
        <f t="shared" si="208"/>
        <v>0</v>
      </c>
      <c r="AX646" s="451">
        <f t="shared" si="209"/>
        <v>0</v>
      </c>
      <c r="AY646" s="454">
        <f t="shared" si="210"/>
        <v>0</v>
      </c>
      <c r="AZ646" s="455">
        <f t="shared" si="211"/>
        <v>2125.0666666666666</v>
      </c>
      <c r="BA646" s="451">
        <f t="shared" si="212"/>
        <v>1962.2</v>
      </c>
    </row>
    <row r="647" spans="1:53">
      <c r="A647" s="779" t="s">
        <v>249</v>
      </c>
      <c r="B647" s="780" t="s">
        <v>911</v>
      </c>
      <c r="C647" s="781"/>
      <c r="D647" s="782">
        <v>233116</v>
      </c>
      <c r="E647" s="566">
        <v>9</v>
      </c>
      <c r="F647" s="491" t="s">
        <v>41</v>
      </c>
      <c r="G647" s="492" t="s">
        <v>41</v>
      </c>
      <c r="H647" s="456"/>
      <c r="I647" s="786"/>
      <c r="J647" s="456">
        <v>38681</v>
      </c>
      <c r="K647" s="786">
        <v>37878</v>
      </c>
      <c r="L647" s="456">
        <v>10404</v>
      </c>
      <c r="M647" s="786">
        <v>10353</v>
      </c>
      <c r="N647" s="456">
        <v>41850</v>
      </c>
      <c r="O647" s="786">
        <v>41071</v>
      </c>
      <c r="P647" s="449">
        <f t="shared" si="195"/>
        <v>90935</v>
      </c>
      <c r="Q647" s="450">
        <f t="shared" si="196"/>
        <v>3031.1666666666665</v>
      </c>
      <c r="R647" s="451">
        <f t="shared" si="197"/>
        <v>89302</v>
      </c>
      <c r="S647" s="452">
        <f t="shared" si="198"/>
        <v>2976.7333333333331</v>
      </c>
      <c r="T647" s="456">
        <v>28698</v>
      </c>
      <c r="U647" s="786">
        <v>31786</v>
      </c>
      <c r="V647" s="449">
        <f t="shared" si="199"/>
        <v>90935</v>
      </c>
      <c r="W647" s="448">
        <f t="shared" si="200"/>
        <v>89302</v>
      </c>
      <c r="X647" s="456"/>
      <c r="Y647" s="786"/>
      <c r="Z647" s="456"/>
      <c r="AA647" s="786"/>
      <c r="AB647" s="456"/>
      <c r="AC647" s="786"/>
      <c r="AD647" s="456"/>
      <c r="AE647" s="786"/>
      <c r="AF647" s="449">
        <f t="shared" si="201"/>
        <v>0</v>
      </c>
      <c r="AG647" s="450">
        <f t="shared" si="202"/>
        <v>0</v>
      </c>
      <c r="AH647" s="451">
        <f t="shared" si="203"/>
        <v>0</v>
      </c>
      <c r="AI647" s="451">
        <f t="shared" si="204"/>
        <v>0</v>
      </c>
      <c r="AJ647" s="456"/>
      <c r="AK647" s="786"/>
      <c r="AL647" s="449">
        <f t="shared" si="205"/>
        <v>0</v>
      </c>
      <c r="AM647" s="452">
        <f t="shared" si="206"/>
        <v>0</v>
      </c>
      <c r="AN647" s="456"/>
      <c r="AO647" s="786"/>
      <c r="AP647" s="456"/>
      <c r="AQ647" s="786"/>
      <c r="AR647" s="456"/>
      <c r="AS647" s="786"/>
      <c r="AT647" s="456"/>
      <c r="AU647" s="786"/>
      <c r="AV647" s="449">
        <f t="shared" si="207"/>
        <v>0</v>
      </c>
      <c r="AW647" s="453">
        <f t="shared" si="208"/>
        <v>0</v>
      </c>
      <c r="AX647" s="451">
        <f t="shared" si="209"/>
        <v>0</v>
      </c>
      <c r="AY647" s="454">
        <f t="shared" si="210"/>
        <v>0</v>
      </c>
      <c r="AZ647" s="455">
        <f t="shared" si="211"/>
        <v>3031.1666666666665</v>
      </c>
      <c r="BA647" s="451">
        <f t="shared" si="212"/>
        <v>2976.7333333333331</v>
      </c>
    </row>
    <row r="648" spans="1:53">
      <c r="A648" s="779" t="s">
        <v>249</v>
      </c>
      <c r="B648" s="780" t="s">
        <v>912</v>
      </c>
      <c r="C648" s="781"/>
      <c r="D648" s="782">
        <v>233639</v>
      </c>
      <c r="E648" s="566">
        <v>9</v>
      </c>
      <c r="F648" s="491" t="s">
        <v>41</v>
      </c>
      <c r="G648" s="492" t="s">
        <v>41</v>
      </c>
      <c r="H648" s="456"/>
      <c r="I648" s="786"/>
      <c r="J648" s="456">
        <v>43529</v>
      </c>
      <c r="K648" s="786">
        <v>40879</v>
      </c>
      <c r="L648" s="456">
        <v>11900</v>
      </c>
      <c r="M648" s="786">
        <v>9566</v>
      </c>
      <c r="N648" s="456">
        <v>47465</v>
      </c>
      <c r="O648" s="786">
        <v>39757</v>
      </c>
      <c r="P648" s="449">
        <f t="shared" ref="P648:P682" si="213">SUM(H648,J648,L648,N648)</f>
        <v>102894</v>
      </c>
      <c r="Q648" s="450">
        <f t="shared" ref="Q648:Q682" si="214">+P648/30</f>
        <v>3429.8</v>
      </c>
      <c r="R648" s="451">
        <f t="shared" ref="R648:R682" si="215">SUM(I648,K648,M648,O648)</f>
        <v>90202</v>
      </c>
      <c r="S648" s="452">
        <f t="shared" ref="S648:S682" si="216">+R648/30</f>
        <v>3006.7333333333331</v>
      </c>
      <c r="T648" s="456">
        <v>70023</v>
      </c>
      <c r="U648" s="786">
        <v>67449</v>
      </c>
      <c r="V648" s="449">
        <f t="shared" ref="V648:V682" si="217">IF(ISBLANK(T648),0,P648)</f>
        <v>102894</v>
      </c>
      <c r="W648" s="448">
        <f t="shared" ref="W648:W682" si="218">IF(ISBLANK(U648),0,R648)</f>
        <v>90202</v>
      </c>
      <c r="X648" s="456"/>
      <c r="Y648" s="786"/>
      <c r="Z648" s="456"/>
      <c r="AA648" s="786"/>
      <c r="AB648" s="456"/>
      <c r="AC648" s="786"/>
      <c r="AD648" s="456"/>
      <c r="AE648" s="786"/>
      <c r="AF648" s="449">
        <f t="shared" ref="AF648:AF682" si="219">SUM(X648,Z648,AB648,AD648)</f>
        <v>0</v>
      </c>
      <c r="AG648" s="450">
        <f t="shared" ref="AG648:AG682" si="220">+AF648/900</f>
        <v>0</v>
      </c>
      <c r="AH648" s="451">
        <f t="shared" ref="AH648:AH682" si="221">SUM(Y648,AA648,AC648,AE648)</f>
        <v>0</v>
      </c>
      <c r="AI648" s="451">
        <f t="shared" ref="AI648:AI682" si="222">+AH648/900</f>
        <v>0</v>
      </c>
      <c r="AJ648" s="456"/>
      <c r="AK648" s="786"/>
      <c r="AL648" s="449">
        <f t="shared" ref="AL648:AL682" si="223">IF(ISBLANK(AJ648),0,AF648)</f>
        <v>0</v>
      </c>
      <c r="AM648" s="452">
        <f t="shared" ref="AM648:AM682" si="224">IF(ISBLANK(AK648),0,AH648)</f>
        <v>0</v>
      </c>
      <c r="AN648" s="456"/>
      <c r="AO648" s="786"/>
      <c r="AP648" s="456"/>
      <c r="AQ648" s="786"/>
      <c r="AR648" s="456"/>
      <c r="AS648" s="786"/>
      <c r="AT648" s="456"/>
      <c r="AU648" s="786"/>
      <c r="AV648" s="449">
        <f t="shared" ref="AV648:AV682" si="225">SUM(AN648,AP648,AR648,AT648)</f>
        <v>0</v>
      </c>
      <c r="AW648" s="453">
        <f t="shared" ref="AW648:AW682" si="226">+AV648/24</f>
        <v>0</v>
      </c>
      <c r="AX648" s="451">
        <f t="shared" ref="AX648:AX682" si="227">SUM(AO648,AQ648,AS648,AU648)</f>
        <v>0</v>
      </c>
      <c r="AY648" s="454">
        <f t="shared" ref="AY648:AY682" si="228">+AX648/24</f>
        <v>0</v>
      </c>
      <c r="AZ648" s="455">
        <f t="shared" ref="AZ648:AZ682" si="229">SUM(Q648,AG648,AW648)</f>
        <v>3429.8</v>
      </c>
      <c r="BA648" s="451">
        <f t="shared" ref="BA648:BA682" si="230">SUM(S648,AI648,AY648)</f>
        <v>3006.7333333333331</v>
      </c>
    </row>
    <row r="649" spans="1:53">
      <c r="A649" s="779" t="s">
        <v>249</v>
      </c>
      <c r="B649" s="717" t="s">
        <v>913</v>
      </c>
      <c r="C649" s="715"/>
      <c r="D649" s="782">
        <v>233949</v>
      </c>
      <c r="E649" s="566">
        <v>9</v>
      </c>
      <c r="F649" s="491" t="s">
        <v>41</v>
      </c>
      <c r="G649" s="492" t="s">
        <v>41</v>
      </c>
      <c r="H649" s="456"/>
      <c r="I649" s="786"/>
      <c r="J649" s="456">
        <v>66512</v>
      </c>
      <c r="K649" s="786">
        <v>65732</v>
      </c>
      <c r="L649" s="456">
        <v>16111</v>
      </c>
      <c r="M649" s="786">
        <v>15306</v>
      </c>
      <c r="N649" s="456">
        <v>67796</v>
      </c>
      <c r="O649" s="786">
        <v>62563</v>
      </c>
      <c r="P649" s="449">
        <f t="shared" si="213"/>
        <v>150419</v>
      </c>
      <c r="Q649" s="450">
        <f t="shared" si="214"/>
        <v>5013.9666666666662</v>
      </c>
      <c r="R649" s="451">
        <f t="shared" si="215"/>
        <v>143601</v>
      </c>
      <c r="S649" s="452">
        <f t="shared" si="216"/>
        <v>4786.7</v>
      </c>
      <c r="T649" s="456">
        <v>55258</v>
      </c>
      <c r="U649" s="786">
        <v>57799</v>
      </c>
      <c r="V649" s="449">
        <f t="shared" si="217"/>
        <v>150419</v>
      </c>
      <c r="W649" s="448">
        <f t="shared" si="218"/>
        <v>143601</v>
      </c>
      <c r="X649" s="456"/>
      <c r="Y649" s="786"/>
      <c r="Z649" s="456"/>
      <c r="AA649" s="786"/>
      <c r="AB649" s="456"/>
      <c r="AC649" s="786"/>
      <c r="AD649" s="456"/>
      <c r="AE649" s="786"/>
      <c r="AF649" s="449">
        <f t="shared" si="219"/>
        <v>0</v>
      </c>
      <c r="AG649" s="450">
        <f t="shared" si="220"/>
        <v>0</v>
      </c>
      <c r="AH649" s="451">
        <f t="shared" si="221"/>
        <v>0</v>
      </c>
      <c r="AI649" s="451">
        <f t="shared" si="222"/>
        <v>0</v>
      </c>
      <c r="AJ649" s="456"/>
      <c r="AK649" s="786"/>
      <c r="AL649" s="449">
        <f t="shared" si="223"/>
        <v>0</v>
      </c>
      <c r="AM649" s="452">
        <f t="shared" si="224"/>
        <v>0</v>
      </c>
      <c r="AN649" s="456"/>
      <c r="AO649" s="786"/>
      <c r="AP649" s="456"/>
      <c r="AQ649" s="786"/>
      <c r="AR649" s="456"/>
      <c r="AS649" s="786"/>
      <c r="AT649" s="456"/>
      <c r="AU649" s="786"/>
      <c r="AV649" s="449">
        <f t="shared" si="225"/>
        <v>0</v>
      </c>
      <c r="AW649" s="453">
        <f t="shared" si="226"/>
        <v>0</v>
      </c>
      <c r="AX649" s="451">
        <f t="shared" si="227"/>
        <v>0</v>
      </c>
      <c r="AY649" s="454">
        <f t="shared" si="228"/>
        <v>0</v>
      </c>
      <c r="AZ649" s="455">
        <f t="shared" si="229"/>
        <v>5013.9666666666662</v>
      </c>
      <c r="BA649" s="451">
        <f t="shared" si="230"/>
        <v>4786.7</v>
      </c>
    </row>
    <row r="650" spans="1:53">
      <c r="A650" s="779" t="s">
        <v>249</v>
      </c>
      <c r="B650" s="717" t="s">
        <v>914</v>
      </c>
      <c r="C650" s="806" t="s">
        <v>929</v>
      </c>
      <c r="D650" s="782">
        <v>234377</v>
      </c>
      <c r="E650" s="566">
        <v>9</v>
      </c>
      <c r="F650" s="491" t="s">
        <v>41</v>
      </c>
      <c r="G650" s="492" t="s">
        <v>41</v>
      </c>
      <c r="H650" s="456"/>
      <c r="I650" s="786"/>
      <c r="J650" s="456">
        <v>25596</v>
      </c>
      <c r="K650" s="786">
        <v>24696</v>
      </c>
      <c r="L650" s="456">
        <v>6751</v>
      </c>
      <c r="M650" s="786">
        <v>6381</v>
      </c>
      <c r="N650" s="456">
        <v>27819</v>
      </c>
      <c r="O650" s="786">
        <v>24555</v>
      </c>
      <c r="P650" s="449">
        <f t="shared" si="213"/>
        <v>60166</v>
      </c>
      <c r="Q650" s="450">
        <f t="shared" si="214"/>
        <v>2005.5333333333333</v>
      </c>
      <c r="R650" s="451">
        <f t="shared" si="215"/>
        <v>55632</v>
      </c>
      <c r="S650" s="452">
        <f t="shared" si="216"/>
        <v>1854.4</v>
      </c>
      <c r="T650" s="456">
        <v>27198</v>
      </c>
      <c r="U650" s="786">
        <v>27441</v>
      </c>
      <c r="V650" s="449">
        <f t="shared" si="217"/>
        <v>60166</v>
      </c>
      <c r="W650" s="448">
        <f t="shared" si="218"/>
        <v>55632</v>
      </c>
      <c r="X650" s="456"/>
      <c r="Y650" s="786"/>
      <c r="Z650" s="456"/>
      <c r="AA650" s="786"/>
      <c r="AB650" s="456"/>
      <c r="AC650" s="786"/>
      <c r="AD650" s="456"/>
      <c r="AE650" s="786"/>
      <c r="AF650" s="449">
        <f t="shared" si="219"/>
        <v>0</v>
      </c>
      <c r="AG650" s="450">
        <f t="shared" si="220"/>
        <v>0</v>
      </c>
      <c r="AH650" s="451">
        <f t="shared" si="221"/>
        <v>0</v>
      </c>
      <c r="AI650" s="451">
        <f t="shared" si="222"/>
        <v>0</v>
      </c>
      <c r="AJ650" s="456"/>
      <c r="AK650" s="786"/>
      <c r="AL650" s="449">
        <f t="shared" si="223"/>
        <v>0</v>
      </c>
      <c r="AM650" s="452">
        <f t="shared" si="224"/>
        <v>0</v>
      </c>
      <c r="AN650" s="456"/>
      <c r="AO650" s="786"/>
      <c r="AP650" s="456"/>
      <c r="AQ650" s="786"/>
      <c r="AR650" s="456"/>
      <c r="AS650" s="786"/>
      <c r="AT650" s="456"/>
      <c r="AU650" s="786"/>
      <c r="AV650" s="449">
        <f t="shared" si="225"/>
        <v>0</v>
      </c>
      <c r="AW650" s="453">
        <f t="shared" si="226"/>
        <v>0</v>
      </c>
      <c r="AX650" s="451">
        <f t="shared" si="227"/>
        <v>0</v>
      </c>
      <c r="AY650" s="454">
        <f t="shared" si="228"/>
        <v>0</v>
      </c>
      <c r="AZ650" s="455">
        <f t="shared" si="229"/>
        <v>2005.5333333333333</v>
      </c>
      <c r="BA650" s="451">
        <f t="shared" si="230"/>
        <v>1854.4</v>
      </c>
    </row>
    <row r="651" spans="1:53">
      <c r="A651" s="779" t="s">
        <v>249</v>
      </c>
      <c r="B651" s="717" t="s">
        <v>915</v>
      </c>
      <c r="C651" s="715"/>
      <c r="D651" s="782">
        <v>231873</v>
      </c>
      <c r="E651" s="566">
        <v>10</v>
      </c>
      <c r="F651" s="491" t="s">
        <v>41</v>
      </c>
      <c r="G651" s="492" t="s">
        <v>41</v>
      </c>
      <c r="H651" s="456"/>
      <c r="I651" s="786"/>
      <c r="J651" s="456">
        <v>9576</v>
      </c>
      <c r="K651" s="786">
        <v>9947</v>
      </c>
      <c r="L651" s="456">
        <v>1532</v>
      </c>
      <c r="M651" s="786">
        <v>1449</v>
      </c>
      <c r="N651" s="456">
        <v>10282</v>
      </c>
      <c r="O651" s="786">
        <v>10286</v>
      </c>
      <c r="P651" s="449">
        <f t="shared" si="213"/>
        <v>21390</v>
      </c>
      <c r="Q651" s="450">
        <f t="shared" si="214"/>
        <v>713</v>
      </c>
      <c r="R651" s="451">
        <f t="shared" si="215"/>
        <v>21682</v>
      </c>
      <c r="S651" s="452">
        <f t="shared" si="216"/>
        <v>722.73333333333335</v>
      </c>
      <c r="T651" s="456">
        <v>8321</v>
      </c>
      <c r="U651" s="786">
        <v>9335</v>
      </c>
      <c r="V651" s="449">
        <f t="shared" si="217"/>
        <v>21390</v>
      </c>
      <c r="W651" s="448">
        <f t="shared" si="218"/>
        <v>21682</v>
      </c>
      <c r="X651" s="456"/>
      <c r="Y651" s="786"/>
      <c r="Z651" s="456"/>
      <c r="AA651" s="786"/>
      <c r="AB651" s="456"/>
      <c r="AC651" s="786"/>
      <c r="AD651" s="456"/>
      <c r="AE651" s="786"/>
      <c r="AF651" s="449">
        <f t="shared" si="219"/>
        <v>0</v>
      </c>
      <c r="AG651" s="450">
        <f t="shared" si="220"/>
        <v>0</v>
      </c>
      <c r="AH651" s="451">
        <f t="shared" si="221"/>
        <v>0</v>
      </c>
      <c r="AI651" s="451">
        <f t="shared" si="222"/>
        <v>0</v>
      </c>
      <c r="AJ651" s="456"/>
      <c r="AK651" s="786"/>
      <c r="AL651" s="449">
        <f t="shared" si="223"/>
        <v>0</v>
      </c>
      <c r="AM651" s="452">
        <f t="shared" si="224"/>
        <v>0</v>
      </c>
      <c r="AN651" s="456"/>
      <c r="AO651" s="786"/>
      <c r="AP651" s="456"/>
      <c r="AQ651" s="786"/>
      <c r="AR651" s="456"/>
      <c r="AS651" s="786"/>
      <c r="AT651" s="456"/>
      <c r="AU651" s="786"/>
      <c r="AV651" s="449">
        <f t="shared" si="225"/>
        <v>0</v>
      </c>
      <c r="AW651" s="453">
        <f t="shared" si="226"/>
        <v>0</v>
      </c>
      <c r="AX651" s="451">
        <f t="shared" si="227"/>
        <v>0</v>
      </c>
      <c r="AY651" s="454">
        <f t="shared" si="228"/>
        <v>0</v>
      </c>
      <c r="AZ651" s="455">
        <f t="shared" si="229"/>
        <v>713</v>
      </c>
      <c r="BA651" s="451">
        <f t="shared" si="230"/>
        <v>722.73333333333335</v>
      </c>
    </row>
    <row r="652" spans="1:53">
      <c r="A652" s="779" t="s">
        <v>249</v>
      </c>
      <c r="B652" s="717" t="s">
        <v>916</v>
      </c>
      <c r="C652" s="715"/>
      <c r="D652" s="782">
        <v>232052</v>
      </c>
      <c r="E652" s="566">
        <v>10</v>
      </c>
      <c r="F652" s="491" t="s">
        <v>41</v>
      </c>
      <c r="G652" s="492" t="s">
        <v>41</v>
      </c>
      <c r="H652" s="456"/>
      <c r="I652" s="786"/>
      <c r="J652" s="456">
        <v>6992</v>
      </c>
      <c r="K652" s="786">
        <v>6843</v>
      </c>
      <c r="L652" s="456">
        <v>1057</v>
      </c>
      <c r="M652" s="786">
        <v>893</v>
      </c>
      <c r="N652" s="456">
        <v>6933</v>
      </c>
      <c r="O652" s="786">
        <v>6041</v>
      </c>
      <c r="P652" s="449">
        <f t="shared" si="213"/>
        <v>14982</v>
      </c>
      <c r="Q652" s="450">
        <f t="shared" si="214"/>
        <v>499.4</v>
      </c>
      <c r="R652" s="451">
        <f t="shared" si="215"/>
        <v>13777</v>
      </c>
      <c r="S652" s="452">
        <f t="shared" si="216"/>
        <v>459.23333333333335</v>
      </c>
      <c r="T652" s="456">
        <v>5469</v>
      </c>
      <c r="U652" s="786">
        <v>5505</v>
      </c>
      <c r="V652" s="449">
        <f t="shared" si="217"/>
        <v>14982</v>
      </c>
      <c r="W652" s="448">
        <f t="shared" si="218"/>
        <v>13777</v>
      </c>
      <c r="X652" s="456"/>
      <c r="Y652" s="786"/>
      <c r="Z652" s="456"/>
      <c r="AA652" s="786"/>
      <c r="AB652" s="456"/>
      <c r="AC652" s="786"/>
      <c r="AD652" s="456"/>
      <c r="AE652" s="786"/>
      <c r="AF652" s="449">
        <f t="shared" si="219"/>
        <v>0</v>
      </c>
      <c r="AG652" s="450">
        <f t="shared" si="220"/>
        <v>0</v>
      </c>
      <c r="AH652" s="451">
        <f t="shared" si="221"/>
        <v>0</v>
      </c>
      <c r="AI652" s="451">
        <f t="shared" si="222"/>
        <v>0</v>
      </c>
      <c r="AJ652" s="456"/>
      <c r="AK652" s="786"/>
      <c r="AL652" s="449">
        <f t="shared" si="223"/>
        <v>0</v>
      </c>
      <c r="AM652" s="452">
        <f t="shared" si="224"/>
        <v>0</v>
      </c>
      <c r="AN652" s="456"/>
      <c r="AO652" s="786"/>
      <c r="AP652" s="456"/>
      <c r="AQ652" s="786"/>
      <c r="AR652" s="456"/>
      <c r="AS652" s="786"/>
      <c r="AT652" s="456"/>
      <c r="AU652" s="786"/>
      <c r="AV652" s="449">
        <f t="shared" si="225"/>
        <v>0</v>
      </c>
      <c r="AW652" s="453">
        <f t="shared" si="226"/>
        <v>0</v>
      </c>
      <c r="AX652" s="451">
        <f t="shared" si="227"/>
        <v>0</v>
      </c>
      <c r="AY652" s="454">
        <f t="shared" si="228"/>
        <v>0</v>
      </c>
      <c r="AZ652" s="455">
        <f t="shared" si="229"/>
        <v>499.4</v>
      </c>
      <c r="BA652" s="451">
        <f t="shared" si="230"/>
        <v>459.23333333333335</v>
      </c>
    </row>
    <row r="653" spans="1:53">
      <c r="A653" s="779" t="s">
        <v>249</v>
      </c>
      <c r="B653" s="717" t="s">
        <v>917</v>
      </c>
      <c r="C653" s="715"/>
      <c r="D653" s="782">
        <v>233037</v>
      </c>
      <c r="E653" s="566">
        <v>10</v>
      </c>
      <c r="F653" s="491" t="s">
        <v>41</v>
      </c>
      <c r="G653" s="492" t="s">
        <v>41</v>
      </c>
      <c r="H653" s="456"/>
      <c r="I653" s="786"/>
      <c r="J653" s="456">
        <v>10428</v>
      </c>
      <c r="K653" s="786">
        <v>9679</v>
      </c>
      <c r="L653" s="456">
        <v>3952</v>
      </c>
      <c r="M653" s="786">
        <v>3586</v>
      </c>
      <c r="N653" s="456">
        <v>10135</v>
      </c>
      <c r="O653" s="786">
        <v>11021</v>
      </c>
      <c r="P653" s="449">
        <f t="shared" si="213"/>
        <v>24515</v>
      </c>
      <c r="Q653" s="450">
        <f t="shared" si="214"/>
        <v>817.16666666666663</v>
      </c>
      <c r="R653" s="451">
        <f t="shared" si="215"/>
        <v>24286</v>
      </c>
      <c r="S653" s="452">
        <f t="shared" si="216"/>
        <v>809.5333333333333</v>
      </c>
      <c r="T653" s="456">
        <v>9401</v>
      </c>
      <c r="U653" s="786">
        <v>11633</v>
      </c>
      <c r="V653" s="449">
        <f t="shared" si="217"/>
        <v>24515</v>
      </c>
      <c r="W653" s="448">
        <f t="shared" si="218"/>
        <v>24286</v>
      </c>
      <c r="X653" s="456"/>
      <c r="Y653" s="786"/>
      <c r="Z653" s="456"/>
      <c r="AA653" s="786"/>
      <c r="AB653" s="456"/>
      <c r="AC653" s="786"/>
      <c r="AD653" s="456"/>
      <c r="AE653" s="786"/>
      <c r="AF653" s="449">
        <f t="shared" si="219"/>
        <v>0</v>
      </c>
      <c r="AG653" s="450">
        <f t="shared" si="220"/>
        <v>0</v>
      </c>
      <c r="AH653" s="451">
        <f t="shared" si="221"/>
        <v>0</v>
      </c>
      <c r="AI653" s="451">
        <f t="shared" si="222"/>
        <v>0</v>
      </c>
      <c r="AJ653" s="456"/>
      <c r="AK653" s="786"/>
      <c r="AL653" s="449">
        <f t="shared" si="223"/>
        <v>0</v>
      </c>
      <c r="AM653" s="452">
        <f t="shared" si="224"/>
        <v>0</v>
      </c>
      <c r="AN653" s="456"/>
      <c r="AO653" s="786"/>
      <c r="AP653" s="456"/>
      <c r="AQ653" s="786"/>
      <c r="AR653" s="456"/>
      <c r="AS653" s="786"/>
      <c r="AT653" s="456"/>
      <c r="AU653" s="786"/>
      <c r="AV653" s="449">
        <f t="shared" si="225"/>
        <v>0</v>
      </c>
      <c r="AW653" s="453">
        <f t="shared" si="226"/>
        <v>0</v>
      </c>
      <c r="AX653" s="451">
        <f t="shared" si="227"/>
        <v>0</v>
      </c>
      <c r="AY653" s="454">
        <f t="shared" si="228"/>
        <v>0</v>
      </c>
      <c r="AZ653" s="455">
        <f t="shared" si="229"/>
        <v>817.16666666666663</v>
      </c>
      <c r="BA653" s="451">
        <f t="shared" si="230"/>
        <v>809.5333333333333</v>
      </c>
    </row>
    <row r="654" spans="1:53">
      <c r="A654" s="779" t="s">
        <v>249</v>
      </c>
      <c r="B654" s="717" t="s">
        <v>918</v>
      </c>
      <c r="C654" s="715"/>
      <c r="D654" s="782">
        <v>233310</v>
      </c>
      <c r="E654" s="566">
        <v>10</v>
      </c>
      <c r="F654" s="491" t="s">
        <v>41</v>
      </c>
      <c r="G654" s="492" t="s">
        <v>41</v>
      </c>
      <c r="H654" s="456"/>
      <c r="I654" s="786"/>
      <c r="J654" s="456">
        <v>23464</v>
      </c>
      <c r="K654" s="786">
        <v>23232</v>
      </c>
      <c r="L654" s="456">
        <v>6011</v>
      </c>
      <c r="M654" s="786">
        <v>4973</v>
      </c>
      <c r="N654" s="456">
        <v>27243</v>
      </c>
      <c r="O654" s="786">
        <v>27753</v>
      </c>
      <c r="P654" s="449">
        <f t="shared" si="213"/>
        <v>56718</v>
      </c>
      <c r="Q654" s="450">
        <f t="shared" si="214"/>
        <v>1890.6</v>
      </c>
      <c r="R654" s="451">
        <f t="shared" si="215"/>
        <v>55958</v>
      </c>
      <c r="S654" s="452">
        <f t="shared" si="216"/>
        <v>1865.2666666666667</v>
      </c>
      <c r="T654" s="456">
        <v>43989</v>
      </c>
      <c r="U654" s="786">
        <v>46129</v>
      </c>
      <c r="V654" s="449">
        <f t="shared" si="217"/>
        <v>56718</v>
      </c>
      <c r="W654" s="448">
        <f t="shared" si="218"/>
        <v>55958</v>
      </c>
      <c r="X654" s="456"/>
      <c r="Y654" s="786"/>
      <c r="Z654" s="456"/>
      <c r="AA654" s="786"/>
      <c r="AB654" s="456"/>
      <c r="AC654" s="786"/>
      <c r="AD654" s="456"/>
      <c r="AE654" s="786"/>
      <c r="AF654" s="449">
        <f t="shared" si="219"/>
        <v>0</v>
      </c>
      <c r="AG654" s="450">
        <f t="shared" si="220"/>
        <v>0</v>
      </c>
      <c r="AH654" s="451">
        <f t="shared" si="221"/>
        <v>0</v>
      </c>
      <c r="AI654" s="451">
        <f t="shared" si="222"/>
        <v>0</v>
      </c>
      <c r="AJ654" s="456"/>
      <c r="AK654" s="786"/>
      <c r="AL654" s="449">
        <f t="shared" si="223"/>
        <v>0</v>
      </c>
      <c r="AM654" s="452">
        <f t="shared" si="224"/>
        <v>0</v>
      </c>
      <c r="AN654" s="456"/>
      <c r="AO654" s="786"/>
      <c r="AP654" s="456"/>
      <c r="AQ654" s="786"/>
      <c r="AR654" s="456"/>
      <c r="AS654" s="786"/>
      <c r="AT654" s="456"/>
      <c r="AU654" s="786"/>
      <c r="AV654" s="449">
        <f t="shared" si="225"/>
        <v>0</v>
      </c>
      <c r="AW654" s="453">
        <f t="shared" si="226"/>
        <v>0</v>
      </c>
      <c r="AX654" s="451">
        <f t="shared" si="227"/>
        <v>0</v>
      </c>
      <c r="AY654" s="454">
        <f t="shared" si="228"/>
        <v>0</v>
      </c>
      <c r="AZ654" s="455">
        <f t="shared" si="229"/>
        <v>1890.6</v>
      </c>
      <c r="BA654" s="451">
        <f t="shared" si="230"/>
        <v>1865.2666666666667</v>
      </c>
    </row>
    <row r="655" spans="1:53">
      <c r="A655" s="779" t="s">
        <v>249</v>
      </c>
      <c r="B655" s="789" t="s">
        <v>919</v>
      </c>
      <c r="C655" s="715"/>
      <c r="D655" s="782">
        <v>233338</v>
      </c>
      <c r="E655" s="566">
        <v>10</v>
      </c>
      <c r="F655" s="491" t="s">
        <v>41</v>
      </c>
      <c r="G655" s="492" t="s">
        <v>41</v>
      </c>
      <c r="H655" s="456"/>
      <c r="I655" s="786"/>
      <c r="J655" s="456">
        <v>13687</v>
      </c>
      <c r="K655" s="786">
        <v>13926</v>
      </c>
      <c r="L655" s="456">
        <v>2057</v>
      </c>
      <c r="M655" s="786">
        <v>1145</v>
      </c>
      <c r="N655" s="456">
        <v>16232</v>
      </c>
      <c r="O655" s="786">
        <v>19238</v>
      </c>
      <c r="P655" s="449">
        <f t="shared" si="213"/>
        <v>31976</v>
      </c>
      <c r="Q655" s="450">
        <f t="shared" si="214"/>
        <v>1065.8666666666666</v>
      </c>
      <c r="R655" s="451">
        <f t="shared" si="215"/>
        <v>34309</v>
      </c>
      <c r="S655" s="452">
        <f t="shared" si="216"/>
        <v>1143.6333333333334</v>
      </c>
      <c r="T655" s="456">
        <v>6453</v>
      </c>
      <c r="U655" s="786">
        <v>13359</v>
      </c>
      <c r="V655" s="449">
        <f t="shared" si="217"/>
        <v>31976</v>
      </c>
      <c r="W655" s="448">
        <f t="shared" si="218"/>
        <v>34309</v>
      </c>
      <c r="X655" s="456"/>
      <c r="Y655" s="786"/>
      <c r="Z655" s="456"/>
      <c r="AA655" s="786"/>
      <c r="AB655" s="456"/>
      <c r="AC655" s="786"/>
      <c r="AD655" s="456"/>
      <c r="AE655" s="786"/>
      <c r="AF655" s="449">
        <f t="shared" si="219"/>
        <v>0</v>
      </c>
      <c r="AG655" s="450">
        <f t="shared" si="220"/>
        <v>0</v>
      </c>
      <c r="AH655" s="451">
        <f t="shared" si="221"/>
        <v>0</v>
      </c>
      <c r="AI655" s="451">
        <f t="shared" si="222"/>
        <v>0</v>
      </c>
      <c r="AJ655" s="456"/>
      <c r="AK655" s="786"/>
      <c r="AL655" s="449">
        <f t="shared" si="223"/>
        <v>0</v>
      </c>
      <c r="AM655" s="452">
        <f t="shared" si="224"/>
        <v>0</v>
      </c>
      <c r="AN655" s="456"/>
      <c r="AO655" s="786"/>
      <c r="AP655" s="456"/>
      <c r="AQ655" s="786"/>
      <c r="AR655" s="456"/>
      <c r="AS655" s="786"/>
      <c r="AT655" s="456"/>
      <c r="AU655" s="786"/>
      <c r="AV655" s="449">
        <f t="shared" si="225"/>
        <v>0</v>
      </c>
      <c r="AW655" s="453">
        <f t="shared" si="226"/>
        <v>0</v>
      </c>
      <c r="AX655" s="451">
        <f t="shared" si="227"/>
        <v>0</v>
      </c>
      <c r="AY655" s="454">
        <f t="shared" si="228"/>
        <v>0</v>
      </c>
      <c r="AZ655" s="455">
        <f t="shared" si="229"/>
        <v>1065.8666666666666</v>
      </c>
      <c r="BA655" s="451">
        <f t="shared" si="230"/>
        <v>1143.6333333333334</v>
      </c>
    </row>
    <row r="656" spans="1:53">
      <c r="A656" s="779" t="s">
        <v>249</v>
      </c>
      <c r="B656" s="780" t="s">
        <v>920</v>
      </c>
      <c r="C656" s="787"/>
      <c r="D656" s="782">
        <v>233648</v>
      </c>
      <c r="E656" s="567">
        <v>10</v>
      </c>
      <c r="F656" s="491" t="s">
        <v>41</v>
      </c>
      <c r="G656" s="492" t="s">
        <v>41</v>
      </c>
      <c r="H656" s="456"/>
      <c r="I656" s="786"/>
      <c r="J656" s="456">
        <v>21060</v>
      </c>
      <c r="K656" s="786">
        <v>22410</v>
      </c>
      <c r="L656" s="456">
        <v>7342</v>
      </c>
      <c r="M656" s="786">
        <v>7164</v>
      </c>
      <c r="N656" s="456">
        <v>24023</v>
      </c>
      <c r="O656" s="786">
        <v>24576</v>
      </c>
      <c r="P656" s="449">
        <f t="shared" si="213"/>
        <v>52425</v>
      </c>
      <c r="Q656" s="450">
        <f t="shared" si="214"/>
        <v>1747.5</v>
      </c>
      <c r="R656" s="451">
        <f t="shared" si="215"/>
        <v>54150</v>
      </c>
      <c r="S656" s="452">
        <f t="shared" si="216"/>
        <v>1805</v>
      </c>
      <c r="T656" s="456">
        <v>15595</v>
      </c>
      <c r="U656" s="786">
        <v>14855</v>
      </c>
      <c r="V656" s="449">
        <f t="shared" si="217"/>
        <v>52425</v>
      </c>
      <c r="W656" s="448">
        <f t="shared" si="218"/>
        <v>54150</v>
      </c>
      <c r="X656" s="456"/>
      <c r="Y656" s="786"/>
      <c r="Z656" s="456"/>
      <c r="AA656" s="786"/>
      <c r="AB656" s="456"/>
      <c r="AC656" s="786"/>
      <c r="AD656" s="456"/>
      <c r="AE656" s="786"/>
      <c r="AF656" s="449">
        <f t="shared" si="219"/>
        <v>0</v>
      </c>
      <c r="AG656" s="450">
        <f t="shared" si="220"/>
        <v>0</v>
      </c>
      <c r="AH656" s="451">
        <f t="shared" si="221"/>
        <v>0</v>
      </c>
      <c r="AI656" s="451">
        <f t="shared" si="222"/>
        <v>0</v>
      </c>
      <c r="AJ656" s="456"/>
      <c r="AK656" s="786"/>
      <c r="AL656" s="449">
        <f t="shared" si="223"/>
        <v>0</v>
      </c>
      <c r="AM656" s="452">
        <f t="shared" si="224"/>
        <v>0</v>
      </c>
      <c r="AN656" s="456"/>
      <c r="AO656" s="786"/>
      <c r="AP656" s="456"/>
      <c r="AQ656" s="786"/>
      <c r="AR656" s="456"/>
      <c r="AS656" s="786"/>
      <c r="AT656" s="456"/>
      <c r="AU656" s="786"/>
      <c r="AV656" s="449">
        <f t="shared" si="225"/>
        <v>0</v>
      </c>
      <c r="AW656" s="453">
        <f t="shared" si="226"/>
        <v>0</v>
      </c>
      <c r="AX656" s="451">
        <f t="shared" si="227"/>
        <v>0</v>
      </c>
      <c r="AY656" s="454">
        <f t="shared" si="228"/>
        <v>0</v>
      </c>
      <c r="AZ656" s="455">
        <f t="shared" si="229"/>
        <v>1747.5</v>
      </c>
      <c r="BA656" s="451">
        <f t="shared" si="230"/>
        <v>1805</v>
      </c>
    </row>
    <row r="657" spans="1:53">
      <c r="A657" s="779" t="s">
        <v>249</v>
      </c>
      <c r="B657" s="717" t="s">
        <v>921</v>
      </c>
      <c r="C657" s="715"/>
      <c r="D657" s="782">
        <v>233903</v>
      </c>
      <c r="E657" s="566">
        <v>10</v>
      </c>
      <c r="F657" s="491" t="s">
        <v>41</v>
      </c>
      <c r="G657" s="492" t="s">
        <v>41</v>
      </c>
      <c r="H657" s="456"/>
      <c r="I657" s="786"/>
      <c r="J657" s="456">
        <v>20710</v>
      </c>
      <c r="K657" s="786">
        <v>20928</v>
      </c>
      <c r="L657" s="456">
        <v>4515</v>
      </c>
      <c r="M657" s="786">
        <v>4017</v>
      </c>
      <c r="N657" s="456">
        <v>23807</v>
      </c>
      <c r="O657" s="786">
        <v>21908</v>
      </c>
      <c r="P657" s="449">
        <f t="shared" si="213"/>
        <v>49032</v>
      </c>
      <c r="Q657" s="450">
        <f t="shared" si="214"/>
        <v>1634.4</v>
      </c>
      <c r="R657" s="451">
        <f t="shared" si="215"/>
        <v>46853</v>
      </c>
      <c r="S657" s="452">
        <f t="shared" si="216"/>
        <v>1561.7666666666667</v>
      </c>
      <c r="T657" s="456">
        <v>16603</v>
      </c>
      <c r="U657" s="786">
        <v>17371</v>
      </c>
      <c r="V657" s="449">
        <f t="shared" si="217"/>
        <v>49032</v>
      </c>
      <c r="W657" s="448">
        <f t="shared" si="218"/>
        <v>46853</v>
      </c>
      <c r="X657" s="456"/>
      <c r="Y657" s="786"/>
      <c r="Z657" s="456"/>
      <c r="AA657" s="786"/>
      <c r="AB657" s="456"/>
      <c r="AC657" s="786"/>
      <c r="AD657" s="456"/>
      <c r="AE657" s="786"/>
      <c r="AF657" s="449">
        <f t="shared" si="219"/>
        <v>0</v>
      </c>
      <c r="AG657" s="450">
        <f t="shared" si="220"/>
        <v>0</v>
      </c>
      <c r="AH657" s="451">
        <f t="shared" si="221"/>
        <v>0</v>
      </c>
      <c r="AI657" s="451">
        <f t="shared" si="222"/>
        <v>0</v>
      </c>
      <c r="AJ657" s="456"/>
      <c r="AK657" s="786"/>
      <c r="AL657" s="449">
        <f t="shared" si="223"/>
        <v>0</v>
      </c>
      <c r="AM657" s="452">
        <f t="shared" si="224"/>
        <v>0</v>
      </c>
      <c r="AN657" s="456"/>
      <c r="AO657" s="786"/>
      <c r="AP657" s="456"/>
      <c r="AQ657" s="786"/>
      <c r="AR657" s="456"/>
      <c r="AS657" s="786"/>
      <c r="AT657" s="456"/>
      <c r="AU657" s="786"/>
      <c r="AV657" s="449">
        <f t="shared" si="225"/>
        <v>0</v>
      </c>
      <c r="AW657" s="453">
        <f t="shared" si="226"/>
        <v>0</v>
      </c>
      <c r="AX657" s="451">
        <f t="shared" si="227"/>
        <v>0</v>
      </c>
      <c r="AY657" s="454">
        <f t="shared" si="228"/>
        <v>0</v>
      </c>
      <c r="AZ657" s="455">
        <f t="shared" si="229"/>
        <v>1634.4</v>
      </c>
      <c r="BA657" s="451">
        <f t="shared" si="230"/>
        <v>1561.7666666666667</v>
      </c>
    </row>
    <row r="658" spans="1:53">
      <c r="A658" s="790" t="s">
        <v>249</v>
      </c>
      <c r="B658" s="791" t="s">
        <v>922</v>
      </c>
      <c r="C658" s="792"/>
      <c r="D658" s="793" t="s">
        <v>923</v>
      </c>
      <c r="E658" s="794">
        <v>11</v>
      </c>
      <c r="F658" s="491" t="s">
        <v>41</v>
      </c>
      <c r="G658" s="492" t="s">
        <v>41</v>
      </c>
      <c r="H658" s="795"/>
      <c r="I658" s="796"/>
      <c r="J658" s="795">
        <v>1514250</v>
      </c>
      <c r="K658" s="821">
        <v>1460345.5</v>
      </c>
      <c r="L658" s="795">
        <v>478043</v>
      </c>
      <c r="M658" s="821">
        <v>443495</v>
      </c>
      <c r="N658" s="795">
        <v>1583631</v>
      </c>
      <c r="O658" s="821">
        <v>1519453</v>
      </c>
      <c r="P658" s="449">
        <f t="shared" si="213"/>
        <v>3575924</v>
      </c>
      <c r="Q658" s="450">
        <f t="shared" si="214"/>
        <v>119197.46666666666</v>
      </c>
      <c r="R658" s="451">
        <f t="shared" si="215"/>
        <v>3423293.5</v>
      </c>
      <c r="S658" s="452">
        <f t="shared" si="216"/>
        <v>114109.78333333334</v>
      </c>
      <c r="T658" s="795">
        <v>647312</v>
      </c>
      <c r="U658" s="821">
        <v>693481</v>
      </c>
      <c r="V658" s="449">
        <f t="shared" si="217"/>
        <v>3575924</v>
      </c>
      <c r="W658" s="448">
        <f t="shared" si="218"/>
        <v>3423293.5</v>
      </c>
      <c r="X658" s="795"/>
      <c r="Y658" s="796"/>
      <c r="Z658" s="795"/>
      <c r="AA658" s="796"/>
      <c r="AB658" s="795"/>
      <c r="AC658" s="796"/>
      <c r="AD658" s="795"/>
      <c r="AE658" s="796"/>
      <c r="AF658" s="449">
        <f t="shared" si="219"/>
        <v>0</v>
      </c>
      <c r="AG658" s="450">
        <f t="shared" si="220"/>
        <v>0</v>
      </c>
      <c r="AH658" s="451">
        <f t="shared" si="221"/>
        <v>0</v>
      </c>
      <c r="AI658" s="451">
        <f t="shared" si="222"/>
        <v>0</v>
      </c>
      <c r="AJ658" s="795"/>
      <c r="AK658" s="796"/>
      <c r="AL658" s="449">
        <f t="shared" si="223"/>
        <v>0</v>
      </c>
      <c r="AM658" s="452">
        <f t="shared" si="224"/>
        <v>0</v>
      </c>
      <c r="AN658" s="795"/>
      <c r="AO658" s="796"/>
      <c r="AP658" s="795"/>
      <c r="AQ658" s="796"/>
      <c r="AR658" s="795"/>
      <c r="AS658" s="796"/>
      <c r="AT658" s="795"/>
      <c r="AU658" s="796"/>
      <c r="AV658" s="449">
        <f t="shared" si="225"/>
        <v>0</v>
      </c>
      <c r="AW658" s="453">
        <f t="shared" si="226"/>
        <v>0</v>
      </c>
      <c r="AX658" s="451">
        <f t="shared" si="227"/>
        <v>0</v>
      </c>
      <c r="AY658" s="454">
        <f t="shared" si="228"/>
        <v>0</v>
      </c>
      <c r="AZ658" s="455">
        <f t="shared" si="229"/>
        <v>119197.46666666666</v>
      </c>
      <c r="BA658" s="451">
        <f t="shared" si="230"/>
        <v>114109.78333333334</v>
      </c>
    </row>
    <row r="659" spans="1:53">
      <c r="A659" s="790" t="s">
        <v>249</v>
      </c>
      <c r="B659" s="797"/>
      <c r="C659" s="798" t="s">
        <v>924</v>
      </c>
      <c r="D659" s="790"/>
      <c r="E659" s="799" t="s">
        <v>235</v>
      </c>
      <c r="F659" s="491" t="s">
        <v>41</v>
      </c>
      <c r="G659" s="492" t="s">
        <v>41</v>
      </c>
      <c r="H659" s="537"/>
      <c r="I659" s="796"/>
      <c r="J659" s="537">
        <v>948959</v>
      </c>
      <c r="K659" s="821">
        <v>903875.5</v>
      </c>
      <c r="L659" s="537">
        <v>332332</v>
      </c>
      <c r="M659" s="821">
        <v>308489</v>
      </c>
      <c r="N659" s="537">
        <v>971160</v>
      </c>
      <c r="O659" s="821">
        <v>935232</v>
      </c>
      <c r="P659" s="449">
        <f t="shared" si="213"/>
        <v>2252451</v>
      </c>
      <c r="Q659" s="450">
        <f t="shared" si="214"/>
        <v>75081.7</v>
      </c>
      <c r="R659" s="451">
        <f t="shared" si="215"/>
        <v>2147596.5</v>
      </c>
      <c r="S659" s="452">
        <f t="shared" si="216"/>
        <v>71586.55</v>
      </c>
      <c r="T659" s="537">
        <v>143572</v>
      </c>
      <c r="U659" s="821">
        <v>167141</v>
      </c>
      <c r="V659" s="449">
        <f t="shared" si="217"/>
        <v>2252451</v>
      </c>
      <c r="W659" s="448">
        <f t="shared" si="218"/>
        <v>2147596.5</v>
      </c>
      <c r="X659" s="537"/>
      <c r="Y659" s="796"/>
      <c r="Z659" s="537"/>
      <c r="AA659" s="796"/>
      <c r="AB659" s="537"/>
      <c r="AC659" s="796"/>
      <c r="AD659" s="537"/>
      <c r="AE659" s="796"/>
      <c r="AF659" s="449">
        <f t="shared" si="219"/>
        <v>0</v>
      </c>
      <c r="AG659" s="450">
        <f t="shared" si="220"/>
        <v>0</v>
      </c>
      <c r="AH659" s="451">
        <f t="shared" si="221"/>
        <v>0</v>
      </c>
      <c r="AI659" s="451">
        <f t="shared" si="222"/>
        <v>0</v>
      </c>
      <c r="AJ659" s="537"/>
      <c r="AK659" s="796"/>
      <c r="AL659" s="449">
        <f t="shared" si="223"/>
        <v>0</v>
      </c>
      <c r="AM659" s="452">
        <f t="shared" si="224"/>
        <v>0</v>
      </c>
      <c r="AN659" s="537"/>
      <c r="AO659" s="796"/>
      <c r="AP659" s="537"/>
      <c r="AQ659" s="796"/>
      <c r="AR659" s="537"/>
      <c r="AS659" s="796"/>
      <c r="AT659" s="537"/>
      <c r="AU659" s="796"/>
      <c r="AV659" s="449">
        <f t="shared" si="225"/>
        <v>0</v>
      </c>
      <c r="AW659" s="453">
        <f t="shared" si="226"/>
        <v>0</v>
      </c>
      <c r="AX659" s="451">
        <f t="shared" si="227"/>
        <v>0</v>
      </c>
      <c r="AY659" s="454">
        <f t="shared" si="228"/>
        <v>0</v>
      </c>
      <c r="AZ659" s="455">
        <f t="shared" si="229"/>
        <v>75081.7</v>
      </c>
      <c r="BA659" s="451">
        <f t="shared" si="230"/>
        <v>71586.55</v>
      </c>
    </row>
    <row r="660" spans="1:53">
      <c r="A660" s="790" t="s">
        <v>249</v>
      </c>
      <c r="B660" s="800"/>
      <c r="C660" s="801" t="s">
        <v>925</v>
      </c>
      <c r="D660" s="790"/>
      <c r="E660" s="799" t="s">
        <v>236</v>
      </c>
      <c r="F660" s="491" t="s">
        <v>41</v>
      </c>
      <c r="G660" s="492" t="s">
        <v>41</v>
      </c>
      <c r="H660" s="537"/>
      <c r="I660" s="796"/>
      <c r="J660" s="537">
        <v>473061</v>
      </c>
      <c r="K660" s="821">
        <v>463431</v>
      </c>
      <c r="L660" s="537">
        <v>121302</v>
      </c>
      <c r="M660" s="821">
        <v>112924</v>
      </c>
      <c r="N660" s="537">
        <v>510048</v>
      </c>
      <c r="O660" s="821">
        <v>482636</v>
      </c>
      <c r="P660" s="449">
        <f t="shared" si="213"/>
        <v>1104411</v>
      </c>
      <c r="Q660" s="450">
        <f t="shared" si="214"/>
        <v>36813.699999999997</v>
      </c>
      <c r="R660" s="451">
        <f t="shared" si="215"/>
        <v>1058991</v>
      </c>
      <c r="S660" s="452">
        <f t="shared" si="216"/>
        <v>35299.699999999997</v>
      </c>
      <c r="T660" s="537">
        <v>404362</v>
      </c>
      <c r="U660" s="821">
        <v>421512</v>
      </c>
      <c r="V660" s="449">
        <f t="shared" si="217"/>
        <v>1104411</v>
      </c>
      <c r="W660" s="448">
        <f t="shared" si="218"/>
        <v>1058991</v>
      </c>
      <c r="X660" s="537"/>
      <c r="Y660" s="796"/>
      <c r="Z660" s="537"/>
      <c r="AA660" s="796"/>
      <c r="AB660" s="537"/>
      <c r="AC660" s="796"/>
      <c r="AD660" s="537"/>
      <c r="AE660" s="796"/>
      <c r="AF660" s="449">
        <f t="shared" si="219"/>
        <v>0</v>
      </c>
      <c r="AG660" s="450">
        <f t="shared" si="220"/>
        <v>0</v>
      </c>
      <c r="AH660" s="451">
        <f t="shared" si="221"/>
        <v>0</v>
      </c>
      <c r="AI660" s="451">
        <f t="shared" si="222"/>
        <v>0</v>
      </c>
      <c r="AJ660" s="537"/>
      <c r="AK660" s="796"/>
      <c r="AL660" s="449">
        <f t="shared" si="223"/>
        <v>0</v>
      </c>
      <c r="AM660" s="452">
        <f t="shared" si="224"/>
        <v>0</v>
      </c>
      <c r="AN660" s="537"/>
      <c r="AO660" s="796"/>
      <c r="AP660" s="537"/>
      <c r="AQ660" s="796"/>
      <c r="AR660" s="537"/>
      <c r="AS660" s="796"/>
      <c r="AT660" s="537"/>
      <c r="AU660" s="796"/>
      <c r="AV660" s="449">
        <f t="shared" si="225"/>
        <v>0</v>
      </c>
      <c r="AW660" s="453">
        <f t="shared" si="226"/>
        <v>0</v>
      </c>
      <c r="AX660" s="451">
        <f t="shared" si="227"/>
        <v>0</v>
      </c>
      <c r="AY660" s="454">
        <f t="shared" si="228"/>
        <v>0</v>
      </c>
      <c r="AZ660" s="455">
        <f t="shared" si="229"/>
        <v>36813.699999999997</v>
      </c>
      <c r="BA660" s="451">
        <f t="shared" si="230"/>
        <v>35299.699999999997</v>
      </c>
    </row>
    <row r="661" spans="1:53">
      <c r="A661" s="790" t="s">
        <v>249</v>
      </c>
      <c r="B661" s="789" t="s">
        <v>926</v>
      </c>
      <c r="C661" s="802"/>
      <c r="D661" s="790">
        <v>233338</v>
      </c>
      <c r="E661" s="799" t="s">
        <v>145</v>
      </c>
      <c r="F661" s="491" t="s">
        <v>41</v>
      </c>
      <c r="G661" s="492" t="s">
        <v>41</v>
      </c>
      <c r="H661" s="537"/>
      <c r="I661" s="796"/>
      <c r="J661" s="537">
        <v>13687</v>
      </c>
      <c r="K661" s="822">
        <v>13926</v>
      </c>
      <c r="L661" s="537">
        <v>2057</v>
      </c>
      <c r="M661" s="822">
        <v>1145</v>
      </c>
      <c r="N661" s="537">
        <v>16232</v>
      </c>
      <c r="O661" s="822">
        <v>19238</v>
      </c>
      <c r="P661" s="449">
        <f t="shared" si="213"/>
        <v>31976</v>
      </c>
      <c r="Q661" s="450">
        <f t="shared" si="214"/>
        <v>1065.8666666666666</v>
      </c>
      <c r="R661" s="451">
        <f t="shared" si="215"/>
        <v>34309</v>
      </c>
      <c r="S661" s="452">
        <f t="shared" si="216"/>
        <v>1143.6333333333334</v>
      </c>
      <c r="T661" s="537">
        <v>6453</v>
      </c>
      <c r="U661" s="822">
        <v>13359</v>
      </c>
      <c r="V661" s="449">
        <f t="shared" si="217"/>
        <v>31976</v>
      </c>
      <c r="W661" s="448">
        <f t="shared" si="218"/>
        <v>34309</v>
      </c>
      <c r="X661" s="537"/>
      <c r="Y661" s="796"/>
      <c r="Z661" s="537"/>
      <c r="AA661" s="796"/>
      <c r="AB661" s="537"/>
      <c r="AC661" s="796"/>
      <c r="AD661" s="537"/>
      <c r="AE661" s="796"/>
      <c r="AF661" s="449">
        <f t="shared" si="219"/>
        <v>0</v>
      </c>
      <c r="AG661" s="450">
        <f t="shared" si="220"/>
        <v>0</v>
      </c>
      <c r="AH661" s="451">
        <f t="shared" si="221"/>
        <v>0</v>
      </c>
      <c r="AI661" s="451">
        <f t="shared" si="222"/>
        <v>0</v>
      </c>
      <c r="AJ661" s="537"/>
      <c r="AK661" s="796"/>
      <c r="AL661" s="449">
        <f t="shared" si="223"/>
        <v>0</v>
      </c>
      <c r="AM661" s="452">
        <f t="shared" si="224"/>
        <v>0</v>
      </c>
      <c r="AN661" s="537"/>
      <c r="AO661" s="796"/>
      <c r="AP661" s="537"/>
      <c r="AQ661" s="796"/>
      <c r="AR661" s="537"/>
      <c r="AS661" s="796"/>
      <c r="AT661" s="537"/>
      <c r="AU661" s="796"/>
      <c r="AV661" s="449">
        <f t="shared" si="225"/>
        <v>0</v>
      </c>
      <c r="AW661" s="453">
        <f t="shared" si="226"/>
        <v>0</v>
      </c>
      <c r="AX661" s="451">
        <f t="shared" si="227"/>
        <v>0</v>
      </c>
      <c r="AY661" s="454">
        <f t="shared" si="228"/>
        <v>0</v>
      </c>
      <c r="AZ661" s="455">
        <f t="shared" si="229"/>
        <v>1065.8666666666666</v>
      </c>
      <c r="BA661" s="451">
        <f t="shared" si="230"/>
        <v>1143.6333333333334</v>
      </c>
    </row>
    <row r="662" spans="1:53">
      <c r="A662" s="790" t="s">
        <v>249</v>
      </c>
      <c r="B662" s="803"/>
      <c r="C662" s="804" t="s">
        <v>927</v>
      </c>
      <c r="D662" s="790"/>
      <c r="E662" s="799" t="s">
        <v>145</v>
      </c>
      <c r="F662" s="491" t="s">
        <v>41</v>
      </c>
      <c r="G662" s="492" t="s">
        <v>41</v>
      </c>
      <c r="H662" s="537"/>
      <c r="I662" s="796"/>
      <c r="J662" s="537">
        <v>92230</v>
      </c>
      <c r="K662" s="821">
        <v>93039</v>
      </c>
      <c r="L662" s="537">
        <v>24409</v>
      </c>
      <c r="M662" s="821">
        <v>22082</v>
      </c>
      <c r="N662" s="537">
        <v>102423</v>
      </c>
      <c r="O662" s="821">
        <v>101585</v>
      </c>
      <c r="P662" s="449">
        <f t="shared" si="213"/>
        <v>219062</v>
      </c>
      <c r="Q662" s="450">
        <f t="shared" si="214"/>
        <v>7302.0666666666666</v>
      </c>
      <c r="R662" s="451">
        <f t="shared" si="215"/>
        <v>216706</v>
      </c>
      <c r="S662" s="452">
        <f t="shared" si="216"/>
        <v>7223.5333333333338</v>
      </c>
      <c r="T662" s="537">
        <v>99378</v>
      </c>
      <c r="U662" s="821">
        <v>104828</v>
      </c>
      <c r="V662" s="449">
        <f t="shared" si="217"/>
        <v>219062</v>
      </c>
      <c r="W662" s="448">
        <f t="shared" si="218"/>
        <v>216706</v>
      </c>
      <c r="X662" s="537"/>
      <c r="Y662" s="796"/>
      <c r="Z662" s="537"/>
      <c r="AA662" s="796"/>
      <c r="AB662" s="537"/>
      <c r="AC662" s="796"/>
      <c r="AD662" s="537"/>
      <c r="AE662" s="796"/>
      <c r="AF662" s="449">
        <f t="shared" si="219"/>
        <v>0</v>
      </c>
      <c r="AG662" s="450">
        <f t="shared" si="220"/>
        <v>0</v>
      </c>
      <c r="AH662" s="451">
        <f t="shared" si="221"/>
        <v>0</v>
      </c>
      <c r="AI662" s="451">
        <f t="shared" si="222"/>
        <v>0</v>
      </c>
      <c r="AJ662" s="537"/>
      <c r="AK662" s="796"/>
      <c r="AL662" s="449">
        <f t="shared" si="223"/>
        <v>0</v>
      </c>
      <c r="AM662" s="452">
        <f t="shared" si="224"/>
        <v>0</v>
      </c>
      <c r="AN662" s="537"/>
      <c r="AO662" s="796"/>
      <c r="AP662" s="537"/>
      <c r="AQ662" s="796"/>
      <c r="AR662" s="537"/>
      <c r="AS662" s="796"/>
      <c r="AT662" s="537"/>
      <c r="AU662" s="796"/>
      <c r="AV662" s="449">
        <f t="shared" si="225"/>
        <v>0</v>
      </c>
      <c r="AW662" s="453">
        <f t="shared" si="226"/>
        <v>0</v>
      </c>
      <c r="AX662" s="451">
        <f t="shared" si="227"/>
        <v>0</v>
      </c>
      <c r="AY662" s="454">
        <f t="shared" si="228"/>
        <v>0</v>
      </c>
      <c r="AZ662" s="455">
        <f t="shared" si="229"/>
        <v>7302.0666666666666</v>
      </c>
      <c r="BA662" s="451">
        <f t="shared" si="230"/>
        <v>7223.5333333333338</v>
      </c>
    </row>
    <row r="663" spans="1:53">
      <c r="A663" s="690" t="s">
        <v>232</v>
      </c>
      <c r="B663" s="691" t="s">
        <v>660</v>
      </c>
      <c r="C663" s="692"/>
      <c r="D663" s="617">
        <v>238032</v>
      </c>
      <c r="E663" s="618">
        <v>1</v>
      </c>
      <c r="F663" s="491" t="s">
        <v>41</v>
      </c>
      <c r="G663" s="492" t="s">
        <v>41</v>
      </c>
      <c r="H663" s="456"/>
      <c r="I663" s="493"/>
      <c r="J663" s="456">
        <v>302180</v>
      </c>
      <c r="K663" s="493">
        <v>295191</v>
      </c>
      <c r="L663" s="456">
        <v>42113</v>
      </c>
      <c r="M663" s="493">
        <v>41586</v>
      </c>
      <c r="N663" s="456">
        <v>316807</v>
      </c>
      <c r="O663" s="493">
        <v>315348</v>
      </c>
      <c r="P663" s="449">
        <f t="shared" si="213"/>
        <v>661100</v>
      </c>
      <c r="Q663" s="450">
        <f t="shared" si="214"/>
        <v>22036.666666666668</v>
      </c>
      <c r="R663" s="451">
        <f t="shared" si="215"/>
        <v>652125</v>
      </c>
      <c r="S663" s="452">
        <f t="shared" si="216"/>
        <v>21737.5</v>
      </c>
      <c r="T663" s="456">
        <v>3847</v>
      </c>
      <c r="U663" s="493">
        <v>4737</v>
      </c>
      <c r="V663" s="449">
        <f t="shared" si="217"/>
        <v>661100</v>
      </c>
      <c r="W663" s="448">
        <f t="shared" si="218"/>
        <v>652125</v>
      </c>
      <c r="X663" s="456"/>
      <c r="Y663" s="493"/>
      <c r="Z663" s="456"/>
      <c r="AA663" s="493"/>
      <c r="AB663" s="456"/>
      <c r="AC663" s="493"/>
      <c r="AD663" s="456"/>
      <c r="AE663" s="493"/>
      <c r="AF663" s="449">
        <f t="shared" si="219"/>
        <v>0</v>
      </c>
      <c r="AG663" s="450">
        <f t="shared" si="220"/>
        <v>0</v>
      </c>
      <c r="AH663" s="451">
        <f t="shared" si="221"/>
        <v>0</v>
      </c>
      <c r="AI663" s="451">
        <f t="shared" si="222"/>
        <v>0</v>
      </c>
      <c r="AJ663" s="456"/>
      <c r="AK663" s="493"/>
      <c r="AL663" s="449">
        <f t="shared" si="223"/>
        <v>0</v>
      </c>
      <c r="AM663" s="452">
        <f t="shared" si="224"/>
        <v>0</v>
      </c>
      <c r="AN663" s="456"/>
      <c r="AO663" s="493"/>
      <c r="AP663" s="456">
        <v>47424</v>
      </c>
      <c r="AQ663" s="493">
        <v>45511</v>
      </c>
      <c r="AR663" s="456">
        <v>14592</v>
      </c>
      <c r="AS663" s="493">
        <v>13052</v>
      </c>
      <c r="AT663" s="456">
        <v>46997</v>
      </c>
      <c r="AU663" s="493">
        <v>45441</v>
      </c>
      <c r="AV663" s="449">
        <f t="shared" si="225"/>
        <v>109013</v>
      </c>
      <c r="AW663" s="453">
        <f t="shared" si="226"/>
        <v>4542.208333333333</v>
      </c>
      <c r="AX663" s="451">
        <f t="shared" si="227"/>
        <v>104004</v>
      </c>
      <c r="AY663" s="454">
        <f t="shared" si="228"/>
        <v>4333.5</v>
      </c>
      <c r="AZ663" s="455">
        <f t="shared" si="229"/>
        <v>26578.875</v>
      </c>
      <c r="BA663" s="451">
        <f t="shared" si="230"/>
        <v>26071</v>
      </c>
    </row>
    <row r="664" spans="1:53">
      <c r="A664" s="693" t="s">
        <v>232</v>
      </c>
      <c r="B664" s="691" t="s">
        <v>661</v>
      </c>
      <c r="C664" s="692"/>
      <c r="D664" s="617">
        <v>237525</v>
      </c>
      <c r="E664" s="618">
        <v>3</v>
      </c>
      <c r="F664" s="491" t="s">
        <v>41</v>
      </c>
      <c r="G664" s="492" t="s">
        <v>41</v>
      </c>
      <c r="H664" s="456"/>
      <c r="I664" s="493"/>
      <c r="J664" s="456">
        <v>119419</v>
      </c>
      <c r="K664" s="493">
        <v>117475</v>
      </c>
      <c r="L664" s="456">
        <v>14811</v>
      </c>
      <c r="M664" s="493">
        <v>13801</v>
      </c>
      <c r="N664" s="456">
        <v>129884</v>
      </c>
      <c r="O664" s="493">
        <v>130472</v>
      </c>
      <c r="P664" s="449">
        <f t="shared" si="213"/>
        <v>264114</v>
      </c>
      <c r="Q664" s="450">
        <f t="shared" si="214"/>
        <v>8803.7999999999993</v>
      </c>
      <c r="R664" s="451">
        <f t="shared" si="215"/>
        <v>261748</v>
      </c>
      <c r="S664" s="452">
        <f t="shared" si="216"/>
        <v>8724.9333333333325</v>
      </c>
      <c r="T664" s="456">
        <v>4580</v>
      </c>
      <c r="U664" s="493">
        <v>5608</v>
      </c>
      <c r="V664" s="449">
        <f t="shared" si="217"/>
        <v>264114</v>
      </c>
      <c r="W664" s="448">
        <f t="shared" si="218"/>
        <v>261748</v>
      </c>
      <c r="X664" s="456"/>
      <c r="Y664" s="493"/>
      <c r="Z664" s="456"/>
      <c r="AA664" s="493"/>
      <c r="AB664" s="456"/>
      <c r="AC664" s="493"/>
      <c r="AD664" s="456"/>
      <c r="AE664" s="493"/>
      <c r="AF664" s="449">
        <f t="shared" si="219"/>
        <v>0</v>
      </c>
      <c r="AG664" s="450">
        <f t="shared" si="220"/>
        <v>0</v>
      </c>
      <c r="AH664" s="451">
        <f t="shared" si="221"/>
        <v>0</v>
      </c>
      <c r="AI664" s="451">
        <f t="shared" si="222"/>
        <v>0</v>
      </c>
      <c r="AJ664" s="456"/>
      <c r="AK664" s="493"/>
      <c r="AL664" s="449">
        <f t="shared" si="223"/>
        <v>0</v>
      </c>
      <c r="AM664" s="452">
        <f t="shared" si="224"/>
        <v>0</v>
      </c>
      <c r="AN664" s="456"/>
      <c r="AO664" s="493"/>
      <c r="AP664" s="456">
        <v>25159</v>
      </c>
      <c r="AQ664" s="493">
        <v>28637</v>
      </c>
      <c r="AR664" s="456">
        <v>11044</v>
      </c>
      <c r="AS664" s="493">
        <v>11744</v>
      </c>
      <c r="AT664" s="456">
        <v>26540</v>
      </c>
      <c r="AU664" s="493">
        <v>29487</v>
      </c>
      <c r="AV664" s="449">
        <f t="shared" si="225"/>
        <v>62743</v>
      </c>
      <c r="AW664" s="453">
        <f t="shared" si="226"/>
        <v>2614.2916666666665</v>
      </c>
      <c r="AX664" s="451">
        <f t="shared" si="227"/>
        <v>69868</v>
      </c>
      <c r="AY664" s="454">
        <f t="shared" si="228"/>
        <v>2911.1666666666665</v>
      </c>
      <c r="AZ664" s="455">
        <f t="shared" si="229"/>
        <v>11418.091666666665</v>
      </c>
      <c r="BA664" s="451">
        <f t="shared" si="230"/>
        <v>11636.099999999999</v>
      </c>
    </row>
    <row r="665" spans="1:53">
      <c r="A665" s="693" t="s">
        <v>232</v>
      </c>
      <c r="B665" s="691" t="s">
        <v>662</v>
      </c>
      <c r="C665" s="694"/>
      <c r="D665" s="617">
        <v>237367</v>
      </c>
      <c r="E665" s="618">
        <v>5</v>
      </c>
      <c r="F665" s="491" t="s">
        <v>41</v>
      </c>
      <c r="G665" s="492" t="s">
        <v>41</v>
      </c>
      <c r="H665" s="456"/>
      <c r="I665" s="493"/>
      <c r="J665" s="456">
        <v>48932</v>
      </c>
      <c r="K665" s="493">
        <v>45683</v>
      </c>
      <c r="L665" s="456">
        <v>5271</v>
      </c>
      <c r="M665" s="493">
        <v>4549</v>
      </c>
      <c r="N665" s="456">
        <v>50877</v>
      </c>
      <c r="O665" s="493">
        <v>51351</v>
      </c>
      <c r="P665" s="449">
        <f t="shared" si="213"/>
        <v>105080</v>
      </c>
      <c r="Q665" s="450">
        <f t="shared" si="214"/>
        <v>3502.6666666666665</v>
      </c>
      <c r="R665" s="451">
        <f t="shared" si="215"/>
        <v>101583</v>
      </c>
      <c r="S665" s="452">
        <f t="shared" si="216"/>
        <v>3386.1</v>
      </c>
      <c r="T665" s="456">
        <v>56</v>
      </c>
      <c r="U665" s="493">
        <v>283</v>
      </c>
      <c r="V665" s="449">
        <f t="shared" si="217"/>
        <v>105080</v>
      </c>
      <c r="W665" s="448">
        <f t="shared" si="218"/>
        <v>101583</v>
      </c>
      <c r="X665" s="456"/>
      <c r="Y665" s="493"/>
      <c r="Z665" s="456"/>
      <c r="AA665" s="493"/>
      <c r="AB665" s="456"/>
      <c r="AC665" s="493"/>
      <c r="AD665" s="456"/>
      <c r="AE665" s="493"/>
      <c r="AF665" s="449">
        <f t="shared" si="219"/>
        <v>0</v>
      </c>
      <c r="AG665" s="450">
        <f t="shared" si="220"/>
        <v>0</v>
      </c>
      <c r="AH665" s="451">
        <f t="shared" si="221"/>
        <v>0</v>
      </c>
      <c r="AI665" s="451">
        <f t="shared" si="222"/>
        <v>0</v>
      </c>
      <c r="AJ665" s="456"/>
      <c r="AK665" s="493"/>
      <c r="AL665" s="449">
        <f t="shared" si="223"/>
        <v>0</v>
      </c>
      <c r="AM665" s="452">
        <f t="shared" si="224"/>
        <v>0</v>
      </c>
      <c r="AN665" s="456"/>
      <c r="AO665" s="493"/>
      <c r="AP665" s="456">
        <v>1649</v>
      </c>
      <c r="AQ665" s="493">
        <v>1703</v>
      </c>
      <c r="AR665" s="456">
        <v>727</v>
      </c>
      <c r="AS665" s="493">
        <v>716</v>
      </c>
      <c r="AT665" s="456">
        <v>1816</v>
      </c>
      <c r="AU665" s="493">
        <v>1588</v>
      </c>
      <c r="AV665" s="449">
        <f t="shared" si="225"/>
        <v>4192</v>
      </c>
      <c r="AW665" s="453">
        <f t="shared" si="226"/>
        <v>174.66666666666666</v>
      </c>
      <c r="AX665" s="451">
        <f t="shared" si="227"/>
        <v>4007</v>
      </c>
      <c r="AY665" s="454">
        <f t="shared" si="228"/>
        <v>166.95833333333334</v>
      </c>
      <c r="AZ665" s="455">
        <f t="shared" si="229"/>
        <v>3677.333333333333</v>
      </c>
      <c r="BA665" s="451">
        <f t="shared" si="230"/>
        <v>3553.0583333333334</v>
      </c>
    </row>
    <row r="666" spans="1:53">
      <c r="A666" s="693" t="s">
        <v>232</v>
      </c>
      <c r="B666" s="615" t="s">
        <v>663</v>
      </c>
      <c r="C666" s="694"/>
      <c r="D666" s="695">
        <v>237792</v>
      </c>
      <c r="E666" s="696">
        <v>5</v>
      </c>
      <c r="F666" s="491" t="s">
        <v>41</v>
      </c>
      <c r="G666" s="492" t="s">
        <v>41</v>
      </c>
      <c r="H666" s="456"/>
      <c r="I666" s="493"/>
      <c r="J666" s="456">
        <v>48972</v>
      </c>
      <c r="K666" s="493">
        <v>45057</v>
      </c>
      <c r="L666" s="456">
        <v>4327</v>
      </c>
      <c r="M666" s="493">
        <v>4045</v>
      </c>
      <c r="N666" s="456">
        <v>50130</v>
      </c>
      <c r="O666" s="493">
        <v>47486</v>
      </c>
      <c r="P666" s="449">
        <f t="shared" si="213"/>
        <v>103429</v>
      </c>
      <c r="Q666" s="450">
        <f t="shared" si="214"/>
        <v>3447.6333333333332</v>
      </c>
      <c r="R666" s="451">
        <f t="shared" si="215"/>
        <v>96588</v>
      </c>
      <c r="S666" s="452">
        <f t="shared" si="216"/>
        <v>3219.6</v>
      </c>
      <c r="T666" s="456">
        <v>89</v>
      </c>
      <c r="U666" s="493">
        <v>118</v>
      </c>
      <c r="V666" s="449">
        <f t="shared" si="217"/>
        <v>103429</v>
      </c>
      <c r="W666" s="448">
        <f t="shared" si="218"/>
        <v>96588</v>
      </c>
      <c r="X666" s="456"/>
      <c r="Y666" s="493"/>
      <c r="Z666" s="456"/>
      <c r="AA666" s="493"/>
      <c r="AB666" s="456"/>
      <c r="AC666" s="493"/>
      <c r="AD666" s="456"/>
      <c r="AE666" s="493"/>
      <c r="AF666" s="449">
        <f t="shared" si="219"/>
        <v>0</v>
      </c>
      <c r="AG666" s="450">
        <f t="shared" si="220"/>
        <v>0</v>
      </c>
      <c r="AH666" s="451">
        <f t="shared" si="221"/>
        <v>0</v>
      </c>
      <c r="AI666" s="451">
        <f t="shared" si="222"/>
        <v>0</v>
      </c>
      <c r="AJ666" s="456"/>
      <c r="AK666" s="493"/>
      <c r="AL666" s="449">
        <f t="shared" si="223"/>
        <v>0</v>
      </c>
      <c r="AM666" s="452">
        <f t="shared" si="224"/>
        <v>0</v>
      </c>
      <c r="AN666" s="456"/>
      <c r="AO666" s="493"/>
      <c r="AP666" s="456">
        <v>1284</v>
      </c>
      <c r="AQ666" s="493">
        <v>1848</v>
      </c>
      <c r="AR666" s="456">
        <v>543</v>
      </c>
      <c r="AS666" s="493">
        <v>955</v>
      </c>
      <c r="AT666" s="456">
        <v>1654</v>
      </c>
      <c r="AU666" s="493">
        <v>1492</v>
      </c>
      <c r="AV666" s="449">
        <f t="shared" si="225"/>
        <v>3481</v>
      </c>
      <c r="AW666" s="453">
        <f t="shared" si="226"/>
        <v>145.04166666666666</v>
      </c>
      <c r="AX666" s="451">
        <f t="shared" si="227"/>
        <v>4295</v>
      </c>
      <c r="AY666" s="454">
        <f t="shared" si="228"/>
        <v>178.95833333333334</v>
      </c>
      <c r="AZ666" s="455">
        <f t="shared" si="229"/>
        <v>3592.6749999999997</v>
      </c>
      <c r="BA666" s="451">
        <f t="shared" si="230"/>
        <v>3398.5583333333334</v>
      </c>
    </row>
    <row r="667" spans="1:53">
      <c r="A667" s="693" t="s">
        <v>232</v>
      </c>
      <c r="B667" s="691" t="s">
        <v>664</v>
      </c>
      <c r="C667" s="692"/>
      <c r="D667" s="617">
        <v>237215</v>
      </c>
      <c r="E667" s="618">
        <v>6</v>
      </c>
      <c r="F667" s="491" t="s">
        <v>41</v>
      </c>
      <c r="G667" s="492" t="s">
        <v>41</v>
      </c>
      <c r="H667" s="456"/>
      <c r="I667" s="493"/>
      <c r="J667" s="456">
        <v>20910</v>
      </c>
      <c r="K667" s="493">
        <v>18472</v>
      </c>
      <c r="L667" s="456">
        <v>1895</v>
      </c>
      <c r="M667" s="493">
        <v>1470</v>
      </c>
      <c r="N667" s="456">
        <v>20278.5</v>
      </c>
      <c r="O667" s="493">
        <v>19537</v>
      </c>
      <c r="P667" s="449">
        <f t="shared" si="213"/>
        <v>43083.5</v>
      </c>
      <c r="Q667" s="450">
        <f t="shared" si="214"/>
        <v>1436.1166666666666</v>
      </c>
      <c r="R667" s="451">
        <f t="shared" si="215"/>
        <v>39479</v>
      </c>
      <c r="S667" s="452">
        <f t="shared" si="216"/>
        <v>1315.9666666666667</v>
      </c>
      <c r="T667" s="456">
        <v>174</v>
      </c>
      <c r="U667" s="493">
        <v>302</v>
      </c>
      <c r="V667" s="449">
        <f t="shared" si="217"/>
        <v>43083.5</v>
      </c>
      <c r="W667" s="448">
        <f t="shared" si="218"/>
        <v>39479</v>
      </c>
      <c r="X667" s="456"/>
      <c r="Y667" s="493"/>
      <c r="Z667" s="456"/>
      <c r="AA667" s="493"/>
      <c r="AB667" s="456"/>
      <c r="AC667" s="493"/>
      <c r="AD667" s="456"/>
      <c r="AE667" s="493"/>
      <c r="AF667" s="449">
        <f t="shared" si="219"/>
        <v>0</v>
      </c>
      <c r="AG667" s="450">
        <f t="shared" si="220"/>
        <v>0</v>
      </c>
      <c r="AH667" s="451">
        <f t="shared" si="221"/>
        <v>0</v>
      </c>
      <c r="AI667" s="451">
        <f t="shared" si="222"/>
        <v>0</v>
      </c>
      <c r="AJ667" s="456"/>
      <c r="AK667" s="493"/>
      <c r="AL667" s="449">
        <f t="shared" si="223"/>
        <v>0</v>
      </c>
      <c r="AM667" s="452">
        <f t="shared" si="224"/>
        <v>0</v>
      </c>
      <c r="AN667" s="456"/>
      <c r="AO667" s="493"/>
      <c r="AP667" s="456"/>
      <c r="AQ667" s="493"/>
      <c r="AR667" s="456"/>
      <c r="AS667" s="493"/>
      <c r="AT667" s="456"/>
      <c r="AU667" s="493"/>
      <c r="AV667" s="449">
        <f t="shared" si="225"/>
        <v>0</v>
      </c>
      <c r="AW667" s="453">
        <f t="shared" si="226"/>
        <v>0</v>
      </c>
      <c r="AX667" s="451">
        <f t="shared" si="227"/>
        <v>0</v>
      </c>
      <c r="AY667" s="454">
        <f t="shared" si="228"/>
        <v>0</v>
      </c>
      <c r="AZ667" s="455">
        <f t="shared" si="229"/>
        <v>1436.1166666666666</v>
      </c>
      <c r="BA667" s="451">
        <f t="shared" si="230"/>
        <v>1315.9666666666667</v>
      </c>
    </row>
    <row r="668" spans="1:53">
      <c r="A668" s="693" t="s">
        <v>232</v>
      </c>
      <c r="B668" s="691" t="s">
        <v>665</v>
      </c>
      <c r="C668" s="692" t="s">
        <v>681</v>
      </c>
      <c r="D668" s="617">
        <v>237330</v>
      </c>
      <c r="E668" s="618">
        <v>6</v>
      </c>
      <c r="F668" s="491" t="s">
        <v>41</v>
      </c>
      <c r="G668" s="492" t="s">
        <v>41</v>
      </c>
      <c r="H668" s="456"/>
      <c r="I668" s="493"/>
      <c r="J668" s="456">
        <v>32782</v>
      </c>
      <c r="K668" s="493">
        <v>28993</v>
      </c>
      <c r="L668" s="456">
        <v>3522</v>
      </c>
      <c r="M668" s="493">
        <v>3035</v>
      </c>
      <c r="N668" s="456">
        <v>32382</v>
      </c>
      <c r="O668" s="493">
        <v>31002</v>
      </c>
      <c r="P668" s="449">
        <f t="shared" si="213"/>
        <v>68686</v>
      </c>
      <c r="Q668" s="450">
        <f t="shared" si="214"/>
        <v>2289.5333333333333</v>
      </c>
      <c r="R668" s="451">
        <f t="shared" si="215"/>
        <v>63030</v>
      </c>
      <c r="S668" s="452">
        <f t="shared" si="216"/>
        <v>2101</v>
      </c>
      <c r="T668" s="456">
        <v>392</v>
      </c>
      <c r="U668" s="493">
        <v>287</v>
      </c>
      <c r="V668" s="449">
        <f t="shared" si="217"/>
        <v>68686</v>
      </c>
      <c r="W668" s="448">
        <f t="shared" si="218"/>
        <v>63030</v>
      </c>
      <c r="X668" s="456"/>
      <c r="Y668" s="493"/>
      <c r="Z668" s="456"/>
      <c r="AA668" s="493"/>
      <c r="AB668" s="456"/>
      <c r="AC668" s="493"/>
      <c r="AD668" s="456"/>
      <c r="AE668" s="493"/>
      <c r="AF668" s="449">
        <f t="shared" si="219"/>
        <v>0</v>
      </c>
      <c r="AG668" s="450">
        <f t="shared" si="220"/>
        <v>0</v>
      </c>
      <c r="AH668" s="451">
        <f t="shared" si="221"/>
        <v>0</v>
      </c>
      <c r="AI668" s="451">
        <f t="shared" si="222"/>
        <v>0</v>
      </c>
      <c r="AJ668" s="456"/>
      <c r="AK668" s="493"/>
      <c r="AL668" s="449">
        <f t="shared" si="223"/>
        <v>0</v>
      </c>
      <c r="AM668" s="452">
        <f t="shared" si="224"/>
        <v>0</v>
      </c>
      <c r="AN668" s="456"/>
      <c r="AO668" s="493"/>
      <c r="AP668" s="456">
        <v>1717</v>
      </c>
      <c r="AQ668" s="493">
        <v>2113</v>
      </c>
      <c r="AR668" s="456">
        <v>1239</v>
      </c>
      <c r="AS668" s="493">
        <v>1566</v>
      </c>
      <c r="AT668" s="456">
        <v>1819</v>
      </c>
      <c r="AU668" s="493">
        <v>2319</v>
      </c>
      <c r="AV668" s="449">
        <f t="shared" si="225"/>
        <v>4775</v>
      </c>
      <c r="AW668" s="453">
        <f t="shared" si="226"/>
        <v>198.95833333333334</v>
      </c>
      <c r="AX668" s="451">
        <f t="shared" si="227"/>
        <v>5998</v>
      </c>
      <c r="AY668" s="454">
        <f t="shared" si="228"/>
        <v>249.91666666666666</v>
      </c>
      <c r="AZ668" s="455">
        <f t="shared" si="229"/>
        <v>2488.4916666666668</v>
      </c>
      <c r="BA668" s="451">
        <f t="shared" si="230"/>
        <v>2350.9166666666665</v>
      </c>
    </row>
    <row r="669" spans="1:53">
      <c r="A669" s="693" t="s">
        <v>232</v>
      </c>
      <c r="B669" s="691" t="s">
        <v>666</v>
      </c>
      <c r="C669" s="692"/>
      <c r="D669" s="617">
        <v>237385</v>
      </c>
      <c r="E669" s="618">
        <v>6</v>
      </c>
      <c r="F669" s="491" t="s">
        <v>41</v>
      </c>
      <c r="G669" s="492" t="s">
        <v>41</v>
      </c>
      <c r="H669" s="456"/>
      <c r="I669" s="493"/>
      <c r="J669" s="456">
        <v>17333</v>
      </c>
      <c r="K669" s="493">
        <v>17240</v>
      </c>
      <c r="L669" s="456">
        <v>1278</v>
      </c>
      <c r="M669" s="493">
        <v>1459</v>
      </c>
      <c r="N669" s="456">
        <v>18926</v>
      </c>
      <c r="O669" s="493">
        <v>18696.3</v>
      </c>
      <c r="P669" s="449">
        <f t="shared" si="213"/>
        <v>37537</v>
      </c>
      <c r="Q669" s="450">
        <f t="shared" si="214"/>
        <v>1251.2333333333333</v>
      </c>
      <c r="R669" s="451">
        <f t="shared" si="215"/>
        <v>37395.300000000003</v>
      </c>
      <c r="S669" s="452">
        <f t="shared" si="216"/>
        <v>1246.51</v>
      </c>
      <c r="T669" s="456">
        <v>1746</v>
      </c>
      <c r="U669" s="493">
        <v>2050</v>
      </c>
      <c r="V669" s="449">
        <f t="shared" si="217"/>
        <v>37537</v>
      </c>
      <c r="W669" s="448">
        <f t="shared" si="218"/>
        <v>37395.300000000003</v>
      </c>
      <c r="X669" s="456"/>
      <c r="Y669" s="493"/>
      <c r="Z669" s="456"/>
      <c r="AA669" s="493"/>
      <c r="AB669" s="456"/>
      <c r="AC669" s="493"/>
      <c r="AD669" s="456"/>
      <c r="AE669" s="493"/>
      <c r="AF669" s="449">
        <f t="shared" si="219"/>
        <v>0</v>
      </c>
      <c r="AG669" s="450">
        <f t="shared" si="220"/>
        <v>0</v>
      </c>
      <c r="AH669" s="451">
        <f t="shared" si="221"/>
        <v>0</v>
      </c>
      <c r="AI669" s="451">
        <f t="shared" si="222"/>
        <v>0</v>
      </c>
      <c r="AJ669" s="456"/>
      <c r="AK669" s="493"/>
      <c r="AL669" s="449">
        <f t="shared" si="223"/>
        <v>0</v>
      </c>
      <c r="AM669" s="452">
        <f t="shared" si="224"/>
        <v>0</v>
      </c>
      <c r="AN669" s="456"/>
      <c r="AO669" s="493"/>
      <c r="AP669" s="456"/>
      <c r="AQ669" s="493"/>
      <c r="AR669" s="456"/>
      <c r="AS669" s="493"/>
      <c r="AT669" s="456"/>
      <c r="AU669" s="493"/>
      <c r="AV669" s="449">
        <f t="shared" si="225"/>
        <v>0</v>
      </c>
      <c r="AW669" s="453">
        <f t="shared" si="226"/>
        <v>0</v>
      </c>
      <c r="AX669" s="451">
        <f t="shared" si="227"/>
        <v>0</v>
      </c>
      <c r="AY669" s="454">
        <f t="shared" si="228"/>
        <v>0</v>
      </c>
      <c r="AZ669" s="455">
        <f t="shared" si="229"/>
        <v>1251.2333333333333</v>
      </c>
      <c r="BA669" s="451">
        <f t="shared" si="230"/>
        <v>1246.51</v>
      </c>
    </row>
    <row r="670" spans="1:53">
      <c r="A670" s="693" t="s">
        <v>232</v>
      </c>
      <c r="B670" s="691" t="s">
        <v>667</v>
      </c>
      <c r="C670" s="692" t="s">
        <v>681</v>
      </c>
      <c r="D670" s="617">
        <v>237932</v>
      </c>
      <c r="E670" s="618">
        <v>6</v>
      </c>
      <c r="F670" s="491" t="s">
        <v>41</v>
      </c>
      <c r="G670" s="492" t="s">
        <v>41</v>
      </c>
      <c r="H670" s="456"/>
      <c r="I670" s="493"/>
      <c r="J670" s="456">
        <v>34446</v>
      </c>
      <c r="K670" s="493">
        <v>32120</v>
      </c>
      <c r="L670" s="456">
        <v>2620</v>
      </c>
      <c r="M670" s="493">
        <v>2255</v>
      </c>
      <c r="N670" s="456">
        <v>35716</v>
      </c>
      <c r="O670" s="493">
        <v>31549</v>
      </c>
      <c r="P670" s="449">
        <f t="shared" si="213"/>
        <v>72782</v>
      </c>
      <c r="Q670" s="450">
        <f t="shared" si="214"/>
        <v>2426.0666666666666</v>
      </c>
      <c r="R670" s="451">
        <f t="shared" si="215"/>
        <v>65924</v>
      </c>
      <c r="S670" s="452">
        <f t="shared" si="216"/>
        <v>2197.4666666666667</v>
      </c>
      <c r="T670" s="456">
        <v>1657</v>
      </c>
      <c r="U670" s="493">
        <v>1513</v>
      </c>
      <c r="V670" s="449">
        <f t="shared" si="217"/>
        <v>72782</v>
      </c>
      <c r="W670" s="448">
        <f t="shared" si="218"/>
        <v>65924</v>
      </c>
      <c r="X670" s="456"/>
      <c r="Y670" s="493"/>
      <c r="Z670" s="456"/>
      <c r="AA670" s="493"/>
      <c r="AB670" s="456"/>
      <c r="AC670" s="493"/>
      <c r="AD670" s="456"/>
      <c r="AE670" s="493"/>
      <c r="AF670" s="449">
        <f t="shared" si="219"/>
        <v>0</v>
      </c>
      <c r="AG670" s="450">
        <f t="shared" si="220"/>
        <v>0</v>
      </c>
      <c r="AH670" s="451">
        <f t="shared" si="221"/>
        <v>0</v>
      </c>
      <c r="AI670" s="451">
        <f t="shared" si="222"/>
        <v>0</v>
      </c>
      <c r="AJ670" s="456"/>
      <c r="AK670" s="493"/>
      <c r="AL670" s="449">
        <f t="shared" si="223"/>
        <v>0</v>
      </c>
      <c r="AM670" s="452">
        <f t="shared" si="224"/>
        <v>0</v>
      </c>
      <c r="AN670" s="456"/>
      <c r="AO670" s="493"/>
      <c r="AP670" s="456">
        <v>1557</v>
      </c>
      <c r="AQ670" s="493">
        <v>1849</v>
      </c>
      <c r="AR670" s="456">
        <v>885</v>
      </c>
      <c r="AS670" s="493">
        <v>1133</v>
      </c>
      <c r="AT670" s="456">
        <v>1475</v>
      </c>
      <c r="AU670" s="493">
        <v>1540</v>
      </c>
      <c r="AV670" s="449">
        <f t="shared" si="225"/>
        <v>3917</v>
      </c>
      <c r="AW670" s="453">
        <f t="shared" si="226"/>
        <v>163.20833333333334</v>
      </c>
      <c r="AX670" s="451">
        <f t="shared" si="227"/>
        <v>4522</v>
      </c>
      <c r="AY670" s="454">
        <f t="shared" si="228"/>
        <v>188.41666666666666</v>
      </c>
      <c r="AZ670" s="455">
        <f t="shared" si="229"/>
        <v>2589.2750000000001</v>
      </c>
      <c r="BA670" s="451">
        <f t="shared" si="230"/>
        <v>2385.8833333333332</v>
      </c>
    </row>
    <row r="671" spans="1:53">
      <c r="A671" s="693" t="s">
        <v>232</v>
      </c>
      <c r="B671" s="691" t="s">
        <v>668</v>
      </c>
      <c r="C671" s="692"/>
      <c r="D671" s="617">
        <v>237899</v>
      </c>
      <c r="E671" s="618">
        <v>6</v>
      </c>
      <c r="F671" s="491" t="s">
        <v>41</v>
      </c>
      <c r="G671" s="492" t="s">
        <v>41</v>
      </c>
      <c r="H671" s="456"/>
      <c r="I671" s="493"/>
      <c r="J671" s="456">
        <v>29084</v>
      </c>
      <c r="K671" s="493">
        <v>30505</v>
      </c>
      <c r="L671" s="456">
        <v>2773</v>
      </c>
      <c r="M671" s="493">
        <v>2865</v>
      </c>
      <c r="N671" s="456">
        <v>32876</v>
      </c>
      <c r="O671" s="493">
        <v>33966</v>
      </c>
      <c r="P671" s="449">
        <f t="shared" si="213"/>
        <v>64733</v>
      </c>
      <c r="Q671" s="450">
        <f t="shared" si="214"/>
        <v>2157.7666666666669</v>
      </c>
      <c r="R671" s="451">
        <f t="shared" si="215"/>
        <v>67336</v>
      </c>
      <c r="S671" s="452">
        <f t="shared" si="216"/>
        <v>2244.5333333333333</v>
      </c>
      <c r="T671" s="456">
        <v>3382</v>
      </c>
      <c r="U671" s="493">
        <v>6015</v>
      </c>
      <c r="V671" s="449">
        <f t="shared" si="217"/>
        <v>64733</v>
      </c>
      <c r="W671" s="448">
        <f t="shared" si="218"/>
        <v>67336</v>
      </c>
      <c r="X671" s="456"/>
      <c r="Y671" s="493"/>
      <c r="Z671" s="456"/>
      <c r="AA671" s="493"/>
      <c r="AB671" s="456"/>
      <c r="AC671" s="493"/>
      <c r="AD671" s="456"/>
      <c r="AE671" s="493"/>
      <c r="AF671" s="449">
        <f t="shared" si="219"/>
        <v>0</v>
      </c>
      <c r="AG671" s="450">
        <f t="shared" si="220"/>
        <v>0</v>
      </c>
      <c r="AH671" s="451">
        <f t="shared" si="221"/>
        <v>0</v>
      </c>
      <c r="AI671" s="451">
        <f t="shared" si="222"/>
        <v>0</v>
      </c>
      <c r="AJ671" s="456"/>
      <c r="AK671" s="493"/>
      <c r="AL671" s="449">
        <f t="shared" si="223"/>
        <v>0</v>
      </c>
      <c r="AM671" s="452">
        <f t="shared" si="224"/>
        <v>0</v>
      </c>
      <c r="AN671" s="456"/>
      <c r="AO671" s="493"/>
      <c r="AP671" s="456">
        <v>422</v>
      </c>
      <c r="AQ671" s="493">
        <v>349</v>
      </c>
      <c r="AR671" s="456">
        <v>58</v>
      </c>
      <c r="AS671" s="493">
        <v>94</v>
      </c>
      <c r="AT671" s="456">
        <v>370</v>
      </c>
      <c r="AU671" s="493">
        <v>440</v>
      </c>
      <c r="AV671" s="449">
        <f t="shared" si="225"/>
        <v>850</v>
      </c>
      <c r="AW671" s="453">
        <f t="shared" si="226"/>
        <v>35.416666666666664</v>
      </c>
      <c r="AX671" s="451">
        <f t="shared" si="227"/>
        <v>883</v>
      </c>
      <c r="AY671" s="454">
        <f t="shared" si="228"/>
        <v>36.791666666666664</v>
      </c>
      <c r="AZ671" s="455">
        <f t="shared" si="229"/>
        <v>2193.1833333333334</v>
      </c>
      <c r="BA671" s="451">
        <f t="shared" si="230"/>
        <v>2281.3249999999998</v>
      </c>
    </row>
    <row r="672" spans="1:53">
      <c r="A672" s="693" t="s">
        <v>232</v>
      </c>
      <c r="B672" s="691" t="s">
        <v>669</v>
      </c>
      <c r="C672" s="692"/>
      <c r="D672" s="617">
        <v>237950</v>
      </c>
      <c r="E672" s="618">
        <v>6</v>
      </c>
      <c r="F672" s="491" t="s">
        <v>41</v>
      </c>
      <c r="G672" s="492" t="s">
        <v>41</v>
      </c>
      <c r="H672" s="456"/>
      <c r="I672" s="493"/>
      <c r="J672" s="456">
        <v>15061</v>
      </c>
      <c r="K672" s="493">
        <v>15332</v>
      </c>
      <c r="L672" s="456">
        <v>1170</v>
      </c>
      <c r="M672" s="493">
        <v>1015</v>
      </c>
      <c r="N672" s="456">
        <v>16531</v>
      </c>
      <c r="O672" s="493">
        <v>16470</v>
      </c>
      <c r="P672" s="449">
        <f t="shared" si="213"/>
        <v>32762</v>
      </c>
      <c r="Q672" s="450">
        <f t="shared" si="214"/>
        <v>1092.0666666666666</v>
      </c>
      <c r="R672" s="451">
        <f t="shared" si="215"/>
        <v>32817</v>
      </c>
      <c r="S672" s="452">
        <f t="shared" si="216"/>
        <v>1093.9000000000001</v>
      </c>
      <c r="T672" s="456">
        <v>783</v>
      </c>
      <c r="U672" s="493">
        <v>1152</v>
      </c>
      <c r="V672" s="449">
        <f t="shared" si="217"/>
        <v>32762</v>
      </c>
      <c r="W672" s="448">
        <f t="shared" si="218"/>
        <v>32817</v>
      </c>
      <c r="X672" s="456"/>
      <c r="Y672" s="493"/>
      <c r="Z672" s="456"/>
      <c r="AA672" s="493"/>
      <c r="AB672" s="456"/>
      <c r="AC672" s="493"/>
      <c r="AD672" s="456"/>
      <c r="AE672" s="493"/>
      <c r="AF672" s="449">
        <f t="shared" si="219"/>
        <v>0</v>
      </c>
      <c r="AG672" s="450">
        <f t="shared" si="220"/>
        <v>0</v>
      </c>
      <c r="AH672" s="451">
        <f t="shared" si="221"/>
        <v>0</v>
      </c>
      <c r="AI672" s="451">
        <f t="shared" si="222"/>
        <v>0</v>
      </c>
      <c r="AJ672" s="456"/>
      <c r="AK672" s="493"/>
      <c r="AL672" s="449">
        <f t="shared" si="223"/>
        <v>0</v>
      </c>
      <c r="AM672" s="452">
        <f t="shared" si="224"/>
        <v>0</v>
      </c>
      <c r="AN672" s="456"/>
      <c r="AO672" s="493"/>
      <c r="AP672" s="456"/>
      <c r="AQ672" s="493"/>
      <c r="AR672" s="456"/>
      <c r="AS672" s="493"/>
      <c r="AT672" s="456"/>
      <c r="AU672" s="493"/>
      <c r="AV672" s="449">
        <f t="shared" si="225"/>
        <v>0</v>
      </c>
      <c r="AW672" s="453">
        <f t="shared" si="226"/>
        <v>0</v>
      </c>
      <c r="AX672" s="451">
        <f t="shared" si="227"/>
        <v>0</v>
      </c>
      <c r="AY672" s="454">
        <f t="shared" si="228"/>
        <v>0</v>
      </c>
      <c r="AZ672" s="455">
        <f t="shared" si="229"/>
        <v>1092.0666666666666</v>
      </c>
      <c r="BA672" s="451">
        <f t="shared" si="230"/>
        <v>1093.9000000000001</v>
      </c>
    </row>
    <row r="673" spans="1:53">
      <c r="A673" s="693" t="s">
        <v>232</v>
      </c>
      <c r="B673" s="697" t="s">
        <v>670</v>
      </c>
      <c r="C673" s="698"/>
      <c r="D673" s="617">
        <v>237701</v>
      </c>
      <c r="E673" s="618">
        <v>7</v>
      </c>
      <c r="F673" s="491" t="s">
        <v>41</v>
      </c>
      <c r="G673" s="492" t="s">
        <v>41</v>
      </c>
      <c r="H673" s="456"/>
      <c r="I673" s="493"/>
      <c r="J673" s="456">
        <v>18517</v>
      </c>
      <c r="K673" s="493">
        <v>17451</v>
      </c>
      <c r="L673" s="456">
        <v>1375</v>
      </c>
      <c r="M673" s="493">
        <v>1233</v>
      </c>
      <c r="N673" s="456">
        <v>19754</v>
      </c>
      <c r="O673" s="493">
        <v>18868</v>
      </c>
      <c r="P673" s="449">
        <f t="shared" si="213"/>
        <v>39646</v>
      </c>
      <c r="Q673" s="450">
        <f t="shared" si="214"/>
        <v>1321.5333333333333</v>
      </c>
      <c r="R673" s="451">
        <f t="shared" si="215"/>
        <v>37552</v>
      </c>
      <c r="S673" s="452">
        <f t="shared" si="216"/>
        <v>1251.7333333333333</v>
      </c>
      <c r="T673" s="456">
        <v>2149</v>
      </c>
      <c r="U673" s="493">
        <v>2557</v>
      </c>
      <c r="V673" s="449">
        <f t="shared" si="217"/>
        <v>39646</v>
      </c>
      <c r="W673" s="448">
        <f t="shared" si="218"/>
        <v>37552</v>
      </c>
      <c r="X673" s="456"/>
      <c r="Y673" s="493"/>
      <c r="Z673" s="456"/>
      <c r="AA673" s="493"/>
      <c r="AB673" s="456"/>
      <c r="AC673" s="493"/>
      <c r="AD673" s="456"/>
      <c r="AE673" s="493"/>
      <c r="AF673" s="449">
        <f t="shared" si="219"/>
        <v>0</v>
      </c>
      <c r="AG673" s="450">
        <f t="shared" si="220"/>
        <v>0</v>
      </c>
      <c r="AH673" s="451">
        <f t="shared" si="221"/>
        <v>0</v>
      </c>
      <c r="AI673" s="451">
        <f t="shared" si="222"/>
        <v>0</v>
      </c>
      <c r="AJ673" s="456"/>
      <c r="AK673" s="493"/>
      <c r="AL673" s="449">
        <f t="shared" si="223"/>
        <v>0</v>
      </c>
      <c r="AM673" s="452">
        <f t="shared" si="224"/>
        <v>0</v>
      </c>
      <c r="AN673" s="456"/>
      <c r="AO673" s="493"/>
      <c r="AP673" s="456"/>
      <c r="AQ673" s="493"/>
      <c r="AR673" s="456"/>
      <c r="AS673" s="493"/>
      <c r="AT673" s="456"/>
      <c r="AU673" s="493"/>
      <c r="AV673" s="449">
        <f t="shared" si="225"/>
        <v>0</v>
      </c>
      <c r="AW673" s="453">
        <f t="shared" si="226"/>
        <v>0</v>
      </c>
      <c r="AX673" s="451">
        <f t="shared" si="227"/>
        <v>0</v>
      </c>
      <c r="AY673" s="454">
        <f t="shared" si="228"/>
        <v>0</v>
      </c>
      <c r="AZ673" s="455">
        <f t="shared" si="229"/>
        <v>1321.5333333333333</v>
      </c>
      <c r="BA673" s="451">
        <f t="shared" si="230"/>
        <v>1251.7333333333333</v>
      </c>
    </row>
    <row r="674" spans="1:53">
      <c r="A674" s="693" t="s">
        <v>232</v>
      </c>
      <c r="B674" s="691" t="s">
        <v>671</v>
      </c>
      <c r="C674" s="703" t="s">
        <v>682</v>
      </c>
      <c r="D674" s="617">
        <v>237686</v>
      </c>
      <c r="E674" s="704">
        <v>6</v>
      </c>
      <c r="F674" s="491" t="s">
        <v>41</v>
      </c>
      <c r="G674" s="492" t="s">
        <v>41</v>
      </c>
      <c r="H674" s="456"/>
      <c r="I674" s="493"/>
      <c r="J674" s="456">
        <v>32353</v>
      </c>
      <c r="K674" s="493">
        <v>27270</v>
      </c>
      <c r="L674" s="456">
        <v>5765</v>
      </c>
      <c r="M674" s="493">
        <v>5131</v>
      </c>
      <c r="N674" s="456">
        <v>31229</v>
      </c>
      <c r="O674" s="493">
        <v>28215</v>
      </c>
      <c r="P674" s="449">
        <f t="shared" si="213"/>
        <v>69347</v>
      </c>
      <c r="Q674" s="450">
        <f t="shared" si="214"/>
        <v>2311.5666666666666</v>
      </c>
      <c r="R674" s="451">
        <f t="shared" si="215"/>
        <v>60616</v>
      </c>
      <c r="S674" s="452">
        <f t="shared" si="216"/>
        <v>2020.5333333333333</v>
      </c>
      <c r="T674" s="456">
        <v>2864</v>
      </c>
      <c r="U674" s="493">
        <v>3072</v>
      </c>
      <c r="V674" s="449">
        <f t="shared" si="217"/>
        <v>69347</v>
      </c>
      <c r="W674" s="448">
        <f t="shared" si="218"/>
        <v>60616</v>
      </c>
      <c r="X674" s="456"/>
      <c r="Y674" s="493"/>
      <c r="Z674" s="456"/>
      <c r="AA674" s="493"/>
      <c r="AB674" s="456"/>
      <c r="AC674" s="493"/>
      <c r="AD674" s="456"/>
      <c r="AE674" s="493"/>
      <c r="AF674" s="449">
        <f t="shared" si="219"/>
        <v>0</v>
      </c>
      <c r="AG674" s="450">
        <f t="shared" si="220"/>
        <v>0</v>
      </c>
      <c r="AH674" s="451">
        <f t="shared" si="221"/>
        <v>0</v>
      </c>
      <c r="AI674" s="451">
        <f t="shared" si="222"/>
        <v>0</v>
      </c>
      <c r="AJ674" s="456"/>
      <c r="AK674" s="493"/>
      <c r="AL674" s="449">
        <f t="shared" si="223"/>
        <v>0</v>
      </c>
      <c r="AM674" s="452">
        <f t="shared" si="224"/>
        <v>0</v>
      </c>
      <c r="AN674" s="456"/>
      <c r="AO674" s="493"/>
      <c r="AP674" s="456"/>
      <c r="AQ674" s="493"/>
      <c r="AR674" s="456"/>
      <c r="AS674" s="493"/>
      <c r="AT674" s="456"/>
      <c r="AU674" s="493"/>
      <c r="AV674" s="449">
        <f t="shared" si="225"/>
        <v>0</v>
      </c>
      <c r="AW674" s="453">
        <f t="shared" si="226"/>
        <v>0</v>
      </c>
      <c r="AX674" s="451">
        <f t="shared" si="227"/>
        <v>0</v>
      </c>
      <c r="AY674" s="454">
        <f t="shared" si="228"/>
        <v>0</v>
      </c>
      <c r="AZ674" s="455">
        <f t="shared" si="229"/>
        <v>2311.5666666666666</v>
      </c>
      <c r="BA674" s="451">
        <f t="shared" si="230"/>
        <v>2020.5333333333333</v>
      </c>
    </row>
    <row r="675" spans="1:53">
      <c r="A675" s="693" t="s">
        <v>232</v>
      </c>
      <c r="B675" s="615" t="s">
        <v>672</v>
      </c>
      <c r="C675" s="694" t="s">
        <v>316</v>
      </c>
      <c r="D675" s="617">
        <v>447582</v>
      </c>
      <c r="E675" s="620">
        <v>9</v>
      </c>
      <c r="F675" s="491" t="s">
        <v>41</v>
      </c>
      <c r="G675" s="492" t="s">
        <v>41</v>
      </c>
      <c r="H675" s="456"/>
      <c r="I675" s="493"/>
      <c r="J675" s="456">
        <v>26537</v>
      </c>
      <c r="K675" s="493">
        <v>21186</v>
      </c>
      <c r="L675" s="456">
        <v>3984</v>
      </c>
      <c r="M675" s="493">
        <v>2599</v>
      </c>
      <c r="N675" s="456">
        <v>23699</v>
      </c>
      <c r="O675" s="493">
        <v>18811</v>
      </c>
      <c r="P675" s="449">
        <f t="shared" si="213"/>
        <v>54220</v>
      </c>
      <c r="Q675" s="450">
        <f t="shared" si="214"/>
        <v>1807.3333333333333</v>
      </c>
      <c r="R675" s="451">
        <f t="shared" si="215"/>
        <v>42596</v>
      </c>
      <c r="S675" s="452">
        <f t="shared" si="216"/>
        <v>1419.8666666666666</v>
      </c>
      <c r="T675" s="456">
        <v>1255</v>
      </c>
      <c r="U675" s="493">
        <v>984</v>
      </c>
      <c r="V675" s="449">
        <f t="shared" si="217"/>
        <v>54220</v>
      </c>
      <c r="W675" s="448">
        <f t="shared" si="218"/>
        <v>42596</v>
      </c>
      <c r="X675" s="456"/>
      <c r="Y675" s="493"/>
      <c r="Z675" s="456"/>
      <c r="AA675" s="493"/>
      <c r="AB675" s="456"/>
      <c r="AC675" s="493"/>
      <c r="AD675" s="456"/>
      <c r="AE675" s="493"/>
      <c r="AF675" s="449">
        <f t="shared" si="219"/>
        <v>0</v>
      </c>
      <c r="AG675" s="450">
        <f t="shared" si="220"/>
        <v>0</v>
      </c>
      <c r="AH675" s="451">
        <f t="shared" si="221"/>
        <v>0</v>
      </c>
      <c r="AI675" s="451">
        <f t="shared" si="222"/>
        <v>0</v>
      </c>
      <c r="AJ675" s="456"/>
      <c r="AK675" s="493"/>
      <c r="AL675" s="449">
        <f t="shared" si="223"/>
        <v>0</v>
      </c>
      <c r="AM675" s="452">
        <f t="shared" si="224"/>
        <v>0</v>
      </c>
      <c r="AN675" s="456"/>
      <c r="AO675" s="493"/>
      <c r="AP675" s="456"/>
      <c r="AQ675" s="493"/>
      <c r="AR675" s="456"/>
      <c r="AS675" s="493"/>
      <c r="AT675" s="456"/>
      <c r="AU675" s="493"/>
      <c r="AV675" s="449">
        <f t="shared" si="225"/>
        <v>0</v>
      </c>
      <c r="AW675" s="453">
        <f t="shared" si="226"/>
        <v>0</v>
      </c>
      <c r="AX675" s="451">
        <f t="shared" si="227"/>
        <v>0</v>
      </c>
      <c r="AY675" s="454">
        <f t="shared" si="228"/>
        <v>0</v>
      </c>
      <c r="AZ675" s="455">
        <f t="shared" si="229"/>
        <v>1807.3333333333333</v>
      </c>
      <c r="BA675" s="451">
        <f t="shared" si="230"/>
        <v>1419.8666666666666</v>
      </c>
    </row>
    <row r="676" spans="1:53">
      <c r="A676" s="693" t="s">
        <v>232</v>
      </c>
      <c r="B676" s="699" t="s">
        <v>673</v>
      </c>
      <c r="C676" s="694" t="s">
        <v>316</v>
      </c>
      <c r="D676" s="617">
        <v>443492</v>
      </c>
      <c r="E676" s="620">
        <v>9</v>
      </c>
      <c r="F676" s="491" t="s">
        <v>41</v>
      </c>
      <c r="G676" s="492" t="s">
        <v>41</v>
      </c>
      <c r="H676" s="456"/>
      <c r="I676" s="493"/>
      <c r="J676" s="456">
        <v>23944</v>
      </c>
      <c r="K676" s="493">
        <v>20117</v>
      </c>
      <c r="L676" s="456">
        <v>2680</v>
      </c>
      <c r="M676" s="493">
        <v>1976</v>
      </c>
      <c r="N676" s="456">
        <v>24210</v>
      </c>
      <c r="O676" s="493">
        <v>22666</v>
      </c>
      <c r="P676" s="449">
        <f t="shared" si="213"/>
        <v>50834</v>
      </c>
      <c r="Q676" s="450">
        <f t="shared" si="214"/>
        <v>1694.4666666666667</v>
      </c>
      <c r="R676" s="451">
        <f t="shared" si="215"/>
        <v>44759</v>
      </c>
      <c r="S676" s="452">
        <f t="shared" si="216"/>
        <v>1491.9666666666667</v>
      </c>
      <c r="T676" s="456">
        <v>4580</v>
      </c>
      <c r="U676" s="493">
        <v>4466</v>
      </c>
      <c r="V676" s="449">
        <f t="shared" si="217"/>
        <v>50834</v>
      </c>
      <c r="W676" s="448">
        <f t="shared" si="218"/>
        <v>44759</v>
      </c>
      <c r="X676" s="456"/>
      <c r="Y676" s="493"/>
      <c r="Z676" s="456"/>
      <c r="AA676" s="493"/>
      <c r="AB676" s="456"/>
      <c r="AC676" s="493"/>
      <c r="AD676" s="456"/>
      <c r="AE676" s="493"/>
      <c r="AF676" s="449">
        <f t="shared" si="219"/>
        <v>0</v>
      </c>
      <c r="AG676" s="450">
        <f t="shared" si="220"/>
        <v>0</v>
      </c>
      <c r="AH676" s="451">
        <f t="shared" si="221"/>
        <v>0</v>
      </c>
      <c r="AI676" s="451">
        <f t="shared" si="222"/>
        <v>0</v>
      </c>
      <c r="AJ676" s="456"/>
      <c r="AK676" s="493"/>
      <c r="AL676" s="449">
        <f t="shared" si="223"/>
        <v>0</v>
      </c>
      <c r="AM676" s="452">
        <f t="shared" si="224"/>
        <v>0</v>
      </c>
      <c r="AN676" s="456"/>
      <c r="AO676" s="493"/>
      <c r="AP676" s="456"/>
      <c r="AQ676" s="493"/>
      <c r="AR676" s="456"/>
      <c r="AS676" s="493"/>
      <c r="AT676" s="456"/>
      <c r="AU676" s="493"/>
      <c r="AV676" s="449">
        <f t="shared" si="225"/>
        <v>0</v>
      </c>
      <c r="AW676" s="453">
        <f t="shared" si="226"/>
        <v>0</v>
      </c>
      <c r="AX676" s="451">
        <f t="shared" si="227"/>
        <v>0</v>
      </c>
      <c r="AY676" s="454">
        <f t="shared" si="228"/>
        <v>0</v>
      </c>
      <c r="AZ676" s="455">
        <f t="shared" si="229"/>
        <v>1694.4666666666667</v>
      </c>
      <c r="BA676" s="451">
        <f t="shared" si="230"/>
        <v>1491.9666666666667</v>
      </c>
    </row>
    <row r="677" spans="1:53">
      <c r="A677" s="693" t="s">
        <v>232</v>
      </c>
      <c r="B677" s="691" t="s">
        <v>674</v>
      </c>
      <c r="C677" s="692" t="s">
        <v>683</v>
      </c>
      <c r="D677" s="617">
        <v>446774</v>
      </c>
      <c r="E677" s="618">
        <v>10</v>
      </c>
      <c r="F677" s="491" t="s">
        <v>41</v>
      </c>
      <c r="G677" s="492" t="s">
        <v>41</v>
      </c>
      <c r="H677" s="456"/>
      <c r="I677" s="493"/>
      <c r="J677" s="456">
        <v>26693.4</v>
      </c>
      <c r="K677" s="493">
        <v>26991.8</v>
      </c>
      <c r="L677" s="456">
        <v>3036</v>
      </c>
      <c r="M677" s="493">
        <v>3066</v>
      </c>
      <c r="N677" s="456">
        <v>31365.1</v>
      </c>
      <c r="O677" s="493">
        <v>29979.8</v>
      </c>
      <c r="P677" s="449">
        <f t="shared" si="213"/>
        <v>61094.5</v>
      </c>
      <c r="Q677" s="450">
        <f t="shared" si="214"/>
        <v>2036.4833333333333</v>
      </c>
      <c r="R677" s="451">
        <f t="shared" si="215"/>
        <v>60037.599999999999</v>
      </c>
      <c r="S677" s="452">
        <f t="shared" si="216"/>
        <v>2001.2533333333333</v>
      </c>
      <c r="T677" s="456">
        <v>1252.3</v>
      </c>
      <c r="U677" s="493">
        <v>1992.4</v>
      </c>
      <c r="V677" s="449">
        <f t="shared" si="217"/>
        <v>61094.5</v>
      </c>
      <c r="W677" s="448">
        <f t="shared" si="218"/>
        <v>60037.599999999999</v>
      </c>
      <c r="X677" s="456"/>
      <c r="Y677" s="493"/>
      <c r="Z677" s="456"/>
      <c r="AA677" s="493"/>
      <c r="AB677" s="456"/>
      <c r="AC677" s="493"/>
      <c r="AD677" s="456"/>
      <c r="AE677" s="493"/>
      <c r="AF677" s="449">
        <f t="shared" si="219"/>
        <v>0</v>
      </c>
      <c r="AG677" s="450">
        <f t="shared" si="220"/>
        <v>0</v>
      </c>
      <c r="AH677" s="451">
        <f t="shared" si="221"/>
        <v>0</v>
      </c>
      <c r="AI677" s="451">
        <f t="shared" si="222"/>
        <v>0</v>
      </c>
      <c r="AJ677" s="456"/>
      <c r="AK677" s="493"/>
      <c r="AL677" s="449">
        <f t="shared" si="223"/>
        <v>0</v>
      </c>
      <c r="AM677" s="452">
        <f t="shared" si="224"/>
        <v>0</v>
      </c>
      <c r="AN677" s="456"/>
      <c r="AO677" s="493"/>
      <c r="AP677" s="456"/>
      <c r="AQ677" s="493"/>
      <c r="AR677" s="456"/>
      <c r="AS677" s="493"/>
      <c r="AT677" s="456"/>
      <c r="AU677" s="493"/>
      <c r="AV677" s="449">
        <f t="shared" si="225"/>
        <v>0</v>
      </c>
      <c r="AW677" s="453">
        <f t="shared" si="226"/>
        <v>0</v>
      </c>
      <c r="AX677" s="451">
        <f t="shared" si="227"/>
        <v>0</v>
      </c>
      <c r="AY677" s="454">
        <f t="shared" si="228"/>
        <v>0</v>
      </c>
      <c r="AZ677" s="455">
        <f t="shared" si="229"/>
        <v>2036.4833333333333</v>
      </c>
      <c r="BA677" s="451">
        <f t="shared" si="230"/>
        <v>2001.2533333333333</v>
      </c>
    </row>
    <row r="678" spans="1:53">
      <c r="A678" s="693" t="s">
        <v>232</v>
      </c>
      <c r="B678" s="691" t="s">
        <v>675</v>
      </c>
      <c r="C678" s="692" t="s">
        <v>676</v>
      </c>
      <c r="D678" s="617">
        <v>484932</v>
      </c>
      <c r="E678" s="618">
        <v>10</v>
      </c>
      <c r="F678" s="700" t="s">
        <v>41</v>
      </c>
      <c r="G678" s="701" t="s">
        <v>41</v>
      </c>
      <c r="H678" s="537"/>
      <c r="I678" s="493"/>
      <c r="J678" s="537">
        <v>23913.5</v>
      </c>
      <c r="K678" s="493">
        <v>19190</v>
      </c>
      <c r="L678" s="537">
        <v>2394</v>
      </c>
      <c r="M678" s="493">
        <v>2160</v>
      </c>
      <c r="N678" s="537">
        <v>21783</v>
      </c>
      <c r="O678" s="493">
        <v>22118.5</v>
      </c>
      <c r="P678" s="449">
        <f t="shared" si="213"/>
        <v>48090.5</v>
      </c>
      <c r="Q678" s="450">
        <f t="shared" si="214"/>
        <v>1603.0166666666667</v>
      </c>
      <c r="R678" s="451">
        <f t="shared" si="215"/>
        <v>43468.5</v>
      </c>
      <c r="S678" s="452">
        <f t="shared" si="216"/>
        <v>1448.95</v>
      </c>
      <c r="T678" s="537">
        <v>578</v>
      </c>
      <c r="U678" s="493">
        <v>1506</v>
      </c>
      <c r="V678" s="449">
        <f t="shared" si="217"/>
        <v>48090.5</v>
      </c>
      <c r="W678" s="448">
        <f t="shared" si="218"/>
        <v>43468.5</v>
      </c>
      <c r="X678" s="537"/>
      <c r="Y678" s="493"/>
      <c r="Z678" s="537"/>
      <c r="AA678" s="493"/>
      <c r="AB678" s="537"/>
      <c r="AC678" s="493"/>
      <c r="AD678" s="537"/>
      <c r="AE678" s="493"/>
      <c r="AF678" s="449">
        <f t="shared" si="219"/>
        <v>0</v>
      </c>
      <c r="AG678" s="450">
        <f t="shared" si="220"/>
        <v>0</v>
      </c>
      <c r="AH678" s="451">
        <f t="shared" si="221"/>
        <v>0</v>
      </c>
      <c r="AI678" s="451">
        <f t="shared" si="222"/>
        <v>0</v>
      </c>
      <c r="AJ678" s="537"/>
      <c r="AK678" s="493"/>
      <c r="AL678" s="449">
        <f t="shared" si="223"/>
        <v>0</v>
      </c>
      <c r="AM678" s="452">
        <f t="shared" si="224"/>
        <v>0</v>
      </c>
      <c r="AN678" s="537"/>
      <c r="AO678" s="493"/>
      <c r="AP678" s="537"/>
      <c r="AQ678" s="493"/>
      <c r="AR678" s="537"/>
      <c r="AS678" s="493"/>
      <c r="AT678" s="537"/>
      <c r="AU678" s="493"/>
      <c r="AV678" s="449">
        <f t="shared" si="225"/>
        <v>0</v>
      </c>
      <c r="AW678" s="453">
        <f t="shared" si="226"/>
        <v>0</v>
      </c>
      <c r="AX678" s="451">
        <f t="shared" si="227"/>
        <v>0</v>
      </c>
      <c r="AY678" s="454">
        <f t="shared" si="228"/>
        <v>0</v>
      </c>
      <c r="AZ678" s="455">
        <f t="shared" si="229"/>
        <v>1603.0166666666667</v>
      </c>
      <c r="BA678" s="451">
        <f t="shared" si="230"/>
        <v>1448.95</v>
      </c>
    </row>
    <row r="679" spans="1:53">
      <c r="A679" s="693" t="s">
        <v>232</v>
      </c>
      <c r="B679" s="691" t="s">
        <v>677</v>
      </c>
      <c r="C679" s="692"/>
      <c r="D679" s="617">
        <v>438708</v>
      </c>
      <c r="E679" s="618">
        <v>10</v>
      </c>
      <c r="F679" s="491" t="s">
        <v>41</v>
      </c>
      <c r="G679" s="492" t="s">
        <v>41</v>
      </c>
      <c r="H679" s="456"/>
      <c r="I679" s="493"/>
      <c r="J679" s="456">
        <v>6400</v>
      </c>
      <c r="K679" s="493">
        <v>5643</v>
      </c>
      <c r="L679" s="456">
        <v>1053</v>
      </c>
      <c r="M679" s="493">
        <v>1027</v>
      </c>
      <c r="N679" s="456">
        <v>7307</v>
      </c>
      <c r="O679" s="493">
        <v>6934</v>
      </c>
      <c r="P679" s="449">
        <f t="shared" si="213"/>
        <v>14760</v>
      </c>
      <c r="Q679" s="450">
        <f t="shared" si="214"/>
        <v>492</v>
      </c>
      <c r="R679" s="451">
        <f t="shared" si="215"/>
        <v>13604</v>
      </c>
      <c r="S679" s="452">
        <f t="shared" si="216"/>
        <v>453.46666666666664</v>
      </c>
      <c r="T679" s="456">
        <v>1281</v>
      </c>
      <c r="U679" s="493">
        <v>2063</v>
      </c>
      <c r="V679" s="449">
        <f t="shared" si="217"/>
        <v>14760</v>
      </c>
      <c r="W679" s="448">
        <f t="shared" si="218"/>
        <v>13604</v>
      </c>
      <c r="X679" s="456"/>
      <c r="Y679" s="493"/>
      <c r="Z679" s="456"/>
      <c r="AA679" s="493"/>
      <c r="AB679" s="456"/>
      <c r="AC679" s="493"/>
      <c r="AD679" s="456"/>
      <c r="AE679" s="493"/>
      <c r="AF679" s="449">
        <f t="shared" si="219"/>
        <v>0</v>
      </c>
      <c r="AG679" s="450">
        <f t="shared" si="220"/>
        <v>0</v>
      </c>
      <c r="AH679" s="451">
        <f t="shared" si="221"/>
        <v>0</v>
      </c>
      <c r="AI679" s="451">
        <f t="shared" si="222"/>
        <v>0</v>
      </c>
      <c r="AJ679" s="456"/>
      <c r="AK679" s="493"/>
      <c r="AL679" s="449">
        <f t="shared" si="223"/>
        <v>0</v>
      </c>
      <c r="AM679" s="452">
        <f t="shared" si="224"/>
        <v>0</v>
      </c>
      <c r="AN679" s="456"/>
      <c r="AO679" s="493"/>
      <c r="AP679" s="456"/>
      <c r="AQ679" s="493"/>
      <c r="AR679" s="456"/>
      <c r="AS679" s="493"/>
      <c r="AT679" s="456"/>
      <c r="AU679" s="493"/>
      <c r="AV679" s="449">
        <f t="shared" si="225"/>
        <v>0</v>
      </c>
      <c r="AW679" s="453">
        <f t="shared" si="226"/>
        <v>0</v>
      </c>
      <c r="AX679" s="451">
        <f t="shared" si="227"/>
        <v>0</v>
      </c>
      <c r="AY679" s="454">
        <f t="shared" si="228"/>
        <v>0</v>
      </c>
      <c r="AZ679" s="455">
        <f t="shared" si="229"/>
        <v>492</v>
      </c>
      <c r="BA679" s="451">
        <f t="shared" si="230"/>
        <v>453.46666666666664</v>
      </c>
    </row>
    <row r="680" spans="1:53">
      <c r="A680" s="693" t="s">
        <v>232</v>
      </c>
      <c r="B680" s="615" t="s">
        <v>678</v>
      </c>
      <c r="C680" s="694"/>
      <c r="D680" s="695">
        <v>444954</v>
      </c>
      <c r="E680" s="618">
        <v>10</v>
      </c>
      <c r="F680" s="491" t="s">
        <v>41</v>
      </c>
      <c r="G680" s="492" t="s">
        <v>41</v>
      </c>
      <c r="H680" s="456"/>
      <c r="I680" s="493"/>
      <c r="J680" s="456">
        <v>21101</v>
      </c>
      <c r="K680" s="493">
        <v>19787</v>
      </c>
      <c r="L680" s="456">
        <v>4341</v>
      </c>
      <c r="M680" s="493">
        <v>3948</v>
      </c>
      <c r="N680" s="456">
        <v>22838</v>
      </c>
      <c r="O680" s="493">
        <v>21539</v>
      </c>
      <c r="P680" s="449">
        <f t="shared" si="213"/>
        <v>48280</v>
      </c>
      <c r="Q680" s="450">
        <f t="shared" si="214"/>
        <v>1609.3333333333333</v>
      </c>
      <c r="R680" s="451">
        <f t="shared" si="215"/>
        <v>45274</v>
      </c>
      <c r="S680" s="452">
        <f t="shared" si="216"/>
        <v>1509.1333333333334</v>
      </c>
      <c r="T680" s="456">
        <v>649</v>
      </c>
      <c r="U680" s="493">
        <v>1301</v>
      </c>
      <c r="V680" s="449">
        <f t="shared" si="217"/>
        <v>48280</v>
      </c>
      <c r="W680" s="448">
        <f t="shared" si="218"/>
        <v>45274</v>
      </c>
      <c r="X680" s="456"/>
      <c r="Y680" s="493"/>
      <c r="Z680" s="456"/>
      <c r="AA680" s="493"/>
      <c r="AB680" s="456"/>
      <c r="AC680" s="493"/>
      <c r="AD680" s="456"/>
      <c r="AE680" s="493"/>
      <c r="AF680" s="449">
        <f t="shared" si="219"/>
        <v>0</v>
      </c>
      <c r="AG680" s="450">
        <f t="shared" si="220"/>
        <v>0</v>
      </c>
      <c r="AH680" s="451">
        <f t="shared" si="221"/>
        <v>0</v>
      </c>
      <c r="AI680" s="451">
        <f t="shared" si="222"/>
        <v>0</v>
      </c>
      <c r="AJ680" s="456"/>
      <c r="AK680" s="493"/>
      <c r="AL680" s="449">
        <f t="shared" si="223"/>
        <v>0</v>
      </c>
      <c r="AM680" s="452">
        <f t="shared" si="224"/>
        <v>0</v>
      </c>
      <c r="AN680" s="456"/>
      <c r="AO680" s="493"/>
      <c r="AP680" s="456"/>
      <c r="AQ680" s="493"/>
      <c r="AR680" s="456"/>
      <c r="AS680" s="493"/>
      <c r="AT680" s="456"/>
      <c r="AU680" s="493"/>
      <c r="AV680" s="449">
        <f t="shared" si="225"/>
        <v>0</v>
      </c>
      <c r="AW680" s="453">
        <f t="shared" si="226"/>
        <v>0</v>
      </c>
      <c r="AX680" s="451">
        <f t="shared" si="227"/>
        <v>0</v>
      </c>
      <c r="AY680" s="454">
        <f t="shared" si="228"/>
        <v>0</v>
      </c>
      <c r="AZ680" s="455">
        <f t="shared" si="229"/>
        <v>1609.3333333333333</v>
      </c>
      <c r="BA680" s="451">
        <f t="shared" si="230"/>
        <v>1509.1333333333334</v>
      </c>
    </row>
    <row r="681" spans="1:53">
      <c r="A681" s="693" t="s">
        <v>232</v>
      </c>
      <c r="B681" s="691" t="s">
        <v>679</v>
      </c>
      <c r="C681" s="692"/>
      <c r="D681" s="617">
        <v>237817</v>
      </c>
      <c r="E681" s="618">
        <v>10</v>
      </c>
      <c r="F681" s="491" t="s">
        <v>41</v>
      </c>
      <c r="G681" s="492" t="s">
        <v>41</v>
      </c>
      <c r="H681" s="456"/>
      <c r="I681" s="493"/>
      <c r="J681" s="456">
        <v>19286</v>
      </c>
      <c r="K681" s="493">
        <v>17542</v>
      </c>
      <c r="L681" s="456">
        <v>1220</v>
      </c>
      <c r="M681" s="493">
        <v>1238</v>
      </c>
      <c r="N681" s="456">
        <v>20694</v>
      </c>
      <c r="O681" s="493">
        <v>18681</v>
      </c>
      <c r="P681" s="449">
        <f t="shared" si="213"/>
        <v>41200</v>
      </c>
      <c r="Q681" s="450">
        <f t="shared" si="214"/>
        <v>1373.3333333333333</v>
      </c>
      <c r="R681" s="451">
        <f t="shared" si="215"/>
        <v>37461</v>
      </c>
      <c r="S681" s="452">
        <f t="shared" si="216"/>
        <v>1248.7</v>
      </c>
      <c r="T681" s="456">
        <v>1580</v>
      </c>
      <c r="U681" s="493">
        <v>1081</v>
      </c>
      <c r="V681" s="449">
        <f t="shared" si="217"/>
        <v>41200</v>
      </c>
      <c r="W681" s="448">
        <f t="shared" si="218"/>
        <v>37461</v>
      </c>
      <c r="X681" s="456"/>
      <c r="Y681" s="493"/>
      <c r="Z681" s="456"/>
      <c r="AA681" s="493"/>
      <c r="AB681" s="456"/>
      <c r="AC681" s="493"/>
      <c r="AD681" s="456"/>
      <c r="AE681" s="493"/>
      <c r="AF681" s="449">
        <f t="shared" si="219"/>
        <v>0</v>
      </c>
      <c r="AG681" s="450">
        <f t="shared" si="220"/>
        <v>0</v>
      </c>
      <c r="AH681" s="451">
        <f t="shared" si="221"/>
        <v>0</v>
      </c>
      <c r="AI681" s="451">
        <f t="shared" si="222"/>
        <v>0</v>
      </c>
      <c r="AJ681" s="456"/>
      <c r="AK681" s="493"/>
      <c r="AL681" s="449">
        <f t="shared" si="223"/>
        <v>0</v>
      </c>
      <c r="AM681" s="452">
        <f t="shared" si="224"/>
        <v>0</v>
      </c>
      <c r="AN681" s="456"/>
      <c r="AO681" s="493"/>
      <c r="AP681" s="456"/>
      <c r="AQ681" s="493"/>
      <c r="AR681" s="456"/>
      <c r="AS681" s="493"/>
      <c r="AT681" s="456"/>
      <c r="AU681" s="493"/>
      <c r="AV681" s="449">
        <f t="shared" si="225"/>
        <v>0</v>
      </c>
      <c r="AW681" s="453">
        <f t="shared" si="226"/>
        <v>0</v>
      </c>
      <c r="AX681" s="451">
        <f t="shared" si="227"/>
        <v>0</v>
      </c>
      <c r="AY681" s="454">
        <f t="shared" si="228"/>
        <v>0</v>
      </c>
      <c r="AZ681" s="455">
        <f t="shared" si="229"/>
        <v>1373.3333333333333</v>
      </c>
      <c r="BA681" s="451">
        <f t="shared" si="230"/>
        <v>1248.7</v>
      </c>
    </row>
    <row r="682" spans="1:53">
      <c r="A682" s="693" t="s">
        <v>232</v>
      </c>
      <c r="B682" s="615" t="s">
        <v>680</v>
      </c>
      <c r="C682" s="702"/>
      <c r="D682" s="617">
        <v>238014</v>
      </c>
      <c r="E682" s="705">
        <v>10</v>
      </c>
      <c r="F682" s="491" t="s">
        <v>41</v>
      </c>
      <c r="G682" s="492" t="s">
        <v>41</v>
      </c>
      <c r="H682" s="456"/>
      <c r="I682" s="493"/>
      <c r="J682" s="456">
        <v>17952.599999999999</v>
      </c>
      <c r="K682" s="493">
        <v>16874.2</v>
      </c>
      <c r="L682" s="456">
        <v>4618.5</v>
      </c>
      <c r="M682" s="493">
        <v>4180</v>
      </c>
      <c r="N682" s="456">
        <v>19391.8</v>
      </c>
      <c r="O682" s="493">
        <v>18429.400000000001</v>
      </c>
      <c r="P682" s="449">
        <f t="shared" si="213"/>
        <v>41962.899999999994</v>
      </c>
      <c r="Q682" s="450">
        <f t="shared" si="214"/>
        <v>1398.7633333333331</v>
      </c>
      <c r="R682" s="451">
        <f t="shared" si="215"/>
        <v>39483.600000000006</v>
      </c>
      <c r="S682" s="452">
        <f t="shared" si="216"/>
        <v>1316.1200000000001</v>
      </c>
      <c r="T682" s="456">
        <v>1849</v>
      </c>
      <c r="U682" s="493">
        <v>3028</v>
      </c>
      <c r="V682" s="449">
        <f t="shared" si="217"/>
        <v>41962.899999999994</v>
      </c>
      <c r="W682" s="448">
        <f t="shared" si="218"/>
        <v>39483.600000000006</v>
      </c>
      <c r="X682" s="456"/>
      <c r="Y682" s="493"/>
      <c r="Z682" s="456"/>
      <c r="AA682" s="493"/>
      <c r="AB682" s="456"/>
      <c r="AC682" s="493"/>
      <c r="AD682" s="456"/>
      <c r="AE682" s="493"/>
      <c r="AF682" s="449">
        <f t="shared" si="219"/>
        <v>0</v>
      </c>
      <c r="AG682" s="450">
        <f t="shared" si="220"/>
        <v>0</v>
      </c>
      <c r="AH682" s="451">
        <f t="shared" si="221"/>
        <v>0</v>
      </c>
      <c r="AI682" s="451">
        <f t="shared" si="222"/>
        <v>0</v>
      </c>
      <c r="AJ682" s="456"/>
      <c r="AK682" s="493"/>
      <c r="AL682" s="449">
        <f t="shared" si="223"/>
        <v>0</v>
      </c>
      <c r="AM682" s="452">
        <f t="shared" si="224"/>
        <v>0</v>
      </c>
      <c r="AN682" s="456"/>
      <c r="AO682" s="493"/>
      <c r="AP682" s="456"/>
      <c r="AQ682" s="493"/>
      <c r="AR682" s="456"/>
      <c r="AS682" s="493"/>
      <c r="AT682" s="456"/>
      <c r="AU682" s="493"/>
      <c r="AV682" s="449">
        <f t="shared" si="225"/>
        <v>0</v>
      </c>
      <c r="AW682" s="453">
        <f t="shared" si="226"/>
        <v>0</v>
      </c>
      <c r="AX682" s="451">
        <f t="shared" si="227"/>
        <v>0</v>
      </c>
      <c r="AY682" s="454">
        <f t="shared" si="228"/>
        <v>0</v>
      </c>
      <c r="AZ682" s="455">
        <f t="shared" si="229"/>
        <v>1398.7633333333331</v>
      </c>
      <c r="BA682" s="451">
        <f t="shared" si="230"/>
        <v>1316.1200000000001</v>
      </c>
    </row>
    <row r="683" spans="1:53">
      <c r="D683" s="155"/>
      <c r="E683" s="155"/>
      <c r="F683" s="155"/>
      <c r="G683" s="155"/>
      <c r="H683" s="155"/>
      <c r="I683" s="155"/>
      <c r="J683" s="155"/>
      <c r="K683" s="155"/>
      <c r="L683" s="155"/>
      <c r="M683" s="155"/>
      <c r="N683" s="155"/>
      <c r="O683" s="155"/>
      <c r="P683" s="155"/>
      <c r="Q683" s="155"/>
      <c r="R683" s="155"/>
      <c r="S683" s="155"/>
      <c r="T683" s="155"/>
      <c r="U683" s="155"/>
      <c r="V683" s="155"/>
      <c r="W683" s="155"/>
      <c r="X683" s="155"/>
      <c r="Y683" s="155"/>
      <c r="Z683" s="155"/>
      <c r="AA683" s="155"/>
      <c r="AB683" s="155"/>
      <c r="AC683" s="155"/>
      <c r="AD683" s="155"/>
      <c r="AE683" s="155"/>
      <c r="AF683" s="155"/>
      <c r="AG683" s="155"/>
      <c r="AH683" s="155"/>
      <c r="AI683" s="155"/>
      <c r="AJ683" s="155"/>
      <c r="AK683" s="155"/>
      <c r="AL683" s="155"/>
      <c r="AM683" s="155"/>
      <c r="AN683" s="155"/>
      <c r="AO683" s="155"/>
      <c r="AP683" s="155"/>
      <c r="AQ683" s="155"/>
      <c r="AR683" s="155"/>
      <c r="AS683" s="155"/>
      <c r="AT683" s="155"/>
      <c r="AU683" s="155"/>
      <c r="AV683" s="155"/>
      <c r="AW683" s="155"/>
      <c r="AX683" s="155"/>
    </row>
    <row r="684" spans="1:53">
      <c r="D684" s="155"/>
      <c r="E684" s="155"/>
      <c r="F684" s="155"/>
      <c r="G684" s="155"/>
      <c r="H684" s="155"/>
      <c r="I684" s="155"/>
      <c r="J684" s="155"/>
      <c r="K684" s="155"/>
      <c r="L684" s="155"/>
      <c r="M684" s="155"/>
      <c r="N684" s="155"/>
      <c r="O684" s="155"/>
      <c r="P684" s="155"/>
      <c r="Q684" s="155"/>
      <c r="R684" s="155"/>
      <c r="S684" s="155"/>
      <c r="T684" s="155"/>
      <c r="U684" s="155"/>
      <c r="V684" s="155"/>
      <c r="W684" s="155"/>
      <c r="X684" s="155"/>
      <c r="Y684" s="155"/>
      <c r="Z684" s="155"/>
      <c r="AA684" s="155"/>
      <c r="AB684" s="155"/>
      <c r="AC684" s="155"/>
      <c r="AD684" s="155"/>
      <c r="AE684" s="155"/>
      <c r="AF684" s="155"/>
      <c r="AG684" s="155"/>
      <c r="AH684" s="155"/>
      <c r="AI684" s="155"/>
      <c r="AJ684" s="155"/>
      <c r="AK684" s="155"/>
      <c r="AL684" s="155"/>
      <c r="AM684" s="155"/>
      <c r="AN684" s="155"/>
      <c r="AO684" s="155"/>
      <c r="AP684" s="155"/>
      <c r="AQ684" s="155"/>
      <c r="AR684" s="155"/>
      <c r="AS684" s="155"/>
      <c r="AT684" s="155"/>
      <c r="AU684" s="155"/>
      <c r="AV684" s="155"/>
      <c r="AW684" s="155"/>
      <c r="AX684" s="155"/>
    </row>
    <row r="685" spans="1:53">
      <c r="D685" s="155"/>
      <c r="E685" s="155"/>
      <c r="F685" s="155"/>
      <c r="G685" s="155"/>
      <c r="H685" s="155"/>
      <c r="I685" s="155"/>
      <c r="J685" s="155"/>
      <c r="K685" s="155"/>
      <c r="L685" s="155"/>
      <c r="M685" s="155"/>
      <c r="N685" s="155"/>
      <c r="O685" s="155"/>
      <c r="P685" s="155"/>
      <c r="Q685" s="155"/>
      <c r="R685" s="155"/>
      <c r="S685" s="155"/>
      <c r="T685" s="155"/>
      <c r="U685" s="155"/>
      <c r="V685" s="155"/>
      <c r="W685" s="155"/>
      <c r="X685" s="155"/>
      <c r="Y685" s="155"/>
      <c r="Z685" s="155"/>
      <c r="AA685" s="155"/>
      <c r="AB685" s="155"/>
      <c r="AC685" s="155"/>
      <c r="AD685" s="155"/>
      <c r="AE685" s="155"/>
      <c r="AF685" s="155"/>
      <c r="AG685" s="155"/>
      <c r="AH685" s="155"/>
      <c r="AI685" s="155"/>
      <c r="AJ685" s="155"/>
      <c r="AK685" s="155"/>
      <c r="AL685" s="155"/>
      <c r="AM685" s="155"/>
      <c r="AN685" s="155"/>
      <c r="AO685" s="155"/>
      <c r="AP685" s="155"/>
      <c r="AQ685" s="155"/>
      <c r="AR685" s="155"/>
      <c r="AS685" s="155"/>
      <c r="AT685" s="155"/>
      <c r="AU685" s="155"/>
      <c r="AV685" s="155"/>
      <c r="AW685" s="155"/>
      <c r="AX685" s="155"/>
    </row>
    <row r="686" spans="1:53">
      <c r="D686" s="155"/>
      <c r="E686" s="155"/>
      <c r="F686" s="155"/>
      <c r="G686" s="155"/>
      <c r="H686" s="155"/>
      <c r="I686" s="155"/>
      <c r="J686" s="155"/>
      <c r="K686" s="155"/>
      <c r="L686" s="155"/>
      <c r="M686" s="155"/>
      <c r="N686" s="155"/>
      <c r="O686" s="155"/>
      <c r="P686" s="155"/>
      <c r="Q686" s="155"/>
      <c r="R686" s="155"/>
      <c r="S686" s="155"/>
      <c r="T686" s="155"/>
      <c r="U686" s="155"/>
      <c r="V686" s="155"/>
      <c r="W686" s="155"/>
      <c r="X686" s="155"/>
      <c r="Y686" s="155"/>
      <c r="Z686" s="155"/>
      <c r="AA686" s="155"/>
      <c r="AB686" s="155"/>
      <c r="AC686" s="155"/>
      <c r="AD686" s="155"/>
      <c r="AE686" s="155"/>
      <c r="AF686" s="155"/>
      <c r="AG686" s="155"/>
      <c r="AH686" s="155"/>
      <c r="AI686" s="155"/>
      <c r="AJ686" s="155"/>
      <c r="AK686" s="155"/>
      <c r="AL686" s="155"/>
      <c r="AM686" s="155"/>
      <c r="AN686" s="155"/>
      <c r="AO686" s="155"/>
      <c r="AP686" s="155"/>
      <c r="AQ686" s="155"/>
      <c r="AR686" s="155"/>
      <c r="AS686" s="155"/>
      <c r="AT686" s="155"/>
      <c r="AU686" s="155"/>
      <c r="AV686" s="155"/>
      <c r="AW686" s="155"/>
      <c r="AX686" s="155"/>
    </row>
    <row r="687" spans="1:53">
      <c r="D687" s="155"/>
      <c r="E687" s="155"/>
      <c r="F687" s="155"/>
      <c r="G687" s="155"/>
      <c r="H687" s="155"/>
      <c r="I687" s="155"/>
      <c r="J687" s="155"/>
      <c r="K687" s="155"/>
      <c r="L687" s="155"/>
      <c r="M687" s="155"/>
      <c r="N687" s="155"/>
      <c r="O687" s="155"/>
      <c r="P687" s="155"/>
      <c r="Q687" s="155"/>
      <c r="R687" s="155"/>
      <c r="S687" s="155"/>
      <c r="T687" s="155"/>
      <c r="U687" s="155"/>
      <c r="V687" s="155"/>
      <c r="W687" s="155"/>
      <c r="X687" s="155"/>
      <c r="Y687" s="155"/>
      <c r="Z687" s="155"/>
      <c r="AA687" s="155"/>
      <c r="AB687" s="155"/>
      <c r="AC687" s="155"/>
      <c r="AD687" s="155"/>
      <c r="AE687" s="155"/>
      <c r="AF687" s="155"/>
      <c r="AG687" s="155"/>
      <c r="AH687" s="155"/>
      <c r="AI687" s="155"/>
      <c r="AJ687" s="155"/>
      <c r="AK687" s="155"/>
      <c r="AL687" s="155"/>
      <c r="AM687" s="155"/>
      <c r="AN687" s="155"/>
      <c r="AO687" s="155"/>
      <c r="AP687" s="155"/>
      <c r="AQ687" s="155"/>
      <c r="AR687" s="155"/>
      <c r="AS687" s="155"/>
      <c r="AT687" s="155"/>
      <c r="AU687" s="155"/>
      <c r="AV687" s="155"/>
      <c r="AW687" s="155"/>
      <c r="AX687" s="155"/>
    </row>
    <row r="688" spans="1:53">
      <c r="D688" s="155"/>
      <c r="E688" s="155"/>
      <c r="F688" s="155"/>
      <c r="G688" s="155"/>
      <c r="H688" s="155"/>
      <c r="I688" s="155"/>
      <c r="J688" s="155"/>
      <c r="K688" s="155"/>
      <c r="L688" s="155"/>
      <c r="M688" s="155"/>
      <c r="N688" s="155"/>
      <c r="O688" s="155"/>
      <c r="P688" s="155"/>
      <c r="Q688" s="155"/>
      <c r="R688" s="155"/>
      <c r="S688" s="155"/>
      <c r="T688" s="155"/>
      <c r="U688" s="155"/>
      <c r="V688" s="155"/>
      <c r="W688" s="155"/>
      <c r="X688" s="155"/>
      <c r="Y688" s="155"/>
      <c r="Z688" s="155"/>
      <c r="AA688" s="155"/>
      <c r="AB688" s="155"/>
      <c r="AC688" s="155"/>
      <c r="AD688" s="155"/>
      <c r="AE688" s="155"/>
      <c r="AF688" s="155"/>
      <c r="AG688" s="155"/>
      <c r="AH688" s="155"/>
      <c r="AI688" s="155"/>
      <c r="AJ688" s="155"/>
      <c r="AK688" s="155"/>
      <c r="AL688" s="155"/>
      <c r="AM688" s="155"/>
      <c r="AN688" s="155"/>
      <c r="AO688" s="155"/>
      <c r="AP688" s="155"/>
      <c r="AQ688" s="155"/>
      <c r="AR688" s="155"/>
      <c r="AS688" s="155"/>
      <c r="AT688" s="155"/>
      <c r="AU688" s="155"/>
      <c r="AV688" s="155"/>
      <c r="AW688" s="155"/>
      <c r="AX688" s="155"/>
    </row>
    <row r="689" spans="4:50">
      <c r="D689" s="155"/>
      <c r="E689" s="155"/>
      <c r="F689" s="155"/>
      <c r="G689" s="155"/>
      <c r="H689" s="155"/>
      <c r="I689" s="155"/>
      <c r="J689" s="155"/>
      <c r="K689" s="155"/>
      <c r="L689" s="155"/>
      <c r="M689" s="155"/>
      <c r="N689" s="155"/>
      <c r="O689" s="155"/>
      <c r="P689" s="155"/>
      <c r="Q689" s="155"/>
      <c r="R689" s="155"/>
      <c r="S689" s="155"/>
      <c r="T689" s="155"/>
      <c r="U689" s="155"/>
      <c r="V689" s="155"/>
      <c r="W689" s="155"/>
      <c r="X689" s="155"/>
      <c r="Y689" s="155"/>
      <c r="Z689" s="155"/>
      <c r="AA689" s="155"/>
      <c r="AB689" s="155"/>
      <c r="AC689" s="155"/>
      <c r="AD689" s="155"/>
      <c r="AE689" s="155"/>
      <c r="AF689" s="155"/>
      <c r="AG689" s="155"/>
      <c r="AH689" s="155"/>
      <c r="AI689" s="155"/>
      <c r="AJ689" s="155"/>
      <c r="AK689" s="155"/>
      <c r="AL689" s="155"/>
      <c r="AM689" s="155"/>
      <c r="AN689" s="155"/>
      <c r="AO689" s="155"/>
      <c r="AP689" s="155"/>
      <c r="AQ689" s="155"/>
      <c r="AR689" s="155"/>
      <c r="AS689" s="155"/>
      <c r="AT689" s="155"/>
      <c r="AU689" s="155"/>
      <c r="AV689" s="155"/>
      <c r="AW689" s="155"/>
      <c r="AX689" s="155"/>
    </row>
    <row r="690" spans="4:50">
      <c r="D690" s="155"/>
      <c r="E690" s="155"/>
      <c r="F690" s="155"/>
      <c r="G690" s="155"/>
      <c r="H690" s="155"/>
      <c r="I690" s="155"/>
      <c r="J690" s="155"/>
      <c r="K690" s="155"/>
      <c r="L690" s="155"/>
      <c r="M690" s="155"/>
      <c r="N690" s="155"/>
      <c r="O690" s="155"/>
      <c r="P690" s="155"/>
      <c r="Q690" s="155"/>
      <c r="R690" s="155"/>
      <c r="S690" s="155"/>
      <c r="T690" s="155"/>
      <c r="U690" s="155"/>
      <c r="V690" s="155"/>
      <c r="W690" s="155"/>
      <c r="X690" s="155"/>
      <c r="Y690" s="155"/>
      <c r="Z690" s="155"/>
      <c r="AA690" s="155"/>
      <c r="AB690" s="155"/>
      <c r="AC690" s="155"/>
      <c r="AD690" s="155"/>
      <c r="AE690" s="155"/>
      <c r="AF690" s="155"/>
      <c r="AG690" s="155"/>
      <c r="AH690" s="155"/>
      <c r="AI690" s="155"/>
      <c r="AJ690" s="155"/>
      <c r="AK690" s="155"/>
      <c r="AL690" s="155"/>
      <c r="AM690" s="155"/>
      <c r="AN690" s="155"/>
      <c r="AO690" s="155"/>
      <c r="AP690" s="155"/>
      <c r="AQ690" s="155"/>
      <c r="AR690" s="155"/>
      <c r="AS690" s="155"/>
      <c r="AT690" s="155"/>
      <c r="AU690" s="155"/>
      <c r="AV690" s="155"/>
      <c r="AW690" s="155"/>
      <c r="AX690" s="155"/>
    </row>
    <row r="691" spans="4:50">
      <c r="D691" s="155"/>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55"/>
      <c r="AA691" s="155"/>
      <c r="AB691" s="155"/>
      <c r="AC691" s="155"/>
      <c r="AD691" s="155"/>
      <c r="AE691" s="155"/>
      <c r="AF691" s="155"/>
      <c r="AG691" s="155"/>
      <c r="AH691" s="155"/>
      <c r="AI691" s="155"/>
      <c r="AJ691" s="155"/>
      <c r="AK691" s="155"/>
      <c r="AL691" s="155"/>
      <c r="AM691" s="155"/>
      <c r="AN691" s="155"/>
      <c r="AO691" s="155"/>
      <c r="AP691" s="155"/>
      <c r="AQ691" s="155"/>
      <c r="AR691" s="155"/>
      <c r="AS691" s="155"/>
      <c r="AT691" s="155"/>
      <c r="AU691" s="155"/>
      <c r="AV691" s="155"/>
      <c r="AW691" s="155"/>
      <c r="AX691" s="155"/>
    </row>
    <row r="692" spans="4:50">
      <c r="D692" s="155"/>
      <c r="E692" s="155"/>
      <c r="F692" s="155"/>
      <c r="G692" s="155"/>
      <c r="H692" s="155"/>
      <c r="I692" s="155"/>
      <c r="J692" s="155"/>
      <c r="K692" s="155"/>
      <c r="L692" s="155"/>
      <c r="M692" s="155"/>
      <c r="N692" s="155"/>
      <c r="O692" s="155"/>
      <c r="P692" s="155"/>
      <c r="Q692" s="155"/>
      <c r="R692" s="155"/>
      <c r="S692" s="155"/>
      <c r="T692" s="155"/>
      <c r="U692" s="155"/>
      <c r="V692" s="155"/>
      <c r="W692" s="155"/>
      <c r="X692" s="155"/>
      <c r="Y692" s="155"/>
      <c r="Z692" s="155"/>
      <c r="AA692" s="155"/>
      <c r="AB692" s="155"/>
      <c r="AC692" s="155"/>
      <c r="AD692" s="155"/>
      <c r="AE692" s="155"/>
      <c r="AF692" s="155"/>
      <c r="AG692" s="155"/>
      <c r="AH692" s="155"/>
      <c r="AI692" s="155"/>
      <c r="AJ692" s="155"/>
      <c r="AK692" s="155"/>
      <c r="AL692" s="155"/>
      <c r="AM692" s="155"/>
      <c r="AN692" s="155"/>
      <c r="AO692" s="155"/>
      <c r="AP692" s="155"/>
      <c r="AQ692" s="155"/>
      <c r="AR692" s="155"/>
      <c r="AS692" s="155"/>
      <c r="AT692" s="155"/>
      <c r="AU692" s="155"/>
      <c r="AV692" s="155"/>
      <c r="AW692" s="155"/>
      <c r="AX692" s="155"/>
    </row>
    <row r="693" spans="4:50">
      <c r="D693" s="155"/>
      <c r="E693" s="155"/>
      <c r="F693" s="155"/>
      <c r="G693" s="155"/>
      <c r="H693" s="155"/>
      <c r="I693" s="155"/>
      <c r="J693" s="155"/>
      <c r="K693" s="155"/>
      <c r="L693" s="155"/>
      <c r="M693" s="155"/>
      <c r="N693" s="155"/>
      <c r="O693" s="155"/>
      <c r="P693" s="155"/>
      <c r="Q693" s="155"/>
      <c r="R693" s="155"/>
      <c r="S693" s="155"/>
      <c r="T693" s="155"/>
      <c r="U693" s="155"/>
      <c r="V693" s="155"/>
      <c r="W693" s="155"/>
      <c r="X693" s="155"/>
      <c r="Y693" s="155"/>
      <c r="Z693" s="155"/>
      <c r="AA693" s="155"/>
      <c r="AB693" s="155"/>
      <c r="AC693" s="155"/>
      <c r="AD693" s="155"/>
      <c r="AE693" s="155"/>
      <c r="AF693" s="155"/>
      <c r="AG693" s="155"/>
      <c r="AH693" s="155"/>
      <c r="AI693" s="155"/>
      <c r="AJ693" s="155"/>
      <c r="AK693" s="155"/>
      <c r="AL693" s="155"/>
      <c r="AM693" s="155"/>
      <c r="AN693" s="155"/>
      <c r="AO693" s="155"/>
      <c r="AP693" s="155"/>
      <c r="AQ693" s="155"/>
      <c r="AR693" s="155"/>
      <c r="AS693" s="155"/>
      <c r="AT693" s="155"/>
      <c r="AU693" s="155"/>
      <c r="AV693" s="155"/>
      <c r="AW693" s="155"/>
      <c r="AX693" s="155"/>
    </row>
    <row r="694" spans="4:50">
      <c r="D694" s="155"/>
      <c r="E694" s="155"/>
      <c r="F694" s="155"/>
      <c r="G694" s="155"/>
      <c r="H694" s="155"/>
      <c r="I694" s="155"/>
      <c r="J694" s="155"/>
      <c r="K694" s="155"/>
      <c r="L694" s="155"/>
      <c r="M694" s="155"/>
      <c r="N694" s="155"/>
      <c r="O694" s="155"/>
      <c r="P694" s="155"/>
      <c r="Q694" s="155"/>
      <c r="R694" s="155"/>
      <c r="S694" s="155"/>
      <c r="T694" s="155"/>
      <c r="U694" s="155"/>
      <c r="V694" s="155"/>
      <c r="W694" s="155"/>
      <c r="X694" s="155"/>
      <c r="Y694" s="155"/>
      <c r="Z694" s="155"/>
      <c r="AA694" s="155"/>
      <c r="AB694" s="155"/>
      <c r="AC694" s="155"/>
      <c r="AD694" s="155"/>
      <c r="AE694" s="155"/>
      <c r="AF694" s="155"/>
      <c r="AG694" s="155"/>
      <c r="AH694" s="155"/>
      <c r="AI694" s="155"/>
      <c r="AJ694" s="155"/>
      <c r="AK694" s="155"/>
      <c r="AL694" s="155"/>
      <c r="AM694" s="155"/>
      <c r="AN694" s="155"/>
      <c r="AO694" s="155"/>
      <c r="AP694" s="155"/>
      <c r="AQ694" s="155"/>
      <c r="AR694" s="155"/>
      <c r="AS694" s="155"/>
      <c r="AT694" s="155"/>
      <c r="AU694" s="155"/>
      <c r="AV694" s="155"/>
      <c r="AW694" s="155"/>
      <c r="AX694" s="155"/>
    </row>
    <row r="695" spans="4:50">
      <c r="D695" s="155"/>
      <c r="E695" s="155"/>
      <c r="F695" s="155"/>
      <c r="G695" s="155"/>
      <c r="H695" s="155"/>
      <c r="I695" s="155"/>
      <c r="J695" s="155"/>
      <c r="K695" s="155"/>
      <c r="L695" s="155"/>
      <c r="M695" s="155"/>
      <c r="N695" s="155"/>
      <c r="O695" s="155"/>
      <c r="P695" s="155"/>
      <c r="Q695" s="155"/>
      <c r="R695" s="155"/>
      <c r="S695" s="155"/>
      <c r="T695" s="155"/>
      <c r="U695" s="155"/>
      <c r="V695" s="155"/>
      <c r="W695" s="155"/>
      <c r="X695" s="155"/>
      <c r="Y695" s="155"/>
      <c r="Z695" s="155"/>
      <c r="AA695" s="155"/>
      <c r="AB695" s="155"/>
      <c r="AC695" s="155"/>
      <c r="AD695" s="155"/>
      <c r="AE695" s="155"/>
      <c r="AF695" s="155"/>
      <c r="AG695" s="155"/>
      <c r="AH695" s="155"/>
      <c r="AI695" s="155"/>
      <c r="AJ695" s="155"/>
      <c r="AK695" s="155"/>
      <c r="AL695" s="155"/>
      <c r="AM695" s="155"/>
      <c r="AN695" s="155"/>
      <c r="AO695" s="155"/>
      <c r="AP695" s="155"/>
      <c r="AQ695" s="155"/>
      <c r="AR695" s="155"/>
      <c r="AS695" s="155"/>
      <c r="AT695" s="155"/>
      <c r="AU695" s="155"/>
      <c r="AV695" s="155"/>
      <c r="AW695" s="155"/>
      <c r="AX695" s="155"/>
    </row>
    <row r="696" spans="4:50">
      <c r="D696" s="155"/>
      <c r="E696" s="155"/>
      <c r="F696" s="155"/>
      <c r="G696" s="155"/>
      <c r="H696" s="155"/>
      <c r="I696" s="155"/>
      <c r="J696" s="155"/>
      <c r="K696" s="155"/>
      <c r="L696" s="155"/>
      <c r="M696" s="155"/>
      <c r="N696" s="155"/>
      <c r="O696" s="155"/>
      <c r="P696" s="155"/>
      <c r="Q696" s="155"/>
      <c r="R696" s="155"/>
      <c r="S696" s="155"/>
      <c r="T696" s="155"/>
      <c r="U696" s="155"/>
      <c r="V696" s="155"/>
      <c r="W696" s="155"/>
      <c r="X696" s="155"/>
      <c r="Y696" s="155"/>
      <c r="Z696" s="155"/>
      <c r="AA696" s="155"/>
      <c r="AB696" s="155"/>
      <c r="AC696" s="155"/>
      <c r="AD696" s="155"/>
      <c r="AE696" s="155"/>
      <c r="AF696" s="155"/>
      <c r="AG696" s="155"/>
      <c r="AH696" s="155"/>
      <c r="AI696" s="155"/>
      <c r="AJ696" s="155"/>
      <c r="AK696" s="155"/>
      <c r="AL696" s="155"/>
      <c r="AM696" s="155"/>
      <c r="AN696" s="155"/>
      <c r="AO696" s="155"/>
      <c r="AP696" s="155"/>
      <c r="AQ696" s="155"/>
      <c r="AR696" s="155"/>
      <c r="AS696" s="155"/>
      <c r="AT696" s="155"/>
      <c r="AU696" s="155"/>
      <c r="AV696" s="155"/>
      <c r="AW696" s="155"/>
      <c r="AX696" s="155"/>
    </row>
    <row r="697" spans="4:50">
      <c r="D697" s="155"/>
      <c r="E697" s="155"/>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5"/>
    </row>
    <row r="698" spans="4:50">
      <c r="D698" s="155"/>
      <c r="E698" s="155"/>
      <c r="F698" s="155"/>
      <c r="G698" s="155"/>
      <c r="H698" s="155"/>
      <c r="I698" s="155"/>
      <c r="J698" s="155"/>
      <c r="K698" s="155"/>
      <c r="L698" s="155"/>
      <c r="M698" s="155"/>
      <c r="N698" s="155"/>
      <c r="O698" s="155"/>
      <c r="P698" s="155"/>
      <c r="Q698" s="155"/>
      <c r="R698" s="155"/>
      <c r="S698" s="155"/>
      <c r="T698" s="155"/>
      <c r="U698" s="155"/>
      <c r="V698" s="155"/>
      <c r="W698" s="155"/>
      <c r="X698" s="155"/>
      <c r="Y698" s="155"/>
      <c r="Z698" s="155"/>
      <c r="AA698" s="155"/>
      <c r="AB698" s="155"/>
      <c r="AC698" s="155"/>
      <c r="AD698" s="155"/>
      <c r="AE698" s="155"/>
      <c r="AF698" s="155"/>
      <c r="AG698" s="155"/>
      <c r="AH698" s="155"/>
      <c r="AI698" s="155"/>
      <c r="AJ698" s="155"/>
      <c r="AK698" s="155"/>
      <c r="AL698" s="155"/>
      <c r="AM698" s="155"/>
      <c r="AN698" s="155"/>
      <c r="AO698" s="155"/>
      <c r="AP698" s="155"/>
      <c r="AQ698" s="155"/>
      <c r="AR698" s="155"/>
      <c r="AS698" s="155"/>
      <c r="AT698" s="155"/>
      <c r="AU698" s="155"/>
      <c r="AV698" s="155"/>
      <c r="AW698" s="155"/>
      <c r="AX698" s="155"/>
    </row>
    <row r="699" spans="4:50">
      <c r="D699" s="155"/>
      <c r="E699" s="155"/>
      <c r="F699" s="155"/>
      <c r="G699" s="155"/>
      <c r="H699" s="155"/>
      <c r="I699" s="155"/>
      <c r="J699" s="155"/>
      <c r="K699" s="155"/>
      <c r="L699" s="155"/>
      <c r="M699" s="155"/>
      <c r="N699" s="155"/>
      <c r="O699" s="155"/>
      <c r="P699" s="155"/>
      <c r="Q699" s="155"/>
      <c r="R699" s="155"/>
      <c r="S699" s="155"/>
      <c r="T699" s="155"/>
      <c r="U699" s="155"/>
      <c r="V699" s="155"/>
      <c r="W699" s="155"/>
      <c r="X699" s="155"/>
      <c r="Y699" s="155"/>
      <c r="Z699" s="155"/>
      <c r="AA699" s="155"/>
      <c r="AB699" s="155"/>
      <c r="AC699" s="155"/>
      <c r="AD699" s="155"/>
      <c r="AE699" s="155"/>
      <c r="AF699" s="155"/>
      <c r="AG699" s="155"/>
      <c r="AH699" s="155"/>
      <c r="AI699" s="155"/>
      <c r="AJ699" s="155"/>
      <c r="AK699" s="155"/>
      <c r="AL699" s="155"/>
      <c r="AM699" s="155"/>
      <c r="AN699" s="155"/>
      <c r="AO699" s="155"/>
      <c r="AP699" s="155"/>
      <c r="AQ699" s="155"/>
      <c r="AR699" s="155"/>
      <c r="AS699" s="155"/>
      <c r="AT699" s="155"/>
      <c r="AU699" s="155"/>
      <c r="AV699" s="155"/>
      <c r="AW699" s="155"/>
      <c r="AX699" s="155"/>
    </row>
    <row r="700" spans="4:50">
      <c r="D700" s="155"/>
      <c r="E700" s="155"/>
      <c r="F700" s="155"/>
      <c r="G700" s="155"/>
      <c r="H700" s="155"/>
      <c r="I700" s="155"/>
      <c r="J700" s="155"/>
      <c r="K700" s="155"/>
      <c r="L700" s="155"/>
      <c r="M700" s="155"/>
      <c r="N700" s="155"/>
      <c r="O700" s="155"/>
      <c r="P700" s="155"/>
      <c r="Q700" s="155"/>
      <c r="R700" s="155"/>
      <c r="S700" s="155"/>
      <c r="T700" s="155"/>
      <c r="U700" s="155"/>
      <c r="V700" s="155"/>
      <c r="W700" s="155"/>
      <c r="X700" s="155"/>
      <c r="Y700" s="155"/>
      <c r="Z700" s="155"/>
      <c r="AA700" s="155"/>
      <c r="AB700" s="155"/>
      <c r="AC700" s="155"/>
      <c r="AD700" s="155"/>
      <c r="AE700" s="155"/>
      <c r="AF700" s="155"/>
      <c r="AG700" s="155"/>
      <c r="AH700" s="155"/>
      <c r="AI700" s="155"/>
      <c r="AJ700" s="155"/>
      <c r="AK700" s="155"/>
      <c r="AL700" s="155"/>
      <c r="AM700" s="155"/>
      <c r="AN700" s="155"/>
      <c r="AO700" s="155"/>
      <c r="AP700" s="155"/>
      <c r="AQ700" s="155"/>
      <c r="AR700" s="155"/>
      <c r="AS700" s="155"/>
      <c r="AT700" s="155"/>
      <c r="AU700" s="155"/>
      <c r="AV700" s="155"/>
      <c r="AW700" s="155"/>
      <c r="AX700" s="155"/>
    </row>
    <row r="701" spans="4:50">
      <c r="D701" s="155"/>
      <c r="E701" s="155"/>
      <c r="F701" s="155"/>
      <c r="G701" s="155"/>
      <c r="H701" s="155"/>
      <c r="I701" s="155"/>
      <c r="J701" s="155"/>
      <c r="K701" s="155"/>
      <c r="L701" s="155"/>
      <c r="M701" s="155"/>
      <c r="N701" s="155"/>
      <c r="O701" s="155"/>
      <c r="P701" s="155"/>
      <c r="Q701" s="155"/>
      <c r="R701" s="155"/>
      <c r="S701" s="155"/>
      <c r="T701" s="155"/>
      <c r="U701" s="155"/>
      <c r="V701" s="155"/>
      <c r="W701" s="155"/>
      <c r="X701" s="155"/>
      <c r="Y701" s="155"/>
      <c r="Z701" s="155"/>
      <c r="AA701" s="155"/>
      <c r="AB701" s="155"/>
      <c r="AC701" s="155"/>
      <c r="AD701" s="155"/>
      <c r="AE701" s="155"/>
      <c r="AF701" s="155"/>
      <c r="AG701" s="155"/>
      <c r="AH701" s="155"/>
      <c r="AI701" s="155"/>
      <c r="AJ701" s="155"/>
      <c r="AK701" s="155"/>
      <c r="AL701" s="155"/>
      <c r="AM701" s="155"/>
      <c r="AN701" s="155"/>
      <c r="AO701" s="155"/>
      <c r="AP701" s="155"/>
      <c r="AQ701" s="155"/>
      <c r="AR701" s="155"/>
      <c r="AS701" s="155"/>
      <c r="AT701" s="155"/>
      <c r="AU701" s="155"/>
      <c r="AV701" s="155"/>
      <c r="AW701" s="155"/>
      <c r="AX701" s="155"/>
    </row>
    <row r="702" spans="4:50">
      <c r="D702" s="155"/>
      <c r="E702" s="155"/>
      <c r="F702" s="155"/>
      <c r="G702" s="155"/>
      <c r="H702" s="155"/>
      <c r="I702" s="155"/>
      <c r="J702" s="155"/>
      <c r="K702" s="155"/>
      <c r="L702" s="155"/>
      <c r="M702" s="155"/>
      <c r="N702" s="155"/>
      <c r="O702" s="155"/>
      <c r="P702" s="155"/>
      <c r="Q702" s="155"/>
      <c r="R702" s="155"/>
      <c r="S702" s="155"/>
      <c r="T702" s="155"/>
      <c r="U702" s="155"/>
      <c r="V702" s="155"/>
      <c r="W702" s="155"/>
      <c r="X702" s="155"/>
      <c r="Y702" s="155"/>
      <c r="Z702" s="155"/>
      <c r="AA702" s="155"/>
      <c r="AB702" s="155"/>
      <c r="AC702" s="155"/>
      <c r="AD702" s="155"/>
      <c r="AE702" s="155"/>
      <c r="AF702" s="155"/>
      <c r="AG702" s="155"/>
      <c r="AH702" s="155"/>
      <c r="AI702" s="155"/>
      <c r="AJ702" s="155"/>
      <c r="AK702" s="155"/>
      <c r="AL702" s="155"/>
      <c r="AM702" s="155"/>
      <c r="AN702" s="155"/>
      <c r="AO702" s="155"/>
      <c r="AP702" s="155"/>
      <c r="AQ702" s="155"/>
      <c r="AR702" s="155"/>
      <c r="AS702" s="155"/>
      <c r="AT702" s="155"/>
      <c r="AU702" s="155"/>
      <c r="AV702" s="155"/>
      <c r="AW702" s="155"/>
      <c r="AX702" s="155"/>
    </row>
    <row r="703" spans="4:50">
      <c r="D703" s="155"/>
      <c r="E703" s="155"/>
      <c r="F703" s="155"/>
      <c r="G703" s="155"/>
      <c r="H703" s="155"/>
      <c r="I703" s="155"/>
      <c r="J703" s="155"/>
      <c r="K703" s="155"/>
      <c r="L703" s="155"/>
      <c r="M703" s="155"/>
      <c r="N703" s="155"/>
      <c r="O703" s="155"/>
      <c r="P703" s="155"/>
      <c r="Q703" s="155"/>
      <c r="R703" s="155"/>
      <c r="S703" s="155"/>
      <c r="T703" s="155"/>
      <c r="U703" s="155"/>
      <c r="V703" s="155"/>
      <c r="W703" s="155"/>
      <c r="X703" s="155"/>
      <c r="Y703" s="155"/>
      <c r="Z703" s="155"/>
      <c r="AA703" s="155"/>
      <c r="AB703" s="155"/>
      <c r="AC703" s="155"/>
      <c r="AD703" s="155"/>
      <c r="AE703" s="155"/>
      <c r="AF703" s="155"/>
      <c r="AG703" s="155"/>
      <c r="AH703" s="155"/>
      <c r="AI703" s="155"/>
      <c r="AJ703" s="155"/>
      <c r="AK703" s="155"/>
      <c r="AL703" s="155"/>
      <c r="AM703" s="155"/>
      <c r="AN703" s="155"/>
      <c r="AO703" s="155"/>
      <c r="AP703" s="155"/>
      <c r="AQ703" s="155"/>
      <c r="AR703" s="155"/>
      <c r="AS703" s="155"/>
      <c r="AT703" s="155"/>
      <c r="AU703" s="155"/>
      <c r="AV703" s="155"/>
      <c r="AW703" s="155"/>
      <c r="AX703" s="155"/>
    </row>
    <row r="704" spans="4:50">
      <c r="D704" s="155"/>
      <c r="E704" s="155"/>
      <c r="F704" s="155"/>
      <c r="G704" s="155"/>
      <c r="H704" s="155"/>
      <c r="I704" s="155"/>
      <c r="J704" s="155"/>
      <c r="K704" s="155"/>
      <c r="L704" s="155"/>
      <c r="M704" s="155"/>
      <c r="N704" s="155"/>
      <c r="O704" s="155"/>
      <c r="P704" s="155"/>
      <c r="Q704" s="155"/>
      <c r="R704" s="155"/>
      <c r="S704" s="155"/>
      <c r="T704" s="155"/>
      <c r="U704" s="155"/>
      <c r="V704" s="155"/>
      <c r="W704" s="155"/>
      <c r="X704" s="155"/>
      <c r="Y704" s="155"/>
      <c r="Z704" s="155"/>
      <c r="AA704" s="155"/>
      <c r="AB704" s="155"/>
      <c r="AC704" s="155"/>
      <c r="AD704" s="155"/>
      <c r="AE704" s="155"/>
      <c r="AF704" s="155"/>
      <c r="AG704" s="155"/>
      <c r="AH704" s="155"/>
      <c r="AI704" s="155"/>
      <c r="AJ704" s="155"/>
      <c r="AK704" s="155"/>
      <c r="AL704" s="155"/>
      <c r="AM704" s="155"/>
      <c r="AN704" s="155"/>
      <c r="AO704" s="155"/>
      <c r="AP704" s="155"/>
      <c r="AQ704" s="155"/>
      <c r="AR704" s="155"/>
      <c r="AS704" s="155"/>
      <c r="AT704" s="155"/>
      <c r="AU704" s="155"/>
      <c r="AV704" s="155"/>
      <c r="AW704" s="155"/>
      <c r="AX704" s="155"/>
    </row>
    <row r="705" spans="4:50">
      <c r="D705" s="155"/>
      <c r="E705" s="155"/>
      <c r="F705" s="155"/>
      <c r="G705" s="155"/>
      <c r="H705" s="155"/>
      <c r="I705" s="155"/>
      <c r="J705" s="155"/>
      <c r="K705" s="155"/>
      <c r="L705" s="155"/>
      <c r="M705" s="155"/>
      <c r="N705" s="155"/>
      <c r="O705" s="155"/>
      <c r="P705" s="155"/>
      <c r="Q705" s="155"/>
      <c r="R705" s="155"/>
      <c r="S705" s="155"/>
      <c r="T705" s="155"/>
      <c r="U705" s="155"/>
      <c r="V705" s="155"/>
      <c r="W705" s="155"/>
      <c r="X705" s="155"/>
      <c r="Y705" s="155"/>
      <c r="Z705" s="155"/>
      <c r="AA705" s="155"/>
      <c r="AB705" s="155"/>
      <c r="AC705" s="155"/>
      <c r="AD705" s="155"/>
      <c r="AE705" s="155"/>
      <c r="AF705" s="155"/>
      <c r="AG705" s="155"/>
      <c r="AH705" s="155"/>
      <c r="AI705" s="155"/>
      <c r="AJ705" s="155"/>
      <c r="AK705" s="155"/>
      <c r="AL705" s="155"/>
      <c r="AM705" s="155"/>
      <c r="AN705" s="155"/>
      <c r="AO705" s="155"/>
      <c r="AP705" s="155"/>
      <c r="AQ705" s="155"/>
      <c r="AR705" s="155"/>
      <c r="AS705" s="155"/>
      <c r="AT705" s="155"/>
      <c r="AU705" s="155"/>
      <c r="AV705" s="155"/>
      <c r="AW705" s="155"/>
      <c r="AX705" s="155"/>
    </row>
    <row r="706" spans="4:50">
      <c r="D706" s="155"/>
      <c r="E706" s="155"/>
      <c r="F706" s="155"/>
      <c r="G706" s="155"/>
      <c r="H706" s="155"/>
      <c r="I706" s="155"/>
      <c r="J706" s="155"/>
      <c r="K706" s="155"/>
      <c r="L706" s="155"/>
      <c r="M706" s="155"/>
      <c r="N706" s="155"/>
      <c r="O706" s="155"/>
      <c r="P706" s="155"/>
      <c r="Q706" s="155"/>
      <c r="R706" s="155"/>
      <c r="S706" s="155"/>
      <c r="T706" s="155"/>
      <c r="U706" s="155"/>
      <c r="V706" s="155"/>
      <c r="W706" s="155"/>
      <c r="X706" s="155"/>
      <c r="Y706" s="155"/>
      <c r="Z706" s="155"/>
      <c r="AA706" s="155"/>
      <c r="AB706" s="155"/>
      <c r="AC706" s="155"/>
      <c r="AD706" s="155"/>
      <c r="AE706" s="155"/>
      <c r="AF706" s="155"/>
      <c r="AG706" s="155"/>
      <c r="AH706" s="155"/>
      <c r="AI706" s="155"/>
      <c r="AJ706" s="155"/>
      <c r="AK706" s="155"/>
      <c r="AL706" s="155"/>
      <c r="AM706" s="155"/>
      <c r="AN706" s="155"/>
      <c r="AO706" s="155"/>
      <c r="AP706" s="155"/>
      <c r="AQ706" s="155"/>
      <c r="AR706" s="155"/>
      <c r="AS706" s="155"/>
      <c r="AT706" s="155"/>
      <c r="AU706" s="155"/>
      <c r="AV706" s="155"/>
      <c r="AW706" s="155"/>
      <c r="AX706" s="155"/>
    </row>
    <row r="707" spans="4:50">
      <c r="D707" s="155"/>
      <c r="E707" s="155"/>
      <c r="F707" s="155"/>
      <c r="G707" s="155"/>
      <c r="H707" s="155"/>
      <c r="I707" s="155"/>
      <c r="J707" s="155"/>
      <c r="K707" s="155"/>
      <c r="L707" s="155"/>
      <c r="M707" s="155"/>
      <c r="N707" s="155"/>
      <c r="O707" s="155"/>
      <c r="P707" s="155"/>
      <c r="Q707" s="155"/>
      <c r="R707" s="155"/>
      <c r="S707" s="155"/>
      <c r="T707" s="155"/>
      <c r="U707" s="155"/>
      <c r="V707" s="155"/>
      <c r="W707" s="155"/>
      <c r="X707" s="155"/>
      <c r="Y707" s="155"/>
      <c r="Z707" s="155"/>
      <c r="AA707" s="155"/>
      <c r="AB707" s="155"/>
      <c r="AC707" s="155"/>
      <c r="AD707" s="155"/>
      <c r="AE707" s="155"/>
      <c r="AF707" s="155"/>
      <c r="AG707" s="155"/>
      <c r="AH707" s="155"/>
      <c r="AI707" s="155"/>
      <c r="AJ707" s="155"/>
      <c r="AK707" s="155"/>
      <c r="AL707" s="155"/>
      <c r="AM707" s="155"/>
      <c r="AN707" s="155"/>
      <c r="AO707" s="155"/>
      <c r="AP707" s="155"/>
      <c r="AQ707" s="155"/>
      <c r="AR707" s="155"/>
      <c r="AS707" s="155"/>
      <c r="AT707" s="155"/>
      <c r="AU707" s="155"/>
      <c r="AV707" s="155"/>
      <c r="AW707" s="155"/>
      <c r="AX707" s="155"/>
    </row>
    <row r="708" spans="4:50">
      <c r="D708" s="155"/>
      <c r="E708" s="155"/>
      <c r="F708" s="155"/>
      <c r="G708" s="155"/>
      <c r="H708" s="155"/>
      <c r="I708" s="155"/>
      <c r="J708" s="155"/>
      <c r="K708" s="155"/>
      <c r="L708" s="155"/>
      <c r="M708" s="155"/>
      <c r="N708" s="155"/>
      <c r="O708" s="155"/>
      <c r="P708" s="155"/>
      <c r="Q708" s="155"/>
      <c r="R708" s="155"/>
      <c r="S708" s="155"/>
      <c r="T708" s="155"/>
      <c r="U708" s="155"/>
      <c r="V708" s="155"/>
      <c r="W708" s="155"/>
      <c r="X708" s="155"/>
      <c r="Y708" s="155"/>
      <c r="Z708" s="155"/>
      <c r="AA708" s="155"/>
      <c r="AB708" s="155"/>
      <c r="AC708" s="155"/>
      <c r="AD708" s="155"/>
      <c r="AE708" s="155"/>
      <c r="AF708" s="155"/>
      <c r="AG708" s="155"/>
      <c r="AH708" s="155"/>
      <c r="AI708" s="155"/>
      <c r="AJ708" s="155"/>
      <c r="AK708" s="155"/>
      <c r="AL708" s="155"/>
      <c r="AM708" s="155"/>
      <c r="AN708" s="155"/>
      <c r="AO708" s="155"/>
      <c r="AP708" s="155"/>
      <c r="AQ708" s="155"/>
      <c r="AR708" s="155"/>
      <c r="AS708" s="155"/>
      <c r="AT708" s="155"/>
      <c r="AU708" s="155"/>
      <c r="AV708" s="155"/>
      <c r="AW708" s="155"/>
      <c r="AX708" s="155"/>
    </row>
    <row r="709" spans="4:50">
      <c r="D709" s="155"/>
      <c r="E709" s="155"/>
      <c r="F709" s="155"/>
      <c r="G709" s="155"/>
      <c r="H709" s="155"/>
      <c r="I709" s="155"/>
      <c r="J709" s="155"/>
      <c r="K709" s="155"/>
      <c r="L709" s="155"/>
      <c r="M709" s="155"/>
      <c r="N709" s="155"/>
      <c r="O709" s="155"/>
      <c r="P709" s="155"/>
      <c r="Q709" s="155"/>
      <c r="R709" s="155"/>
      <c r="S709" s="155"/>
      <c r="T709" s="155"/>
      <c r="U709" s="155"/>
      <c r="V709" s="155"/>
      <c r="W709" s="155"/>
      <c r="X709" s="155"/>
      <c r="Y709" s="155"/>
      <c r="Z709" s="155"/>
      <c r="AA709" s="155"/>
      <c r="AB709" s="155"/>
      <c r="AC709" s="155"/>
      <c r="AD709" s="155"/>
      <c r="AE709" s="155"/>
      <c r="AF709" s="155"/>
      <c r="AG709" s="155"/>
      <c r="AH709" s="155"/>
      <c r="AI709" s="155"/>
      <c r="AJ709" s="155"/>
      <c r="AK709" s="155"/>
      <c r="AL709" s="155"/>
      <c r="AM709" s="155"/>
      <c r="AN709" s="155"/>
      <c r="AO709" s="155"/>
      <c r="AP709" s="155"/>
      <c r="AQ709" s="155"/>
      <c r="AR709" s="155"/>
      <c r="AS709" s="155"/>
      <c r="AT709" s="155"/>
      <c r="AU709" s="155"/>
      <c r="AV709" s="155"/>
      <c r="AW709" s="155"/>
      <c r="AX709" s="155"/>
    </row>
    <row r="710" spans="4:50">
      <c r="D710" s="155"/>
      <c r="E710" s="155"/>
      <c r="F710" s="155"/>
      <c r="G710" s="155"/>
      <c r="H710" s="155"/>
      <c r="I710" s="155"/>
      <c r="J710" s="155"/>
      <c r="K710" s="155"/>
      <c r="L710" s="155"/>
      <c r="M710" s="155"/>
      <c r="N710" s="155"/>
      <c r="O710" s="155"/>
      <c r="P710" s="155"/>
      <c r="Q710" s="155"/>
      <c r="R710" s="155"/>
      <c r="S710" s="155"/>
      <c r="T710" s="155"/>
      <c r="U710" s="155"/>
      <c r="V710" s="155"/>
      <c r="W710" s="155"/>
      <c r="X710" s="155"/>
      <c r="Y710" s="155"/>
      <c r="Z710" s="155"/>
      <c r="AA710" s="155"/>
      <c r="AB710" s="155"/>
      <c r="AC710" s="155"/>
      <c r="AD710" s="155"/>
      <c r="AE710" s="155"/>
      <c r="AF710" s="155"/>
      <c r="AG710" s="155"/>
      <c r="AH710" s="155"/>
      <c r="AI710" s="155"/>
      <c r="AJ710" s="155"/>
      <c r="AK710" s="155"/>
      <c r="AL710" s="155"/>
      <c r="AM710" s="155"/>
      <c r="AN710" s="155"/>
      <c r="AO710" s="155"/>
      <c r="AP710" s="155"/>
      <c r="AQ710" s="155"/>
      <c r="AR710" s="155"/>
      <c r="AS710" s="155"/>
      <c r="AT710" s="155"/>
      <c r="AU710" s="155"/>
      <c r="AV710" s="155"/>
      <c r="AW710" s="155"/>
      <c r="AX710" s="155"/>
    </row>
    <row r="711" spans="4:50">
      <c r="D711" s="155"/>
      <c r="E711" s="155"/>
      <c r="F711" s="155"/>
      <c r="G711" s="155"/>
      <c r="H711" s="155"/>
      <c r="I711" s="155"/>
      <c r="J711" s="155"/>
      <c r="K711" s="155"/>
      <c r="L711" s="155"/>
      <c r="M711" s="155"/>
      <c r="N711" s="155"/>
      <c r="O711" s="155"/>
      <c r="P711" s="155"/>
      <c r="Q711" s="155"/>
      <c r="R711" s="155"/>
      <c r="S711" s="155"/>
      <c r="T711" s="155"/>
      <c r="U711" s="155"/>
      <c r="V711" s="155"/>
      <c r="W711" s="155"/>
      <c r="X711" s="155"/>
      <c r="Y711" s="155"/>
      <c r="Z711" s="155"/>
      <c r="AA711" s="155"/>
      <c r="AB711" s="155"/>
      <c r="AC711" s="155"/>
      <c r="AD711" s="155"/>
      <c r="AE711" s="155"/>
      <c r="AF711" s="155"/>
      <c r="AG711" s="155"/>
      <c r="AH711" s="155"/>
      <c r="AI711" s="155"/>
      <c r="AJ711" s="155"/>
      <c r="AK711" s="155"/>
      <c r="AL711" s="155"/>
      <c r="AM711" s="155"/>
      <c r="AN711" s="155"/>
      <c r="AO711" s="155"/>
      <c r="AP711" s="155"/>
      <c r="AQ711" s="155"/>
      <c r="AR711" s="155"/>
      <c r="AS711" s="155"/>
      <c r="AT711" s="155"/>
      <c r="AU711" s="155"/>
      <c r="AV711" s="155"/>
      <c r="AW711" s="155"/>
      <c r="AX711" s="155"/>
    </row>
    <row r="712" spans="4:50">
      <c r="D712" s="155"/>
      <c r="E712" s="155"/>
      <c r="F712" s="155"/>
      <c r="G712" s="155"/>
      <c r="H712" s="155"/>
      <c r="I712" s="155"/>
      <c r="J712" s="155"/>
      <c r="K712" s="155"/>
      <c r="L712" s="155"/>
      <c r="M712" s="155"/>
      <c r="N712" s="155"/>
      <c r="O712" s="155"/>
      <c r="P712" s="155"/>
      <c r="Q712" s="155"/>
      <c r="R712" s="155"/>
      <c r="S712" s="155"/>
      <c r="T712" s="155"/>
      <c r="U712" s="155"/>
      <c r="V712" s="155"/>
      <c r="W712" s="155"/>
      <c r="X712" s="155"/>
      <c r="Y712" s="155"/>
      <c r="Z712" s="155"/>
      <c r="AA712" s="155"/>
      <c r="AB712" s="155"/>
      <c r="AC712" s="155"/>
      <c r="AD712" s="155"/>
      <c r="AE712" s="155"/>
      <c r="AF712" s="155"/>
      <c r="AG712" s="155"/>
      <c r="AH712" s="155"/>
      <c r="AI712" s="155"/>
      <c r="AJ712" s="155"/>
      <c r="AK712" s="155"/>
      <c r="AL712" s="155"/>
      <c r="AM712" s="155"/>
      <c r="AN712" s="155"/>
      <c r="AO712" s="155"/>
      <c r="AP712" s="155"/>
      <c r="AQ712" s="155"/>
      <c r="AR712" s="155"/>
      <c r="AS712" s="155"/>
      <c r="AT712" s="155"/>
      <c r="AU712" s="155"/>
      <c r="AV712" s="155"/>
      <c r="AW712" s="155"/>
      <c r="AX712" s="155"/>
    </row>
    <row r="713" spans="4:50">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5"/>
      <c r="AD713" s="155"/>
      <c r="AE713" s="155"/>
      <c r="AF713" s="155"/>
      <c r="AG713" s="155"/>
      <c r="AH713" s="155"/>
      <c r="AI713" s="155"/>
      <c r="AJ713" s="155"/>
      <c r="AK713" s="155"/>
      <c r="AL713" s="155"/>
      <c r="AM713" s="155"/>
      <c r="AN713" s="155"/>
      <c r="AO713" s="155"/>
      <c r="AP713" s="155"/>
      <c r="AQ713" s="155"/>
      <c r="AR713" s="155"/>
      <c r="AS713" s="155"/>
      <c r="AT713" s="155"/>
      <c r="AU713" s="155"/>
      <c r="AV713" s="155"/>
      <c r="AW713" s="155"/>
      <c r="AX713" s="155"/>
    </row>
    <row r="714" spans="4:50">
      <c r="D714" s="155"/>
      <c r="E714" s="155"/>
      <c r="F714" s="155"/>
      <c r="G714" s="155"/>
      <c r="H714" s="155"/>
      <c r="I714" s="155"/>
      <c r="J714" s="155"/>
      <c r="K714" s="155"/>
      <c r="L714" s="155"/>
      <c r="M714" s="155"/>
      <c r="N714" s="155"/>
      <c r="O714" s="155"/>
      <c r="P714" s="155"/>
      <c r="Q714" s="155"/>
      <c r="R714" s="155"/>
      <c r="S714" s="155"/>
      <c r="T714" s="155"/>
      <c r="U714" s="155"/>
      <c r="V714" s="155"/>
      <c r="W714" s="155"/>
      <c r="X714" s="155"/>
      <c r="Y714" s="155"/>
      <c r="Z714" s="155"/>
      <c r="AA714" s="155"/>
      <c r="AB714" s="155"/>
      <c r="AC714" s="155"/>
      <c r="AD714" s="155"/>
      <c r="AE714" s="155"/>
      <c r="AF714" s="155"/>
      <c r="AG714" s="155"/>
      <c r="AH714" s="155"/>
      <c r="AI714" s="155"/>
      <c r="AJ714" s="155"/>
      <c r="AK714" s="155"/>
      <c r="AL714" s="155"/>
      <c r="AM714" s="155"/>
      <c r="AN714" s="155"/>
      <c r="AO714" s="155"/>
      <c r="AP714" s="155"/>
      <c r="AQ714" s="155"/>
      <c r="AR714" s="155"/>
      <c r="AS714" s="155"/>
      <c r="AT714" s="155"/>
      <c r="AU714" s="155"/>
      <c r="AV714" s="155"/>
      <c r="AW714" s="155"/>
      <c r="AX714" s="155"/>
    </row>
    <row r="715" spans="4:50">
      <c r="D715" s="155"/>
      <c r="E715" s="155"/>
      <c r="F715" s="155"/>
      <c r="G715" s="155"/>
      <c r="H715" s="155"/>
      <c r="I715" s="155"/>
      <c r="J715" s="155"/>
      <c r="K715" s="155"/>
      <c r="L715" s="155"/>
      <c r="M715" s="155"/>
      <c r="N715" s="155"/>
      <c r="O715" s="155"/>
      <c r="P715" s="155"/>
      <c r="Q715" s="155"/>
      <c r="R715" s="155"/>
      <c r="S715" s="155"/>
      <c r="T715" s="155"/>
      <c r="U715" s="155"/>
      <c r="V715" s="155"/>
      <c r="W715" s="155"/>
      <c r="X715" s="155"/>
      <c r="Y715" s="155"/>
      <c r="Z715" s="155"/>
      <c r="AA715" s="155"/>
      <c r="AB715" s="155"/>
      <c r="AC715" s="155"/>
      <c r="AD715" s="155"/>
      <c r="AE715" s="155"/>
      <c r="AF715" s="155"/>
      <c r="AG715" s="155"/>
      <c r="AH715" s="155"/>
      <c r="AI715" s="155"/>
      <c r="AJ715" s="155"/>
      <c r="AK715" s="155"/>
      <c r="AL715" s="155"/>
      <c r="AM715" s="155"/>
      <c r="AN715" s="155"/>
      <c r="AO715" s="155"/>
      <c r="AP715" s="155"/>
      <c r="AQ715" s="155"/>
      <c r="AR715" s="155"/>
      <c r="AS715" s="155"/>
      <c r="AT715" s="155"/>
      <c r="AU715" s="155"/>
      <c r="AV715" s="155"/>
      <c r="AW715" s="155"/>
      <c r="AX715" s="155"/>
    </row>
    <row r="716" spans="4:50">
      <c r="D716" s="155"/>
      <c r="E716" s="155"/>
      <c r="F716" s="155"/>
      <c r="G716" s="155"/>
      <c r="H716" s="155"/>
      <c r="I716" s="155"/>
      <c r="J716" s="155"/>
      <c r="K716" s="155"/>
      <c r="L716" s="155"/>
      <c r="M716" s="155"/>
      <c r="N716" s="155"/>
      <c r="O716" s="155"/>
      <c r="P716" s="155"/>
      <c r="Q716" s="155"/>
      <c r="R716" s="155"/>
      <c r="S716" s="155"/>
      <c r="T716" s="155"/>
      <c r="U716" s="155"/>
      <c r="V716" s="155"/>
      <c r="W716" s="155"/>
      <c r="X716" s="155"/>
      <c r="Y716" s="155"/>
      <c r="Z716" s="155"/>
      <c r="AA716" s="155"/>
      <c r="AB716" s="155"/>
      <c r="AC716" s="155"/>
      <c r="AD716" s="155"/>
      <c r="AE716" s="155"/>
      <c r="AF716" s="155"/>
      <c r="AG716" s="155"/>
      <c r="AH716" s="155"/>
      <c r="AI716" s="155"/>
      <c r="AJ716" s="155"/>
      <c r="AK716" s="155"/>
      <c r="AL716" s="155"/>
      <c r="AM716" s="155"/>
      <c r="AN716" s="155"/>
      <c r="AO716" s="155"/>
      <c r="AP716" s="155"/>
      <c r="AQ716" s="155"/>
      <c r="AR716" s="155"/>
      <c r="AS716" s="155"/>
      <c r="AT716" s="155"/>
      <c r="AU716" s="155"/>
      <c r="AV716" s="155"/>
      <c r="AW716" s="155"/>
      <c r="AX716" s="155"/>
    </row>
    <row r="717" spans="4:50">
      <c r="D717" s="155"/>
      <c r="E717" s="155"/>
      <c r="F717" s="155"/>
      <c r="G717" s="155"/>
      <c r="H717" s="155"/>
      <c r="I717" s="155"/>
      <c r="J717" s="155"/>
      <c r="K717" s="155"/>
      <c r="L717" s="155"/>
      <c r="M717" s="155"/>
      <c r="N717" s="155"/>
      <c r="O717" s="155"/>
      <c r="P717" s="155"/>
      <c r="Q717" s="155"/>
      <c r="R717" s="155"/>
      <c r="S717" s="155"/>
      <c r="T717" s="155"/>
      <c r="U717" s="155"/>
      <c r="V717" s="155"/>
      <c r="W717" s="155"/>
      <c r="X717" s="155"/>
      <c r="Y717" s="155"/>
      <c r="Z717" s="155"/>
      <c r="AA717" s="155"/>
      <c r="AB717" s="155"/>
      <c r="AC717" s="155"/>
      <c r="AD717" s="155"/>
      <c r="AE717" s="155"/>
      <c r="AF717" s="155"/>
      <c r="AG717" s="155"/>
      <c r="AH717" s="155"/>
      <c r="AI717" s="155"/>
      <c r="AJ717" s="155"/>
      <c r="AK717" s="155"/>
      <c r="AL717" s="155"/>
      <c r="AM717" s="155"/>
      <c r="AN717" s="155"/>
      <c r="AO717" s="155"/>
      <c r="AP717" s="155"/>
      <c r="AQ717" s="155"/>
      <c r="AR717" s="155"/>
      <c r="AS717" s="155"/>
      <c r="AT717" s="155"/>
      <c r="AU717" s="155"/>
      <c r="AV717" s="155"/>
      <c r="AW717" s="155"/>
      <c r="AX717" s="155"/>
    </row>
    <row r="718" spans="4:50">
      <c r="D718" s="155"/>
      <c r="E718" s="155"/>
      <c r="F718" s="155"/>
      <c r="G718" s="155"/>
      <c r="H718" s="155"/>
      <c r="I718" s="155"/>
      <c r="J718" s="155"/>
      <c r="K718" s="155"/>
      <c r="L718" s="155"/>
      <c r="M718" s="155"/>
      <c r="N718" s="155"/>
      <c r="O718" s="155"/>
      <c r="P718" s="155"/>
      <c r="Q718" s="155"/>
      <c r="R718" s="155"/>
      <c r="S718" s="155"/>
      <c r="T718" s="155"/>
      <c r="U718" s="155"/>
      <c r="V718" s="155"/>
      <c r="W718" s="155"/>
      <c r="X718" s="155"/>
      <c r="Y718" s="155"/>
      <c r="Z718" s="155"/>
      <c r="AA718" s="155"/>
      <c r="AB718" s="155"/>
      <c r="AC718" s="155"/>
      <c r="AD718" s="155"/>
      <c r="AE718" s="155"/>
      <c r="AF718" s="155"/>
      <c r="AG718" s="155"/>
      <c r="AH718" s="155"/>
      <c r="AI718" s="155"/>
      <c r="AJ718" s="155"/>
      <c r="AK718" s="155"/>
      <c r="AL718" s="155"/>
      <c r="AM718" s="155"/>
      <c r="AN718" s="155"/>
      <c r="AO718" s="155"/>
      <c r="AP718" s="155"/>
      <c r="AQ718" s="155"/>
      <c r="AR718" s="155"/>
      <c r="AS718" s="155"/>
      <c r="AT718" s="155"/>
      <c r="AU718" s="155"/>
      <c r="AV718" s="155"/>
      <c r="AW718" s="155"/>
      <c r="AX718" s="155"/>
    </row>
    <row r="719" spans="4:50">
      <c r="D719" s="155"/>
      <c r="E719" s="155"/>
      <c r="F719" s="155"/>
      <c r="G719" s="155"/>
      <c r="H719" s="155"/>
      <c r="I719" s="155"/>
      <c r="J719" s="155"/>
      <c r="K719" s="155"/>
      <c r="L719" s="155"/>
      <c r="M719" s="155"/>
      <c r="N719" s="155"/>
      <c r="O719" s="155"/>
      <c r="P719" s="155"/>
      <c r="Q719" s="155"/>
      <c r="R719" s="155"/>
      <c r="S719" s="155"/>
      <c r="T719" s="155"/>
      <c r="U719" s="155"/>
      <c r="V719" s="155"/>
      <c r="W719" s="155"/>
      <c r="X719" s="155"/>
      <c r="Y719" s="155"/>
      <c r="Z719" s="155"/>
      <c r="AA719" s="155"/>
      <c r="AB719" s="155"/>
      <c r="AC719" s="155"/>
      <c r="AD719" s="155"/>
      <c r="AE719" s="155"/>
      <c r="AF719" s="155"/>
      <c r="AG719" s="155"/>
      <c r="AH719" s="155"/>
      <c r="AI719" s="155"/>
      <c r="AJ719" s="155"/>
      <c r="AK719" s="155"/>
      <c r="AL719" s="155"/>
      <c r="AM719" s="155"/>
      <c r="AN719" s="155"/>
      <c r="AO719" s="155"/>
      <c r="AP719" s="155"/>
      <c r="AQ719" s="155"/>
      <c r="AR719" s="155"/>
      <c r="AS719" s="155"/>
      <c r="AT719" s="155"/>
      <c r="AU719" s="155"/>
      <c r="AV719" s="155"/>
      <c r="AW719" s="155"/>
      <c r="AX719" s="155"/>
    </row>
    <row r="720" spans="4:50">
      <c r="D720" s="155"/>
      <c r="E720" s="155"/>
      <c r="F720" s="155"/>
      <c r="G720" s="155"/>
      <c r="H720" s="155"/>
      <c r="I720" s="155"/>
      <c r="J720" s="155"/>
      <c r="K720" s="155"/>
      <c r="L720" s="155"/>
      <c r="M720" s="155"/>
      <c r="N720" s="155"/>
      <c r="O720" s="155"/>
      <c r="P720" s="155"/>
      <c r="Q720" s="155"/>
      <c r="R720" s="155"/>
      <c r="S720" s="155"/>
      <c r="T720" s="155"/>
      <c r="U720" s="155"/>
      <c r="V720" s="155"/>
      <c r="W720" s="155"/>
      <c r="X720" s="155"/>
      <c r="Y720" s="155"/>
      <c r="Z720" s="155"/>
      <c r="AA720" s="155"/>
      <c r="AB720" s="155"/>
      <c r="AC720" s="155"/>
      <c r="AD720" s="155"/>
      <c r="AE720" s="155"/>
      <c r="AF720" s="155"/>
      <c r="AG720" s="155"/>
      <c r="AH720" s="155"/>
      <c r="AI720" s="155"/>
      <c r="AJ720" s="155"/>
      <c r="AK720" s="155"/>
      <c r="AL720" s="155"/>
      <c r="AM720" s="155"/>
      <c r="AN720" s="155"/>
      <c r="AO720" s="155"/>
      <c r="AP720" s="155"/>
      <c r="AQ720" s="155"/>
      <c r="AR720" s="155"/>
      <c r="AS720" s="155"/>
      <c r="AT720" s="155"/>
      <c r="AU720" s="155"/>
      <c r="AV720" s="155"/>
      <c r="AW720" s="155"/>
      <c r="AX720" s="155"/>
    </row>
    <row r="721" spans="4:50">
      <c r="D721" s="155"/>
      <c r="E721" s="155"/>
      <c r="F721" s="155"/>
      <c r="G721" s="155"/>
      <c r="H721" s="155"/>
      <c r="I721" s="155"/>
      <c r="J721" s="155"/>
      <c r="K721" s="155"/>
      <c r="L721" s="155"/>
      <c r="M721" s="155"/>
      <c r="N721" s="155"/>
      <c r="O721" s="155"/>
      <c r="P721" s="155"/>
      <c r="Q721" s="155"/>
      <c r="R721" s="155"/>
      <c r="S721" s="155"/>
      <c r="T721" s="155"/>
      <c r="U721" s="155"/>
      <c r="V721" s="155"/>
      <c r="W721" s="155"/>
      <c r="X721" s="155"/>
      <c r="Y721" s="155"/>
      <c r="Z721" s="155"/>
      <c r="AA721" s="155"/>
      <c r="AB721" s="155"/>
      <c r="AC721" s="155"/>
      <c r="AD721" s="155"/>
      <c r="AE721" s="155"/>
      <c r="AF721" s="155"/>
      <c r="AG721" s="155"/>
      <c r="AH721" s="155"/>
      <c r="AI721" s="155"/>
      <c r="AJ721" s="155"/>
      <c r="AK721" s="155"/>
      <c r="AL721" s="155"/>
      <c r="AM721" s="155"/>
      <c r="AN721" s="155"/>
      <c r="AO721" s="155"/>
      <c r="AP721" s="155"/>
      <c r="AQ721" s="155"/>
      <c r="AR721" s="155"/>
      <c r="AS721" s="155"/>
      <c r="AT721" s="155"/>
      <c r="AU721" s="155"/>
      <c r="AV721" s="155"/>
      <c r="AW721" s="155"/>
      <c r="AX721" s="155"/>
    </row>
    <row r="722" spans="4:50">
      <c r="D722" s="155"/>
      <c r="E722" s="155"/>
      <c r="F722" s="155"/>
      <c r="G722" s="155"/>
      <c r="H722" s="155"/>
      <c r="I722" s="155"/>
      <c r="J722" s="155"/>
      <c r="K722" s="155"/>
      <c r="L722" s="155"/>
      <c r="M722" s="155"/>
      <c r="N722" s="155"/>
      <c r="O722" s="155"/>
      <c r="P722" s="155"/>
      <c r="Q722" s="155"/>
      <c r="R722" s="155"/>
      <c r="S722" s="155"/>
      <c r="T722" s="155"/>
      <c r="U722" s="155"/>
      <c r="V722" s="155"/>
      <c r="W722" s="155"/>
      <c r="X722" s="155"/>
      <c r="Y722" s="155"/>
      <c r="Z722" s="155"/>
      <c r="AA722" s="155"/>
      <c r="AB722" s="155"/>
      <c r="AC722" s="155"/>
      <c r="AD722" s="155"/>
      <c r="AE722" s="155"/>
      <c r="AF722" s="155"/>
      <c r="AG722" s="155"/>
      <c r="AH722" s="155"/>
      <c r="AI722" s="155"/>
      <c r="AJ722" s="155"/>
      <c r="AK722" s="155"/>
      <c r="AL722" s="155"/>
      <c r="AM722" s="155"/>
      <c r="AN722" s="155"/>
      <c r="AO722" s="155"/>
      <c r="AP722" s="155"/>
      <c r="AQ722" s="155"/>
      <c r="AR722" s="155"/>
      <c r="AS722" s="155"/>
      <c r="AT722" s="155"/>
      <c r="AU722" s="155"/>
      <c r="AV722" s="155"/>
      <c r="AW722" s="155"/>
      <c r="AX722" s="155"/>
    </row>
    <row r="723" spans="4:50">
      <c r="D723" s="155"/>
      <c r="E723" s="155"/>
      <c r="F723" s="155"/>
      <c r="G723" s="155"/>
      <c r="H723" s="155"/>
      <c r="I723" s="155"/>
      <c r="J723" s="155"/>
      <c r="K723" s="155"/>
      <c r="L723" s="155"/>
      <c r="M723" s="155"/>
      <c r="N723" s="155"/>
      <c r="O723" s="155"/>
      <c r="P723" s="155"/>
      <c r="Q723" s="155"/>
      <c r="R723" s="155"/>
      <c r="S723" s="155"/>
      <c r="T723" s="155"/>
      <c r="U723" s="155"/>
      <c r="V723" s="155"/>
      <c r="W723" s="155"/>
      <c r="X723" s="155"/>
      <c r="Y723" s="155"/>
      <c r="Z723" s="155"/>
      <c r="AA723" s="155"/>
      <c r="AB723" s="155"/>
      <c r="AC723" s="155"/>
      <c r="AD723" s="155"/>
      <c r="AE723" s="155"/>
      <c r="AF723" s="155"/>
      <c r="AG723" s="155"/>
      <c r="AH723" s="155"/>
      <c r="AI723" s="155"/>
      <c r="AJ723" s="155"/>
      <c r="AK723" s="155"/>
      <c r="AL723" s="155"/>
      <c r="AM723" s="155"/>
      <c r="AN723" s="155"/>
      <c r="AO723" s="155"/>
      <c r="AP723" s="155"/>
      <c r="AQ723" s="155"/>
      <c r="AR723" s="155"/>
      <c r="AS723" s="155"/>
      <c r="AT723" s="155"/>
      <c r="AU723" s="155"/>
      <c r="AV723" s="155"/>
      <c r="AW723" s="155"/>
      <c r="AX723" s="155"/>
    </row>
    <row r="724" spans="4:50">
      <c r="D724" s="155"/>
      <c r="E724" s="155"/>
      <c r="F724" s="155"/>
      <c r="G724" s="155"/>
      <c r="H724" s="155"/>
      <c r="I724" s="155"/>
      <c r="J724" s="155"/>
      <c r="K724" s="155"/>
      <c r="L724" s="155"/>
      <c r="M724" s="155"/>
      <c r="N724" s="155"/>
      <c r="O724" s="155"/>
      <c r="P724" s="155"/>
      <c r="Q724" s="155"/>
      <c r="R724" s="155"/>
      <c r="S724" s="155"/>
      <c r="T724" s="155"/>
      <c r="U724" s="155"/>
      <c r="V724" s="155"/>
      <c r="W724" s="155"/>
      <c r="X724" s="155"/>
      <c r="Y724" s="155"/>
      <c r="Z724" s="155"/>
      <c r="AA724" s="155"/>
      <c r="AB724" s="155"/>
      <c r="AC724" s="155"/>
      <c r="AD724" s="155"/>
      <c r="AE724" s="155"/>
      <c r="AF724" s="155"/>
      <c r="AG724" s="155"/>
      <c r="AH724" s="155"/>
      <c r="AI724" s="155"/>
      <c r="AJ724" s="155"/>
      <c r="AK724" s="155"/>
      <c r="AL724" s="155"/>
      <c r="AM724" s="155"/>
      <c r="AN724" s="155"/>
      <c r="AO724" s="155"/>
      <c r="AP724" s="155"/>
      <c r="AQ724" s="155"/>
      <c r="AR724" s="155"/>
      <c r="AS724" s="155"/>
      <c r="AT724" s="155"/>
      <c r="AU724" s="155"/>
      <c r="AV724" s="155"/>
      <c r="AW724" s="155"/>
      <c r="AX724" s="155"/>
    </row>
    <row r="725" spans="4:50">
      <c r="D725" s="155"/>
      <c r="E725" s="155"/>
      <c r="F725" s="155"/>
      <c r="G725" s="155"/>
      <c r="H725" s="155"/>
      <c r="I725" s="155"/>
      <c r="J725" s="155"/>
      <c r="K725" s="155"/>
      <c r="L725" s="155"/>
      <c r="M725" s="155"/>
      <c r="N725" s="155"/>
      <c r="O725" s="155"/>
      <c r="P725" s="155"/>
      <c r="Q725" s="155"/>
      <c r="R725" s="155"/>
      <c r="S725" s="155"/>
      <c r="T725" s="155"/>
      <c r="U725" s="155"/>
      <c r="V725" s="155"/>
      <c r="W725" s="155"/>
      <c r="X725" s="155"/>
      <c r="Y725" s="155"/>
      <c r="Z725" s="155"/>
      <c r="AA725" s="155"/>
      <c r="AB725" s="155"/>
      <c r="AC725" s="155"/>
      <c r="AD725" s="155"/>
      <c r="AE725" s="155"/>
      <c r="AF725" s="155"/>
      <c r="AG725" s="155"/>
      <c r="AH725" s="155"/>
      <c r="AI725" s="155"/>
      <c r="AJ725" s="155"/>
      <c r="AK725" s="155"/>
      <c r="AL725" s="155"/>
      <c r="AM725" s="155"/>
      <c r="AN725" s="155"/>
      <c r="AO725" s="155"/>
      <c r="AP725" s="155"/>
      <c r="AQ725" s="155"/>
      <c r="AR725" s="155"/>
      <c r="AS725" s="155"/>
      <c r="AT725" s="155"/>
      <c r="AU725" s="155"/>
      <c r="AV725" s="155"/>
      <c r="AW725" s="155"/>
      <c r="AX725" s="155"/>
    </row>
    <row r="726" spans="4:50">
      <c r="D726" s="155"/>
      <c r="E726" s="155"/>
      <c r="F726" s="155"/>
      <c r="G726" s="155"/>
      <c r="H726" s="155"/>
      <c r="I726" s="155"/>
      <c r="J726" s="155"/>
      <c r="K726" s="155"/>
      <c r="L726" s="155"/>
      <c r="M726" s="155"/>
      <c r="N726" s="155"/>
      <c r="O726" s="155"/>
      <c r="P726" s="155"/>
      <c r="Q726" s="155"/>
      <c r="R726" s="155"/>
      <c r="S726" s="155"/>
      <c r="T726" s="155"/>
      <c r="U726" s="155"/>
      <c r="V726" s="155"/>
      <c r="W726" s="155"/>
      <c r="X726" s="155"/>
      <c r="Y726" s="155"/>
      <c r="Z726" s="155"/>
      <c r="AA726" s="155"/>
      <c r="AB726" s="155"/>
      <c r="AC726" s="155"/>
      <c r="AD726" s="155"/>
      <c r="AE726" s="155"/>
      <c r="AF726" s="155"/>
      <c r="AG726" s="155"/>
      <c r="AH726" s="155"/>
      <c r="AI726" s="155"/>
      <c r="AJ726" s="155"/>
      <c r="AK726" s="155"/>
      <c r="AL726" s="155"/>
      <c r="AM726" s="155"/>
      <c r="AN726" s="155"/>
      <c r="AO726" s="155"/>
      <c r="AP726" s="155"/>
      <c r="AQ726" s="155"/>
      <c r="AR726" s="155"/>
      <c r="AS726" s="155"/>
      <c r="AT726" s="155"/>
      <c r="AU726" s="155"/>
      <c r="AV726" s="155"/>
      <c r="AW726" s="155"/>
      <c r="AX726" s="155"/>
    </row>
    <row r="727" spans="4:50">
      <c r="D727" s="155"/>
      <c r="E727" s="155"/>
      <c r="F727" s="155"/>
      <c r="G727" s="155"/>
      <c r="H727" s="155"/>
      <c r="I727" s="155"/>
      <c r="J727" s="155"/>
      <c r="K727" s="155"/>
      <c r="L727" s="155"/>
      <c r="M727" s="155"/>
      <c r="N727" s="155"/>
      <c r="O727" s="155"/>
      <c r="P727" s="155"/>
      <c r="Q727" s="155"/>
      <c r="R727" s="155"/>
      <c r="S727" s="155"/>
      <c r="T727" s="155"/>
      <c r="U727" s="155"/>
      <c r="V727" s="155"/>
      <c r="W727" s="155"/>
      <c r="X727" s="155"/>
      <c r="Y727" s="155"/>
      <c r="Z727" s="155"/>
      <c r="AA727" s="155"/>
      <c r="AB727" s="155"/>
      <c r="AC727" s="155"/>
      <c r="AD727" s="155"/>
      <c r="AE727" s="155"/>
      <c r="AF727" s="155"/>
      <c r="AG727" s="155"/>
      <c r="AH727" s="155"/>
      <c r="AI727" s="155"/>
      <c r="AJ727" s="155"/>
      <c r="AK727" s="155"/>
      <c r="AL727" s="155"/>
      <c r="AM727" s="155"/>
      <c r="AN727" s="155"/>
      <c r="AO727" s="155"/>
      <c r="AP727" s="155"/>
      <c r="AQ727" s="155"/>
      <c r="AR727" s="155"/>
      <c r="AS727" s="155"/>
      <c r="AT727" s="155"/>
      <c r="AU727" s="155"/>
      <c r="AV727" s="155"/>
      <c r="AW727" s="155"/>
      <c r="AX727" s="155"/>
    </row>
    <row r="728" spans="4:50">
      <c r="D728" s="155"/>
      <c r="E728" s="155"/>
      <c r="F728" s="155"/>
      <c r="G728" s="155"/>
      <c r="H728" s="155"/>
      <c r="I728" s="155"/>
      <c r="J728" s="155"/>
      <c r="K728" s="155"/>
      <c r="L728" s="155"/>
      <c r="M728" s="155"/>
      <c r="N728" s="155"/>
      <c r="O728" s="155"/>
      <c r="P728" s="155"/>
      <c r="Q728" s="155"/>
      <c r="R728" s="155"/>
      <c r="S728" s="155"/>
      <c r="T728" s="155"/>
      <c r="U728" s="155"/>
      <c r="V728" s="155"/>
      <c r="W728" s="155"/>
      <c r="X728" s="155"/>
      <c r="Y728" s="155"/>
      <c r="Z728" s="155"/>
      <c r="AA728" s="155"/>
      <c r="AB728" s="155"/>
      <c r="AC728" s="155"/>
      <c r="AD728" s="155"/>
      <c r="AE728" s="155"/>
      <c r="AF728" s="155"/>
      <c r="AG728" s="155"/>
      <c r="AH728" s="155"/>
      <c r="AI728" s="155"/>
      <c r="AJ728" s="155"/>
      <c r="AK728" s="155"/>
      <c r="AL728" s="155"/>
      <c r="AM728" s="155"/>
      <c r="AN728" s="155"/>
      <c r="AO728" s="155"/>
      <c r="AP728" s="155"/>
      <c r="AQ728" s="155"/>
      <c r="AR728" s="155"/>
      <c r="AS728" s="155"/>
      <c r="AT728" s="155"/>
      <c r="AU728" s="155"/>
      <c r="AV728" s="155"/>
      <c r="AW728" s="155"/>
      <c r="AX728" s="155"/>
    </row>
    <row r="729" spans="4:50">
      <c r="D729" s="155"/>
      <c r="E729" s="155"/>
      <c r="F729" s="155"/>
      <c r="G729" s="155"/>
      <c r="H729" s="155"/>
      <c r="I729" s="155"/>
      <c r="J729" s="155"/>
      <c r="K729" s="155"/>
      <c r="L729" s="155"/>
      <c r="M729" s="155"/>
      <c r="N729" s="155"/>
      <c r="O729" s="155"/>
      <c r="P729" s="155"/>
      <c r="Q729" s="155"/>
      <c r="R729" s="155"/>
      <c r="S729" s="155"/>
      <c r="T729" s="155"/>
      <c r="U729" s="155"/>
      <c r="V729" s="155"/>
      <c r="W729" s="155"/>
      <c r="X729" s="155"/>
      <c r="Y729" s="155"/>
      <c r="Z729" s="155"/>
      <c r="AA729" s="155"/>
      <c r="AB729" s="155"/>
      <c r="AC729" s="155"/>
      <c r="AD729" s="155"/>
      <c r="AE729" s="155"/>
      <c r="AF729" s="155"/>
      <c r="AG729" s="155"/>
      <c r="AH729" s="155"/>
      <c r="AI729" s="155"/>
      <c r="AJ729" s="155"/>
      <c r="AK729" s="155"/>
      <c r="AL729" s="155"/>
      <c r="AM729" s="155"/>
      <c r="AN729" s="155"/>
      <c r="AO729" s="155"/>
      <c r="AP729" s="155"/>
      <c r="AQ729" s="155"/>
      <c r="AR729" s="155"/>
      <c r="AS729" s="155"/>
      <c r="AT729" s="155"/>
      <c r="AU729" s="155"/>
      <c r="AV729" s="155"/>
      <c r="AW729" s="155"/>
      <c r="AX729" s="155"/>
    </row>
    <row r="730" spans="4:50">
      <c r="D730" s="155"/>
      <c r="E730" s="155"/>
      <c r="F730" s="155"/>
      <c r="G730" s="155"/>
      <c r="H730" s="155"/>
      <c r="I730" s="155"/>
      <c r="J730" s="155"/>
      <c r="K730" s="155"/>
      <c r="L730" s="155"/>
      <c r="M730" s="155"/>
      <c r="N730" s="155"/>
      <c r="O730" s="155"/>
      <c r="P730" s="155"/>
      <c r="Q730" s="155"/>
      <c r="R730" s="155"/>
      <c r="S730" s="155"/>
      <c r="T730" s="155"/>
      <c r="U730" s="155"/>
      <c r="V730" s="155"/>
      <c r="W730" s="155"/>
      <c r="X730" s="155"/>
      <c r="Y730" s="155"/>
      <c r="Z730" s="155"/>
      <c r="AA730" s="155"/>
      <c r="AB730" s="155"/>
      <c r="AC730" s="155"/>
      <c r="AD730" s="155"/>
      <c r="AE730" s="155"/>
      <c r="AF730" s="155"/>
      <c r="AG730" s="155"/>
      <c r="AH730" s="155"/>
      <c r="AI730" s="155"/>
      <c r="AJ730" s="155"/>
      <c r="AK730" s="155"/>
      <c r="AL730" s="155"/>
      <c r="AM730" s="155"/>
      <c r="AN730" s="155"/>
      <c r="AO730" s="155"/>
      <c r="AP730" s="155"/>
      <c r="AQ730" s="155"/>
      <c r="AR730" s="155"/>
      <c r="AS730" s="155"/>
      <c r="AT730" s="155"/>
      <c r="AU730" s="155"/>
      <c r="AV730" s="155"/>
      <c r="AW730" s="155"/>
      <c r="AX730" s="155"/>
    </row>
    <row r="731" spans="4:50">
      <c r="D731" s="155"/>
      <c r="E731" s="155"/>
      <c r="F731" s="155"/>
      <c r="G731" s="155"/>
      <c r="H731" s="155"/>
      <c r="I731" s="155"/>
      <c r="J731" s="155"/>
      <c r="K731" s="155"/>
      <c r="L731" s="155"/>
      <c r="M731" s="155"/>
      <c r="N731" s="155"/>
      <c r="O731" s="155"/>
      <c r="P731" s="155"/>
      <c r="Q731" s="155"/>
      <c r="R731" s="155"/>
      <c r="S731" s="155"/>
      <c r="T731" s="155"/>
      <c r="U731" s="155"/>
      <c r="V731" s="155"/>
      <c r="W731" s="155"/>
      <c r="X731" s="155"/>
      <c r="Y731" s="155"/>
      <c r="Z731" s="155"/>
      <c r="AA731" s="155"/>
      <c r="AB731" s="155"/>
      <c r="AC731" s="155"/>
      <c r="AD731" s="155"/>
      <c r="AE731" s="155"/>
      <c r="AF731" s="155"/>
      <c r="AG731" s="155"/>
      <c r="AH731" s="155"/>
      <c r="AI731" s="155"/>
      <c r="AJ731" s="155"/>
      <c r="AK731" s="155"/>
      <c r="AL731" s="155"/>
      <c r="AM731" s="155"/>
      <c r="AN731" s="155"/>
      <c r="AO731" s="155"/>
      <c r="AP731" s="155"/>
      <c r="AQ731" s="155"/>
      <c r="AR731" s="155"/>
      <c r="AS731" s="155"/>
      <c r="AT731" s="155"/>
      <c r="AU731" s="155"/>
      <c r="AV731" s="155"/>
      <c r="AW731" s="155"/>
      <c r="AX731" s="155"/>
    </row>
    <row r="732" spans="4:50">
      <c r="D732" s="155"/>
      <c r="E732" s="155"/>
      <c r="F732" s="155"/>
      <c r="G732" s="155"/>
      <c r="H732" s="155"/>
      <c r="I732" s="155"/>
      <c r="J732" s="155"/>
      <c r="K732" s="155"/>
      <c r="L732" s="155"/>
      <c r="M732" s="155"/>
      <c r="N732" s="155"/>
      <c r="O732" s="155"/>
      <c r="P732" s="155"/>
      <c r="Q732" s="155"/>
      <c r="R732" s="155"/>
      <c r="S732" s="155"/>
      <c r="T732" s="155"/>
      <c r="U732" s="155"/>
      <c r="V732" s="155"/>
      <c r="W732" s="155"/>
      <c r="X732" s="155"/>
      <c r="Y732" s="155"/>
      <c r="Z732" s="155"/>
      <c r="AA732" s="155"/>
      <c r="AB732" s="155"/>
      <c r="AC732" s="155"/>
      <c r="AD732" s="155"/>
      <c r="AE732" s="155"/>
      <c r="AF732" s="155"/>
      <c r="AG732" s="155"/>
      <c r="AH732" s="155"/>
      <c r="AI732" s="155"/>
      <c r="AJ732" s="155"/>
      <c r="AK732" s="155"/>
      <c r="AL732" s="155"/>
      <c r="AM732" s="155"/>
      <c r="AN732" s="155"/>
      <c r="AO732" s="155"/>
      <c r="AP732" s="155"/>
      <c r="AQ732" s="155"/>
      <c r="AR732" s="155"/>
      <c r="AS732" s="155"/>
      <c r="AT732" s="155"/>
      <c r="AU732" s="155"/>
      <c r="AV732" s="155"/>
      <c r="AW732" s="155"/>
      <c r="AX732" s="155"/>
    </row>
    <row r="733" spans="4:50">
      <c r="D733" s="155"/>
      <c r="E733" s="155"/>
      <c r="F733" s="155"/>
      <c r="G733" s="155"/>
      <c r="H733" s="155"/>
      <c r="I733" s="155"/>
      <c r="J733" s="155"/>
      <c r="K733" s="155"/>
      <c r="L733" s="155"/>
      <c r="M733" s="155"/>
      <c r="N733" s="155"/>
      <c r="O733" s="155"/>
      <c r="P733" s="155"/>
      <c r="Q733" s="155"/>
      <c r="R733" s="155"/>
      <c r="S733" s="155"/>
      <c r="T733" s="155"/>
      <c r="U733" s="155"/>
      <c r="V733" s="155"/>
      <c r="W733" s="155"/>
      <c r="X733" s="155"/>
      <c r="Y733" s="155"/>
      <c r="Z733" s="155"/>
      <c r="AA733" s="155"/>
      <c r="AB733" s="155"/>
      <c r="AC733" s="155"/>
      <c r="AD733" s="155"/>
      <c r="AE733" s="155"/>
      <c r="AF733" s="155"/>
      <c r="AG733" s="155"/>
      <c r="AH733" s="155"/>
      <c r="AI733" s="155"/>
      <c r="AJ733" s="155"/>
      <c r="AK733" s="155"/>
      <c r="AL733" s="155"/>
      <c r="AM733" s="155"/>
      <c r="AN733" s="155"/>
      <c r="AO733" s="155"/>
      <c r="AP733" s="155"/>
      <c r="AQ733" s="155"/>
      <c r="AR733" s="155"/>
      <c r="AS733" s="155"/>
      <c r="AT733" s="155"/>
      <c r="AU733" s="155"/>
      <c r="AV733" s="155"/>
      <c r="AW733" s="155"/>
      <c r="AX733" s="155"/>
    </row>
    <row r="734" spans="4:50">
      <c r="D734" s="155"/>
      <c r="E734" s="155"/>
      <c r="F734" s="155"/>
      <c r="G734" s="155"/>
      <c r="H734" s="155"/>
      <c r="I734" s="155"/>
      <c r="J734" s="155"/>
      <c r="K734" s="155"/>
      <c r="L734" s="155"/>
      <c r="M734" s="155"/>
      <c r="N734" s="155"/>
      <c r="O734" s="155"/>
      <c r="P734" s="155"/>
      <c r="Q734" s="155"/>
      <c r="R734" s="155"/>
      <c r="S734" s="155"/>
      <c r="T734" s="155"/>
      <c r="U734" s="155"/>
      <c r="V734" s="155"/>
      <c r="W734" s="155"/>
      <c r="X734" s="155"/>
      <c r="Y734" s="155"/>
      <c r="Z734" s="155"/>
      <c r="AA734" s="155"/>
      <c r="AB734" s="155"/>
      <c r="AC734" s="155"/>
      <c r="AD734" s="155"/>
      <c r="AE734" s="155"/>
      <c r="AF734" s="155"/>
      <c r="AG734" s="155"/>
      <c r="AH734" s="155"/>
      <c r="AI734" s="155"/>
      <c r="AJ734" s="155"/>
      <c r="AK734" s="155"/>
      <c r="AL734" s="155"/>
      <c r="AM734" s="155"/>
      <c r="AN734" s="155"/>
      <c r="AO734" s="155"/>
      <c r="AP734" s="155"/>
      <c r="AQ734" s="155"/>
      <c r="AR734" s="155"/>
      <c r="AS734" s="155"/>
      <c r="AT734" s="155"/>
      <c r="AU734" s="155"/>
      <c r="AV734" s="155"/>
      <c r="AW734" s="155"/>
      <c r="AX734" s="155"/>
    </row>
    <row r="735" spans="4:50">
      <c r="D735" s="155"/>
      <c r="E735" s="155"/>
      <c r="F735" s="155"/>
      <c r="G735" s="155"/>
      <c r="H735" s="155"/>
      <c r="I735" s="155"/>
      <c r="J735" s="155"/>
      <c r="K735" s="155"/>
      <c r="L735" s="155"/>
      <c r="M735" s="155"/>
      <c r="N735" s="155"/>
      <c r="O735" s="155"/>
      <c r="P735" s="155"/>
      <c r="Q735" s="155"/>
      <c r="R735" s="155"/>
      <c r="S735" s="155"/>
      <c r="T735" s="155"/>
      <c r="U735" s="155"/>
      <c r="V735" s="155"/>
      <c r="W735" s="155"/>
      <c r="X735" s="155"/>
      <c r="Y735" s="155"/>
      <c r="Z735" s="155"/>
      <c r="AA735" s="155"/>
      <c r="AB735" s="155"/>
      <c r="AC735" s="155"/>
      <c r="AD735" s="155"/>
      <c r="AE735" s="155"/>
      <c r="AF735" s="155"/>
      <c r="AG735" s="155"/>
      <c r="AH735" s="155"/>
      <c r="AI735" s="155"/>
      <c r="AJ735" s="155"/>
      <c r="AK735" s="155"/>
      <c r="AL735" s="155"/>
      <c r="AM735" s="155"/>
      <c r="AN735" s="155"/>
      <c r="AO735" s="155"/>
      <c r="AP735" s="155"/>
      <c r="AQ735" s="155"/>
      <c r="AR735" s="155"/>
      <c r="AS735" s="155"/>
      <c r="AT735" s="155"/>
      <c r="AU735" s="155"/>
      <c r="AV735" s="155"/>
      <c r="AW735" s="155"/>
      <c r="AX735" s="155"/>
    </row>
    <row r="736" spans="4:50">
      <c r="D736" s="155"/>
      <c r="E736" s="155"/>
      <c r="F736" s="155"/>
      <c r="G736" s="155"/>
      <c r="H736" s="155"/>
      <c r="I736" s="155"/>
      <c r="J736" s="155"/>
      <c r="K736" s="155"/>
      <c r="L736" s="155"/>
      <c r="M736" s="155"/>
      <c r="N736" s="155"/>
      <c r="O736" s="155"/>
      <c r="P736" s="155"/>
      <c r="Q736" s="155"/>
      <c r="R736" s="155"/>
      <c r="S736" s="155"/>
      <c r="T736" s="155"/>
      <c r="U736" s="155"/>
      <c r="V736" s="155"/>
      <c r="W736" s="155"/>
      <c r="X736" s="155"/>
      <c r="Y736" s="155"/>
      <c r="Z736" s="155"/>
      <c r="AA736" s="155"/>
      <c r="AB736" s="155"/>
      <c r="AC736" s="155"/>
      <c r="AD736" s="155"/>
      <c r="AE736" s="155"/>
      <c r="AF736" s="155"/>
      <c r="AG736" s="155"/>
      <c r="AH736" s="155"/>
      <c r="AI736" s="155"/>
      <c r="AJ736" s="155"/>
      <c r="AK736" s="155"/>
      <c r="AL736" s="155"/>
      <c r="AM736" s="155"/>
      <c r="AN736" s="155"/>
      <c r="AO736" s="155"/>
      <c r="AP736" s="155"/>
      <c r="AQ736" s="155"/>
      <c r="AR736" s="155"/>
      <c r="AS736" s="155"/>
      <c r="AT736" s="155"/>
      <c r="AU736" s="155"/>
      <c r="AV736" s="155"/>
      <c r="AW736" s="155"/>
      <c r="AX736" s="155"/>
    </row>
    <row r="737" spans="4:50">
      <c r="D737" s="155"/>
      <c r="E737" s="155"/>
      <c r="F737" s="155"/>
      <c r="G737" s="155"/>
      <c r="H737" s="155"/>
      <c r="I737" s="155"/>
      <c r="J737" s="155"/>
      <c r="K737" s="155"/>
      <c r="L737" s="155"/>
      <c r="M737" s="155"/>
      <c r="N737" s="155"/>
      <c r="O737" s="155"/>
      <c r="P737" s="155"/>
      <c r="Q737" s="155"/>
      <c r="R737" s="155"/>
      <c r="S737" s="155"/>
      <c r="T737" s="155"/>
      <c r="U737" s="155"/>
      <c r="V737" s="155"/>
      <c r="W737" s="155"/>
      <c r="X737" s="155"/>
      <c r="Y737" s="155"/>
      <c r="Z737" s="155"/>
      <c r="AA737" s="155"/>
      <c r="AB737" s="155"/>
      <c r="AC737" s="155"/>
      <c r="AD737" s="155"/>
      <c r="AE737" s="155"/>
      <c r="AF737" s="155"/>
      <c r="AG737" s="155"/>
      <c r="AH737" s="155"/>
      <c r="AI737" s="155"/>
      <c r="AJ737" s="155"/>
      <c r="AK737" s="155"/>
      <c r="AL737" s="155"/>
      <c r="AM737" s="155"/>
      <c r="AN737" s="155"/>
      <c r="AO737" s="155"/>
      <c r="AP737" s="155"/>
      <c r="AQ737" s="155"/>
      <c r="AR737" s="155"/>
      <c r="AS737" s="155"/>
      <c r="AT737" s="155"/>
      <c r="AU737" s="155"/>
      <c r="AV737" s="155"/>
      <c r="AW737" s="155"/>
      <c r="AX737" s="155"/>
    </row>
    <row r="738" spans="4:50">
      <c r="D738" s="155"/>
      <c r="E738" s="155"/>
      <c r="F738" s="155"/>
      <c r="G738" s="155"/>
      <c r="H738" s="155"/>
      <c r="I738" s="155"/>
      <c r="J738" s="155"/>
      <c r="K738" s="155"/>
      <c r="L738" s="155"/>
      <c r="M738" s="155"/>
      <c r="N738" s="155"/>
      <c r="O738" s="155"/>
      <c r="P738" s="155"/>
      <c r="Q738" s="155"/>
      <c r="R738" s="155"/>
      <c r="S738" s="155"/>
      <c r="T738" s="155"/>
      <c r="U738" s="155"/>
      <c r="V738" s="155"/>
      <c r="W738" s="155"/>
      <c r="X738" s="155"/>
      <c r="Y738" s="155"/>
      <c r="Z738" s="155"/>
      <c r="AA738" s="155"/>
      <c r="AB738" s="155"/>
      <c r="AC738" s="155"/>
      <c r="AD738" s="155"/>
      <c r="AE738" s="155"/>
      <c r="AF738" s="155"/>
      <c r="AG738" s="155"/>
      <c r="AH738" s="155"/>
      <c r="AI738" s="155"/>
      <c r="AJ738" s="155"/>
      <c r="AK738" s="155"/>
      <c r="AL738" s="155"/>
      <c r="AM738" s="155"/>
      <c r="AN738" s="155"/>
      <c r="AO738" s="155"/>
      <c r="AP738" s="155"/>
      <c r="AQ738" s="155"/>
      <c r="AR738" s="155"/>
      <c r="AS738" s="155"/>
      <c r="AT738" s="155"/>
      <c r="AU738" s="155"/>
      <c r="AV738" s="155"/>
      <c r="AW738" s="155"/>
      <c r="AX738" s="155"/>
    </row>
    <row r="739" spans="4:50">
      <c r="D739" s="155"/>
      <c r="E739" s="155"/>
      <c r="F739" s="155"/>
      <c r="G739" s="155"/>
      <c r="H739" s="155"/>
      <c r="I739" s="155"/>
      <c r="J739" s="155"/>
      <c r="K739" s="155"/>
      <c r="L739" s="155"/>
      <c r="M739" s="155"/>
      <c r="N739" s="155"/>
      <c r="O739" s="155"/>
      <c r="P739" s="155"/>
      <c r="Q739" s="155"/>
      <c r="R739" s="155"/>
      <c r="S739" s="155"/>
      <c r="T739" s="155"/>
      <c r="U739" s="155"/>
      <c r="V739" s="155"/>
      <c r="W739" s="155"/>
      <c r="X739" s="155"/>
      <c r="Y739" s="155"/>
      <c r="Z739" s="155"/>
      <c r="AA739" s="155"/>
      <c r="AB739" s="155"/>
      <c r="AC739" s="155"/>
      <c r="AD739" s="155"/>
      <c r="AE739" s="155"/>
      <c r="AF739" s="155"/>
      <c r="AG739" s="155"/>
      <c r="AH739" s="155"/>
      <c r="AI739" s="155"/>
      <c r="AJ739" s="155"/>
      <c r="AK739" s="155"/>
      <c r="AL739" s="155"/>
      <c r="AM739" s="155"/>
      <c r="AN739" s="155"/>
      <c r="AO739" s="155"/>
      <c r="AP739" s="155"/>
      <c r="AQ739" s="155"/>
      <c r="AR739" s="155"/>
      <c r="AS739" s="155"/>
      <c r="AT739" s="155"/>
      <c r="AU739" s="155"/>
      <c r="AV739" s="155"/>
      <c r="AW739" s="155"/>
      <c r="AX739" s="155"/>
    </row>
    <row r="740" spans="4:50">
      <c r="D740" s="155"/>
      <c r="E740" s="155"/>
      <c r="F740" s="155"/>
      <c r="G740" s="155"/>
      <c r="H740" s="155"/>
      <c r="I740" s="155"/>
      <c r="J740" s="155"/>
      <c r="K740" s="155"/>
      <c r="L740" s="155"/>
      <c r="M740" s="155"/>
      <c r="N740" s="155"/>
      <c r="O740" s="155"/>
      <c r="P740" s="155"/>
      <c r="Q740" s="155"/>
      <c r="R740" s="155"/>
      <c r="S740" s="155"/>
      <c r="T740" s="155"/>
      <c r="U740" s="155"/>
      <c r="V740" s="155"/>
      <c r="W740" s="155"/>
      <c r="X740" s="155"/>
      <c r="Y740" s="155"/>
      <c r="Z740" s="155"/>
      <c r="AA740" s="155"/>
      <c r="AB740" s="155"/>
      <c r="AC740" s="155"/>
      <c r="AD740" s="155"/>
      <c r="AE740" s="155"/>
      <c r="AF740" s="155"/>
      <c r="AG740" s="155"/>
      <c r="AH740" s="155"/>
      <c r="AI740" s="155"/>
      <c r="AJ740" s="155"/>
      <c r="AK740" s="155"/>
      <c r="AL740" s="155"/>
      <c r="AM740" s="155"/>
      <c r="AN740" s="155"/>
      <c r="AO740" s="155"/>
      <c r="AP740" s="155"/>
      <c r="AQ740" s="155"/>
      <c r="AR740" s="155"/>
      <c r="AS740" s="155"/>
      <c r="AT740" s="155"/>
      <c r="AU740" s="155"/>
      <c r="AV740" s="155"/>
      <c r="AW740" s="155"/>
      <c r="AX740" s="155"/>
    </row>
    <row r="741" spans="4:50">
      <c r="D741" s="155"/>
      <c r="E741" s="155"/>
      <c r="F741" s="155"/>
      <c r="G741" s="155"/>
      <c r="H741" s="155"/>
      <c r="I741" s="155"/>
      <c r="J741" s="155"/>
      <c r="K741" s="155"/>
      <c r="L741" s="155"/>
      <c r="M741" s="155"/>
      <c r="N741" s="155"/>
      <c r="O741" s="155"/>
      <c r="P741" s="155"/>
      <c r="Q741" s="155"/>
      <c r="R741" s="155"/>
      <c r="S741" s="155"/>
      <c r="T741" s="155"/>
      <c r="U741" s="155"/>
      <c r="V741" s="155"/>
      <c r="W741" s="155"/>
      <c r="X741" s="155"/>
      <c r="Y741" s="155"/>
      <c r="Z741" s="155"/>
      <c r="AA741" s="155"/>
      <c r="AB741" s="155"/>
      <c r="AC741" s="155"/>
      <c r="AD741" s="155"/>
      <c r="AE741" s="155"/>
      <c r="AF741" s="155"/>
      <c r="AG741" s="155"/>
      <c r="AH741" s="155"/>
      <c r="AI741" s="155"/>
      <c r="AJ741" s="155"/>
      <c r="AK741" s="155"/>
      <c r="AL741" s="155"/>
      <c r="AM741" s="155"/>
      <c r="AN741" s="155"/>
      <c r="AO741" s="155"/>
      <c r="AP741" s="155"/>
      <c r="AQ741" s="155"/>
      <c r="AR741" s="155"/>
      <c r="AS741" s="155"/>
      <c r="AT741" s="155"/>
      <c r="AU741" s="155"/>
      <c r="AV741" s="155"/>
      <c r="AW741" s="155"/>
      <c r="AX741" s="155"/>
    </row>
    <row r="742" spans="4:50">
      <c r="D742" s="155"/>
      <c r="E742" s="155"/>
      <c r="F742" s="155"/>
      <c r="G742" s="155"/>
      <c r="H742" s="155"/>
      <c r="I742" s="155"/>
      <c r="J742" s="155"/>
      <c r="K742" s="155"/>
      <c r="L742" s="155"/>
      <c r="M742" s="155"/>
      <c r="N742" s="155"/>
      <c r="O742" s="155"/>
      <c r="P742" s="155"/>
      <c r="Q742" s="155"/>
      <c r="R742" s="155"/>
      <c r="S742" s="155"/>
      <c r="T742" s="155"/>
      <c r="U742" s="155"/>
      <c r="V742" s="155"/>
      <c r="W742" s="155"/>
      <c r="X742" s="155"/>
      <c r="Y742" s="155"/>
      <c r="Z742" s="155"/>
      <c r="AA742" s="155"/>
      <c r="AB742" s="155"/>
      <c r="AC742" s="155"/>
      <c r="AD742" s="155"/>
      <c r="AE742" s="155"/>
      <c r="AF742" s="155"/>
      <c r="AG742" s="155"/>
      <c r="AH742" s="155"/>
      <c r="AI742" s="155"/>
      <c r="AJ742" s="155"/>
      <c r="AK742" s="155"/>
      <c r="AL742" s="155"/>
      <c r="AM742" s="155"/>
      <c r="AN742" s="155"/>
      <c r="AO742" s="155"/>
      <c r="AP742" s="155"/>
      <c r="AQ742" s="155"/>
      <c r="AR742" s="155"/>
      <c r="AS742" s="155"/>
      <c r="AT742" s="155"/>
      <c r="AU742" s="155"/>
      <c r="AV742" s="155"/>
      <c r="AW742" s="155"/>
      <c r="AX742" s="155"/>
    </row>
    <row r="743" spans="4:50">
      <c r="D743" s="155"/>
      <c r="E743" s="155"/>
      <c r="F743" s="155"/>
      <c r="G743" s="155"/>
      <c r="H743" s="155"/>
      <c r="I743" s="155"/>
      <c r="J743" s="155"/>
      <c r="K743" s="155"/>
      <c r="L743" s="155"/>
      <c r="M743" s="155"/>
      <c r="N743" s="155"/>
      <c r="O743" s="155"/>
      <c r="P743" s="155"/>
      <c r="Q743" s="155"/>
      <c r="R743" s="155"/>
      <c r="S743" s="155"/>
      <c r="T743" s="155"/>
      <c r="U743" s="155"/>
      <c r="V743" s="155"/>
      <c r="W743" s="155"/>
      <c r="X743" s="155"/>
      <c r="Y743" s="155"/>
      <c r="Z743" s="155"/>
      <c r="AA743" s="155"/>
      <c r="AB743" s="155"/>
      <c r="AC743" s="155"/>
      <c r="AD743" s="155"/>
      <c r="AE743" s="155"/>
      <c r="AF743" s="155"/>
      <c r="AG743" s="155"/>
      <c r="AH743" s="155"/>
      <c r="AI743" s="155"/>
      <c r="AJ743" s="155"/>
      <c r="AK743" s="155"/>
      <c r="AL743" s="155"/>
      <c r="AM743" s="155"/>
      <c r="AN743" s="155"/>
      <c r="AO743" s="155"/>
      <c r="AP743" s="155"/>
      <c r="AQ743" s="155"/>
      <c r="AR743" s="155"/>
      <c r="AS743" s="155"/>
      <c r="AT743" s="155"/>
      <c r="AU743" s="155"/>
      <c r="AV743" s="155"/>
      <c r="AW743" s="155"/>
      <c r="AX743" s="155"/>
    </row>
    <row r="744" spans="4:50">
      <c r="D744" s="155"/>
      <c r="E744" s="155"/>
      <c r="F744" s="155"/>
      <c r="G744" s="155"/>
      <c r="H744" s="155"/>
      <c r="I744" s="155"/>
      <c r="J744" s="155"/>
      <c r="K744" s="155"/>
      <c r="L744" s="155"/>
      <c r="M744" s="155"/>
      <c r="N744" s="155"/>
      <c r="O744" s="155"/>
      <c r="P744" s="155"/>
      <c r="Q744" s="155"/>
      <c r="R744" s="155"/>
      <c r="S744" s="155"/>
      <c r="T744" s="155"/>
      <c r="U744" s="155"/>
      <c r="V744" s="155"/>
      <c r="W744" s="155"/>
      <c r="X744" s="155"/>
      <c r="Y744" s="155"/>
      <c r="Z744" s="155"/>
      <c r="AA744" s="155"/>
      <c r="AB744" s="155"/>
      <c r="AC744" s="155"/>
      <c r="AD744" s="155"/>
      <c r="AE744" s="155"/>
      <c r="AF744" s="155"/>
      <c r="AG744" s="155"/>
      <c r="AH744" s="155"/>
      <c r="AI744" s="155"/>
      <c r="AJ744" s="155"/>
      <c r="AK744" s="155"/>
      <c r="AL744" s="155"/>
      <c r="AM744" s="155"/>
      <c r="AN744" s="155"/>
      <c r="AO744" s="155"/>
      <c r="AP744" s="155"/>
      <c r="AQ744" s="155"/>
      <c r="AR744" s="155"/>
      <c r="AS744" s="155"/>
      <c r="AT744" s="155"/>
      <c r="AU744" s="155"/>
      <c r="AV744" s="155"/>
      <c r="AW744" s="155"/>
      <c r="AX744" s="155"/>
    </row>
    <row r="745" spans="4:50">
      <c r="D745" s="155"/>
      <c r="E745" s="155"/>
      <c r="F745" s="155"/>
      <c r="G745" s="155"/>
      <c r="H745" s="155"/>
      <c r="I745" s="155"/>
      <c r="J745" s="155"/>
      <c r="K745" s="155"/>
      <c r="L745" s="155"/>
      <c r="M745" s="155"/>
      <c r="N745" s="155"/>
      <c r="O745" s="155"/>
      <c r="P745" s="155"/>
      <c r="Q745" s="155"/>
      <c r="R745" s="155"/>
      <c r="S745" s="155"/>
      <c r="T745" s="155"/>
      <c r="U745" s="155"/>
      <c r="V745" s="155"/>
      <c r="W745" s="155"/>
      <c r="X745" s="155"/>
      <c r="Y745" s="155"/>
      <c r="Z745" s="155"/>
      <c r="AA745" s="155"/>
      <c r="AB745" s="155"/>
      <c r="AC745" s="155"/>
      <c r="AD745" s="155"/>
      <c r="AE745" s="155"/>
      <c r="AF745" s="155"/>
      <c r="AG745" s="155"/>
      <c r="AH745" s="155"/>
      <c r="AI745" s="155"/>
      <c r="AJ745" s="155"/>
      <c r="AK745" s="155"/>
      <c r="AL745" s="155"/>
      <c r="AM745" s="155"/>
      <c r="AN745" s="155"/>
      <c r="AO745" s="155"/>
      <c r="AP745" s="155"/>
      <c r="AQ745" s="155"/>
      <c r="AR745" s="155"/>
      <c r="AS745" s="155"/>
      <c r="AT745" s="155"/>
      <c r="AU745" s="155"/>
      <c r="AV745" s="155"/>
      <c r="AW745" s="155"/>
      <c r="AX745" s="155"/>
    </row>
    <row r="746" spans="4:50">
      <c r="D746" s="155"/>
      <c r="E746" s="155"/>
      <c r="F746" s="155"/>
      <c r="G746" s="155"/>
      <c r="H746" s="155"/>
      <c r="I746" s="155"/>
      <c r="J746" s="155"/>
      <c r="K746" s="155"/>
      <c r="L746" s="155"/>
      <c r="M746" s="155"/>
      <c r="N746" s="155"/>
      <c r="O746" s="155"/>
      <c r="P746" s="155"/>
      <c r="Q746" s="155"/>
      <c r="R746" s="155"/>
      <c r="S746" s="155"/>
      <c r="T746" s="155"/>
      <c r="U746" s="155"/>
      <c r="V746" s="155"/>
      <c r="W746" s="155"/>
      <c r="X746" s="155"/>
      <c r="Y746" s="155"/>
      <c r="Z746" s="155"/>
      <c r="AA746" s="155"/>
      <c r="AB746" s="155"/>
      <c r="AC746" s="155"/>
      <c r="AD746" s="155"/>
      <c r="AE746" s="155"/>
      <c r="AF746" s="155"/>
      <c r="AG746" s="155"/>
      <c r="AH746" s="155"/>
      <c r="AI746" s="155"/>
      <c r="AJ746" s="155"/>
      <c r="AK746" s="155"/>
      <c r="AL746" s="155"/>
      <c r="AM746" s="155"/>
      <c r="AN746" s="155"/>
      <c r="AO746" s="155"/>
      <c r="AP746" s="155"/>
      <c r="AQ746" s="155"/>
      <c r="AR746" s="155"/>
      <c r="AS746" s="155"/>
      <c r="AT746" s="155"/>
      <c r="AU746" s="155"/>
      <c r="AV746" s="155"/>
      <c r="AW746" s="155"/>
      <c r="AX746" s="155"/>
    </row>
    <row r="747" spans="4:50">
      <c r="D747" s="155"/>
      <c r="E747" s="155"/>
      <c r="F747" s="155"/>
      <c r="G747" s="155"/>
      <c r="H747" s="155"/>
      <c r="I747" s="155"/>
      <c r="J747" s="155"/>
      <c r="K747" s="155"/>
      <c r="L747" s="155"/>
      <c r="M747" s="155"/>
      <c r="N747" s="155"/>
      <c r="O747" s="155"/>
      <c r="P747" s="155"/>
      <c r="Q747" s="155"/>
      <c r="R747" s="155"/>
      <c r="S747" s="155"/>
      <c r="T747" s="155"/>
      <c r="U747" s="155"/>
      <c r="V747" s="155"/>
      <c r="W747" s="155"/>
      <c r="X747" s="155"/>
      <c r="Y747" s="155"/>
      <c r="Z747" s="155"/>
      <c r="AA747" s="155"/>
      <c r="AB747" s="155"/>
      <c r="AC747" s="155"/>
      <c r="AD747" s="155"/>
      <c r="AE747" s="155"/>
      <c r="AF747" s="155"/>
      <c r="AG747" s="155"/>
      <c r="AH747" s="155"/>
      <c r="AI747" s="155"/>
      <c r="AJ747" s="155"/>
      <c r="AK747" s="155"/>
      <c r="AL747" s="155"/>
      <c r="AM747" s="155"/>
      <c r="AN747" s="155"/>
      <c r="AO747" s="155"/>
      <c r="AP747" s="155"/>
      <c r="AQ747" s="155"/>
      <c r="AR747" s="155"/>
      <c r="AS747" s="155"/>
      <c r="AT747" s="155"/>
      <c r="AU747" s="155"/>
      <c r="AV747" s="155"/>
      <c r="AW747" s="155"/>
      <c r="AX747" s="155"/>
    </row>
    <row r="748" spans="4:50">
      <c r="D748" s="155"/>
      <c r="E748" s="155"/>
      <c r="F748" s="155"/>
      <c r="G748" s="155"/>
      <c r="H748" s="155"/>
      <c r="I748" s="155"/>
      <c r="J748" s="155"/>
      <c r="K748" s="155"/>
      <c r="L748" s="155"/>
      <c r="M748" s="155"/>
      <c r="N748" s="155"/>
      <c r="O748" s="155"/>
      <c r="P748" s="155"/>
      <c r="Q748" s="155"/>
      <c r="R748" s="155"/>
      <c r="S748" s="155"/>
      <c r="T748" s="155"/>
      <c r="U748" s="155"/>
      <c r="V748" s="155"/>
      <c r="W748" s="155"/>
      <c r="X748" s="155"/>
      <c r="Y748" s="155"/>
      <c r="Z748" s="155"/>
      <c r="AA748" s="155"/>
      <c r="AB748" s="155"/>
      <c r="AC748" s="155"/>
      <c r="AD748" s="155"/>
      <c r="AE748" s="155"/>
      <c r="AF748" s="155"/>
      <c r="AG748" s="155"/>
      <c r="AH748" s="155"/>
      <c r="AI748" s="155"/>
      <c r="AJ748" s="155"/>
      <c r="AK748" s="155"/>
      <c r="AL748" s="155"/>
      <c r="AM748" s="155"/>
      <c r="AN748" s="155"/>
      <c r="AO748" s="155"/>
      <c r="AP748" s="155"/>
      <c r="AQ748" s="155"/>
      <c r="AR748" s="155"/>
      <c r="AS748" s="155"/>
      <c r="AT748" s="155"/>
      <c r="AU748" s="155"/>
      <c r="AV748" s="155"/>
      <c r="AW748" s="155"/>
      <c r="AX748" s="155"/>
    </row>
    <row r="749" spans="4:50">
      <c r="D749" s="155"/>
      <c r="E749" s="155"/>
      <c r="F749" s="155"/>
      <c r="G749" s="155"/>
      <c r="H749" s="155"/>
      <c r="I749" s="155"/>
      <c r="J749" s="155"/>
      <c r="K749" s="155"/>
      <c r="L749" s="155"/>
      <c r="M749" s="155"/>
      <c r="N749" s="155"/>
      <c r="O749" s="155"/>
      <c r="P749" s="155"/>
      <c r="Q749" s="155"/>
      <c r="R749" s="155"/>
      <c r="S749" s="155"/>
      <c r="T749" s="155"/>
      <c r="U749" s="155"/>
      <c r="V749" s="155"/>
      <c r="W749" s="155"/>
      <c r="X749" s="155"/>
      <c r="Y749" s="155"/>
      <c r="Z749" s="155"/>
      <c r="AA749" s="155"/>
      <c r="AB749" s="155"/>
      <c r="AC749" s="155"/>
      <c r="AD749" s="155"/>
      <c r="AE749" s="155"/>
      <c r="AF749" s="155"/>
      <c r="AG749" s="155"/>
      <c r="AH749" s="155"/>
      <c r="AI749" s="155"/>
      <c r="AJ749" s="155"/>
      <c r="AK749" s="155"/>
      <c r="AL749" s="155"/>
      <c r="AM749" s="155"/>
      <c r="AN749" s="155"/>
      <c r="AO749" s="155"/>
      <c r="AP749" s="155"/>
      <c r="AQ749" s="155"/>
      <c r="AR749" s="155"/>
      <c r="AS749" s="155"/>
      <c r="AT749" s="155"/>
      <c r="AU749" s="155"/>
      <c r="AV749" s="155"/>
      <c r="AW749" s="155"/>
      <c r="AX749" s="155"/>
    </row>
    <row r="750" spans="4:50">
      <c r="D750" s="155"/>
      <c r="E750" s="155"/>
      <c r="F750" s="155"/>
      <c r="G750" s="155"/>
      <c r="H750" s="155"/>
      <c r="I750" s="155"/>
      <c r="J750" s="155"/>
      <c r="K750" s="155"/>
      <c r="L750" s="155"/>
      <c r="M750" s="155"/>
      <c r="N750" s="155"/>
      <c r="O750" s="155"/>
      <c r="P750" s="155"/>
      <c r="Q750" s="155"/>
      <c r="R750" s="155"/>
      <c r="S750" s="155"/>
      <c r="T750" s="155"/>
      <c r="U750" s="155"/>
      <c r="V750" s="155"/>
      <c r="W750" s="155"/>
      <c r="X750" s="155"/>
      <c r="Y750" s="155"/>
      <c r="Z750" s="155"/>
      <c r="AA750" s="155"/>
      <c r="AB750" s="155"/>
      <c r="AC750" s="155"/>
      <c r="AD750" s="155"/>
      <c r="AE750" s="155"/>
      <c r="AF750" s="155"/>
      <c r="AG750" s="155"/>
      <c r="AH750" s="155"/>
      <c r="AI750" s="155"/>
      <c r="AJ750" s="155"/>
      <c r="AK750" s="155"/>
      <c r="AL750" s="155"/>
      <c r="AM750" s="155"/>
      <c r="AN750" s="155"/>
      <c r="AO750" s="155"/>
      <c r="AP750" s="155"/>
      <c r="AQ750" s="155"/>
      <c r="AR750" s="155"/>
      <c r="AS750" s="155"/>
      <c r="AT750" s="155"/>
      <c r="AU750" s="155"/>
      <c r="AV750" s="155"/>
      <c r="AW750" s="155"/>
      <c r="AX750" s="155"/>
    </row>
    <row r="751" spans="4:50">
      <c r="D751" s="155"/>
      <c r="E751" s="155"/>
      <c r="F751" s="155"/>
      <c r="G751" s="155"/>
      <c r="H751" s="155"/>
      <c r="I751" s="155"/>
      <c r="J751" s="155"/>
      <c r="K751" s="155"/>
      <c r="L751" s="155"/>
      <c r="M751" s="155"/>
      <c r="N751" s="155"/>
      <c r="O751" s="155"/>
      <c r="P751" s="155"/>
      <c r="Q751" s="155"/>
      <c r="R751" s="155"/>
      <c r="S751" s="155"/>
      <c r="T751" s="155"/>
      <c r="U751" s="155"/>
      <c r="V751" s="155"/>
      <c r="W751" s="155"/>
      <c r="X751" s="155"/>
      <c r="Y751" s="155"/>
      <c r="Z751" s="155"/>
      <c r="AA751" s="155"/>
      <c r="AB751" s="155"/>
      <c r="AC751" s="155"/>
      <c r="AD751" s="155"/>
      <c r="AE751" s="155"/>
      <c r="AF751" s="155"/>
      <c r="AG751" s="155"/>
      <c r="AH751" s="155"/>
      <c r="AI751" s="155"/>
      <c r="AJ751" s="155"/>
      <c r="AK751" s="155"/>
      <c r="AL751" s="155"/>
      <c r="AM751" s="155"/>
      <c r="AN751" s="155"/>
      <c r="AO751" s="155"/>
      <c r="AP751" s="155"/>
      <c r="AQ751" s="155"/>
      <c r="AR751" s="155"/>
      <c r="AS751" s="155"/>
      <c r="AT751" s="155"/>
      <c r="AU751" s="155"/>
      <c r="AV751" s="155"/>
      <c r="AW751" s="155"/>
      <c r="AX751" s="155"/>
    </row>
    <row r="752" spans="4:50">
      <c r="D752" s="155"/>
      <c r="E752" s="155"/>
      <c r="F752" s="155"/>
      <c r="G752" s="155"/>
      <c r="H752" s="155"/>
      <c r="I752" s="155"/>
      <c r="J752" s="155"/>
      <c r="K752" s="155"/>
      <c r="L752" s="155"/>
      <c r="M752" s="155"/>
      <c r="N752" s="155"/>
      <c r="O752" s="155"/>
      <c r="P752" s="155"/>
      <c r="Q752" s="155"/>
      <c r="R752" s="155"/>
      <c r="S752" s="155"/>
      <c r="T752" s="155"/>
      <c r="U752" s="155"/>
      <c r="V752" s="155"/>
      <c r="W752" s="155"/>
      <c r="X752" s="155"/>
      <c r="Y752" s="155"/>
      <c r="Z752" s="155"/>
      <c r="AA752" s="155"/>
      <c r="AB752" s="155"/>
      <c r="AC752" s="155"/>
      <c r="AD752" s="155"/>
      <c r="AE752" s="155"/>
      <c r="AF752" s="155"/>
      <c r="AG752" s="155"/>
      <c r="AH752" s="155"/>
      <c r="AI752" s="155"/>
      <c r="AJ752" s="155"/>
      <c r="AK752" s="155"/>
      <c r="AL752" s="155"/>
      <c r="AM752" s="155"/>
      <c r="AN752" s="155"/>
      <c r="AO752" s="155"/>
      <c r="AP752" s="155"/>
      <c r="AQ752" s="155"/>
      <c r="AR752" s="155"/>
      <c r="AS752" s="155"/>
      <c r="AT752" s="155"/>
      <c r="AU752" s="155"/>
      <c r="AV752" s="155"/>
      <c r="AW752" s="155"/>
      <c r="AX752" s="155"/>
    </row>
    <row r="753" spans="4:50">
      <c r="D753" s="155"/>
      <c r="E753" s="155"/>
      <c r="F753" s="155"/>
      <c r="G753" s="155"/>
      <c r="H753" s="155"/>
      <c r="I753" s="155"/>
      <c r="J753" s="155"/>
      <c r="K753" s="155"/>
      <c r="L753" s="155"/>
      <c r="M753" s="155"/>
      <c r="N753" s="155"/>
      <c r="O753" s="155"/>
      <c r="P753" s="155"/>
      <c r="Q753" s="155"/>
      <c r="R753" s="155"/>
      <c r="S753" s="155"/>
      <c r="T753" s="155"/>
      <c r="U753" s="155"/>
      <c r="V753" s="155"/>
      <c r="W753" s="155"/>
      <c r="X753" s="155"/>
      <c r="Y753" s="155"/>
      <c r="Z753" s="155"/>
      <c r="AA753" s="155"/>
      <c r="AB753" s="155"/>
      <c r="AC753" s="155"/>
      <c r="AD753" s="155"/>
      <c r="AE753" s="155"/>
      <c r="AF753" s="155"/>
      <c r="AG753" s="155"/>
      <c r="AH753" s="155"/>
      <c r="AI753" s="155"/>
      <c r="AJ753" s="155"/>
      <c r="AK753" s="155"/>
      <c r="AL753" s="155"/>
      <c r="AM753" s="155"/>
      <c r="AN753" s="155"/>
      <c r="AO753" s="155"/>
      <c r="AP753" s="155"/>
      <c r="AQ753" s="155"/>
      <c r="AR753" s="155"/>
      <c r="AS753" s="155"/>
      <c r="AT753" s="155"/>
      <c r="AU753" s="155"/>
      <c r="AV753" s="155"/>
      <c r="AW753" s="155"/>
      <c r="AX753" s="155"/>
    </row>
    <row r="754" spans="4:50">
      <c r="D754" s="155"/>
      <c r="E754" s="155"/>
      <c r="F754" s="155"/>
      <c r="G754" s="155"/>
      <c r="H754" s="155"/>
      <c r="I754" s="155"/>
      <c r="J754" s="155"/>
      <c r="K754" s="155"/>
      <c r="L754" s="155"/>
      <c r="M754" s="155"/>
      <c r="N754" s="155"/>
      <c r="O754" s="155"/>
      <c r="P754" s="155"/>
      <c r="Q754" s="155"/>
      <c r="R754" s="155"/>
      <c r="S754" s="155"/>
      <c r="T754" s="155"/>
      <c r="U754" s="155"/>
      <c r="V754" s="155"/>
      <c r="W754" s="155"/>
      <c r="X754" s="155"/>
      <c r="Y754" s="155"/>
      <c r="Z754" s="155"/>
      <c r="AA754" s="155"/>
      <c r="AB754" s="155"/>
      <c r="AC754" s="155"/>
      <c r="AD754" s="155"/>
      <c r="AE754" s="155"/>
      <c r="AF754" s="155"/>
      <c r="AG754" s="155"/>
      <c r="AH754" s="155"/>
      <c r="AI754" s="155"/>
      <c r="AJ754" s="155"/>
      <c r="AK754" s="155"/>
      <c r="AL754" s="155"/>
      <c r="AM754" s="155"/>
      <c r="AN754" s="155"/>
      <c r="AO754" s="155"/>
      <c r="AP754" s="155"/>
      <c r="AQ754" s="155"/>
      <c r="AR754" s="155"/>
      <c r="AS754" s="155"/>
      <c r="AT754" s="155"/>
      <c r="AU754" s="155"/>
      <c r="AV754" s="155"/>
      <c r="AW754" s="155"/>
      <c r="AX754" s="155"/>
    </row>
    <row r="755" spans="4:50">
      <c r="D755" s="155"/>
      <c r="E755" s="155"/>
      <c r="F755" s="155"/>
      <c r="G755" s="155"/>
      <c r="H755" s="155"/>
      <c r="I755" s="155"/>
      <c r="J755" s="155"/>
      <c r="K755" s="155"/>
      <c r="L755" s="155"/>
      <c r="M755" s="155"/>
      <c r="N755" s="155"/>
      <c r="O755" s="155"/>
      <c r="P755" s="155"/>
      <c r="Q755" s="155"/>
      <c r="R755" s="155"/>
      <c r="S755" s="155"/>
      <c r="T755" s="155"/>
      <c r="U755" s="155"/>
      <c r="V755" s="155"/>
      <c r="W755" s="155"/>
      <c r="X755" s="155"/>
      <c r="Y755" s="155"/>
      <c r="Z755" s="155"/>
      <c r="AA755" s="155"/>
      <c r="AB755" s="155"/>
      <c r="AC755" s="155"/>
      <c r="AD755" s="155"/>
      <c r="AE755" s="155"/>
      <c r="AF755" s="155"/>
      <c r="AG755" s="155"/>
      <c r="AH755" s="155"/>
      <c r="AI755" s="155"/>
      <c r="AJ755" s="155"/>
      <c r="AK755" s="155"/>
      <c r="AL755" s="155"/>
      <c r="AM755" s="155"/>
      <c r="AN755" s="155"/>
      <c r="AO755" s="155"/>
      <c r="AP755" s="155"/>
      <c r="AQ755" s="155"/>
      <c r="AR755" s="155"/>
      <c r="AS755" s="155"/>
      <c r="AT755" s="155"/>
      <c r="AU755" s="155"/>
      <c r="AV755" s="155"/>
      <c r="AW755" s="155"/>
      <c r="AX755" s="155"/>
    </row>
    <row r="756" spans="4:50">
      <c r="D756" s="155"/>
      <c r="E756" s="155"/>
      <c r="F756" s="155"/>
      <c r="G756" s="155"/>
      <c r="H756" s="155"/>
      <c r="I756" s="155"/>
      <c r="J756" s="155"/>
      <c r="K756" s="155"/>
      <c r="L756" s="155"/>
      <c r="M756" s="155"/>
      <c r="N756" s="155"/>
      <c r="O756" s="155"/>
      <c r="P756" s="155"/>
      <c r="Q756" s="155"/>
      <c r="R756" s="155"/>
      <c r="S756" s="155"/>
      <c r="T756" s="155"/>
      <c r="U756" s="155"/>
      <c r="V756" s="155"/>
      <c r="W756" s="155"/>
      <c r="X756" s="155"/>
      <c r="Y756" s="155"/>
      <c r="Z756" s="155"/>
      <c r="AA756" s="155"/>
      <c r="AB756" s="155"/>
      <c r="AC756" s="155"/>
      <c r="AD756" s="155"/>
      <c r="AE756" s="155"/>
      <c r="AF756" s="155"/>
      <c r="AG756" s="155"/>
      <c r="AH756" s="155"/>
      <c r="AI756" s="155"/>
      <c r="AJ756" s="155"/>
      <c r="AK756" s="155"/>
      <c r="AL756" s="155"/>
      <c r="AM756" s="155"/>
      <c r="AN756" s="155"/>
      <c r="AO756" s="155"/>
      <c r="AP756" s="155"/>
      <c r="AQ756" s="155"/>
      <c r="AR756" s="155"/>
      <c r="AS756" s="155"/>
      <c r="AT756" s="155"/>
      <c r="AU756" s="155"/>
      <c r="AV756" s="155"/>
      <c r="AW756" s="155"/>
      <c r="AX756" s="155"/>
    </row>
    <row r="757" spans="4:50">
      <c r="D757" s="155"/>
      <c r="E757" s="155"/>
      <c r="F757" s="155"/>
      <c r="G757" s="155"/>
      <c r="H757" s="155"/>
      <c r="I757" s="155"/>
      <c r="J757" s="155"/>
      <c r="K757" s="155"/>
      <c r="L757" s="155"/>
      <c r="M757" s="155"/>
      <c r="N757" s="155"/>
      <c r="O757" s="155"/>
      <c r="P757" s="155"/>
      <c r="Q757" s="155"/>
      <c r="R757" s="155"/>
      <c r="S757" s="155"/>
      <c r="T757" s="155"/>
      <c r="U757" s="155"/>
      <c r="V757" s="155"/>
      <c r="W757" s="155"/>
      <c r="X757" s="155"/>
      <c r="Y757" s="155"/>
      <c r="Z757" s="155"/>
      <c r="AA757" s="155"/>
      <c r="AB757" s="155"/>
      <c r="AC757" s="155"/>
      <c r="AD757" s="155"/>
      <c r="AE757" s="155"/>
      <c r="AF757" s="155"/>
      <c r="AG757" s="155"/>
      <c r="AH757" s="155"/>
      <c r="AI757" s="155"/>
      <c r="AJ757" s="155"/>
      <c r="AK757" s="155"/>
      <c r="AL757" s="155"/>
      <c r="AM757" s="155"/>
      <c r="AN757" s="155"/>
      <c r="AO757" s="155"/>
      <c r="AP757" s="155"/>
      <c r="AQ757" s="155"/>
      <c r="AR757" s="155"/>
      <c r="AS757" s="155"/>
      <c r="AT757" s="155"/>
      <c r="AU757" s="155"/>
      <c r="AV757" s="155"/>
      <c r="AW757" s="155"/>
      <c r="AX757" s="155"/>
    </row>
    <row r="758" spans="4:50">
      <c r="D758" s="155"/>
      <c r="E758" s="155"/>
      <c r="F758" s="155"/>
      <c r="G758" s="155"/>
      <c r="H758" s="155"/>
      <c r="I758" s="155"/>
      <c r="J758" s="155"/>
      <c r="K758" s="155"/>
      <c r="L758" s="155"/>
      <c r="M758" s="155"/>
      <c r="N758" s="155"/>
      <c r="O758" s="155"/>
      <c r="P758" s="155"/>
      <c r="Q758" s="155"/>
      <c r="R758" s="155"/>
      <c r="S758" s="155"/>
      <c r="T758" s="155"/>
      <c r="U758" s="155"/>
      <c r="V758" s="155"/>
      <c r="W758" s="155"/>
      <c r="X758" s="155"/>
      <c r="Y758" s="155"/>
      <c r="Z758" s="155"/>
      <c r="AA758" s="155"/>
      <c r="AB758" s="155"/>
      <c r="AC758" s="155"/>
      <c r="AD758" s="155"/>
      <c r="AE758" s="155"/>
      <c r="AF758" s="155"/>
      <c r="AG758" s="155"/>
      <c r="AH758" s="155"/>
      <c r="AI758" s="155"/>
      <c r="AJ758" s="155"/>
      <c r="AK758" s="155"/>
      <c r="AL758" s="155"/>
      <c r="AM758" s="155"/>
      <c r="AN758" s="155"/>
      <c r="AO758" s="155"/>
      <c r="AP758" s="155"/>
      <c r="AQ758" s="155"/>
      <c r="AR758" s="155"/>
      <c r="AS758" s="155"/>
      <c r="AT758" s="155"/>
      <c r="AU758" s="155"/>
      <c r="AV758" s="155"/>
      <c r="AW758" s="155"/>
      <c r="AX758" s="155"/>
    </row>
    <row r="759" spans="4:50">
      <c r="D759" s="155"/>
      <c r="E759" s="155"/>
      <c r="F759" s="155"/>
      <c r="G759" s="155"/>
      <c r="H759" s="155"/>
      <c r="I759" s="155"/>
      <c r="J759" s="155"/>
      <c r="K759" s="155"/>
      <c r="L759" s="155"/>
      <c r="M759" s="155"/>
      <c r="N759" s="155"/>
      <c r="O759" s="155"/>
      <c r="P759" s="155"/>
      <c r="Q759" s="155"/>
      <c r="R759" s="155"/>
      <c r="S759" s="155"/>
      <c r="T759" s="155"/>
      <c r="U759" s="155"/>
      <c r="V759" s="155"/>
      <c r="W759" s="155"/>
      <c r="X759" s="155"/>
      <c r="Y759" s="155"/>
      <c r="Z759" s="155"/>
      <c r="AA759" s="155"/>
      <c r="AB759" s="155"/>
      <c r="AC759" s="155"/>
      <c r="AD759" s="155"/>
      <c r="AE759" s="155"/>
      <c r="AF759" s="155"/>
      <c r="AG759" s="155"/>
      <c r="AH759" s="155"/>
      <c r="AI759" s="155"/>
      <c r="AJ759" s="155"/>
      <c r="AK759" s="155"/>
      <c r="AL759" s="155"/>
      <c r="AM759" s="155"/>
      <c r="AN759" s="155"/>
      <c r="AO759" s="155"/>
      <c r="AP759" s="155"/>
      <c r="AQ759" s="155"/>
      <c r="AR759" s="155"/>
      <c r="AS759" s="155"/>
      <c r="AT759" s="155"/>
      <c r="AU759" s="155"/>
      <c r="AV759" s="155"/>
      <c r="AW759" s="155"/>
      <c r="AX759" s="155"/>
    </row>
    <row r="760" spans="4:50">
      <c r="D760" s="155"/>
      <c r="E760" s="155"/>
      <c r="F760" s="155"/>
      <c r="G760" s="155"/>
      <c r="H760" s="155"/>
      <c r="I760" s="155"/>
      <c r="J760" s="155"/>
      <c r="K760" s="155"/>
      <c r="L760" s="155"/>
      <c r="M760" s="155"/>
      <c r="N760" s="155"/>
      <c r="O760" s="155"/>
      <c r="P760" s="155"/>
      <c r="Q760" s="155"/>
      <c r="R760" s="155"/>
      <c r="S760" s="155"/>
      <c r="T760" s="155"/>
      <c r="U760" s="155"/>
      <c r="V760" s="155"/>
      <c r="W760" s="155"/>
      <c r="X760" s="155"/>
      <c r="Y760" s="155"/>
      <c r="Z760" s="155"/>
      <c r="AA760" s="155"/>
      <c r="AB760" s="155"/>
      <c r="AC760" s="155"/>
      <c r="AD760" s="155"/>
      <c r="AE760" s="155"/>
      <c r="AF760" s="155"/>
      <c r="AG760" s="155"/>
      <c r="AH760" s="155"/>
      <c r="AI760" s="155"/>
      <c r="AJ760" s="155"/>
      <c r="AK760" s="155"/>
      <c r="AL760" s="155"/>
      <c r="AM760" s="155"/>
      <c r="AN760" s="155"/>
      <c r="AO760" s="155"/>
      <c r="AP760" s="155"/>
      <c r="AQ760" s="155"/>
      <c r="AR760" s="155"/>
      <c r="AS760" s="155"/>
      <c r="AT760" s="155"/>
      <c r="AU760" s="155"/>
      <c r="AV760" s="155"/>
      <c r="AW760" s="155"/>
      <c r="AX760" s="155"/>
    </row>
    <row r="761" spans="4:50">
      <c r="D761" s="155"/>
      <c r="E761" s="155"/>
      <c r="F761" s="155"/>
      <c r="G761" s="155"/>
      <c r="H761" s="155"/>
      <c r="I761" s="155"/>
      <c r="J761" s="155"/>
      <c r="K761" s="155"/>
      <c r="L761" s="155"/>
      <c r="M761" s="155"/>
      <c r="N761" s="155"/>
      <c r="O761" s="155"/>
      <c r="P761" s="155"/>
      <c r="Q761" s="155"/>
      <c r="R761" s="155"/>
      <c r="S761" s="155"/>
      <c r="T761" s="155"/>
      <c r="U761" s="155"/>
      <c r="V761" s="155"/>
      <c r="W761" s="155"/>
      <c r="X761" s="155"/>
      <c r="Y761" s="155"/>
      <c r="Z761" s="155"/>
      <c r="AA761" s="155"/>
      <c r="AB761" s="155"/>
      <c r="AC761" s="155"/>
      <c r="AD761" s="155"/>
      <c r="AE761" s="155"/>
      <c r="AF761" s="155"/>
      <c r="AG761" s="155"/>
      <c r="AH761" s="155"/>
      <c r="AI761" s="155"/>
      <c r="AJ761" s="155"/>
      <c r="AK761" s="155"/>
      <c r="AL761" s="155"/>
      <c r="AM761" s="155"/>
      <c r="AN761" s="155"/>
      <c r="AO761" s="155"/>
      <c r="AP761" s="155"/>
      <c r="AQ761" s="155"/>
      <c r="AR761" s="155"/>
      <c r="AS761" s="155"/>
      <c r="AT761" s="155"/>
      <c r="AU761" s="155"/>
      <c r="AV761" s="155"/>
      <c r="AW761" s="155"/>
      <c r="AX761" s="155"/>
    </row>
    <row r="762" spans="4:50">
      <c r="D762" s="155"/>
      <c r="E762" s="155"/>
      <c r="F762" s="155"/>
      <c r="G762" s="155"/>
      <c r="H762" s="155"/>
      <c r="I762" s="155"/>
      <c r="J762" s="155"/>
      <c r="K762" s="155"/>
      <c r="L762" s="155"/>
      <c r="M762" s="155"/>
      <c r="N762" s="155"/>
      <c r="O762" s="155"/>
      <c r="P762" s="155"/>
      <c r="Q762" s="155"/>
      <c r="R762" s="155"/>
      <c r="S762" s="155"/>
      <c r="T762" s="155"/>
      <c r="U762" s="155"/>
      <c r="V762" s="155"/>
      <c r="W762" s="155"/>
      <c r="X762" s="155"/>
      <c r="Y762" s="155"/>
      <c r="Z762" s="155"/>
      <c r="AA762" s="155"/>
      <c r="AB762" s="155"/>
      <c r="AC762" s="155"/>
      <c r="AD762" s="155"/>
      <c r="AE762" s="155"/>
      <c r="AF762" s="155"/>
      <c r="AG762" s="155"/>
      <c r="AH762" s="155"/>
      <c r="AI762" s="155"/>
      <c r="AJ762" s="155"/>
      <c r="AK762" s="155"/>
      <c r="AL762" s="155"/>
      <c r="AM762" s="155"/>
      <c r="AN762" s="155"/>
      <c r="AO762" s="155"/>
      <c r="AP762" s="155"/>
      <c r="AQ762" s="155"/>
      <c r="AR762" s="155"/>
      <c r="AS762" s="155"/>
      <c r="AT762" s="155"/>
      <c r="AU762" s="155"/>
      <c r="AV762" s="155"/>
      <c r="AW762" s="155"/>
      <c r="AX762" s="155"/>
    </row>
    <row r="763" spans="4:50">
      <c r="D763" s="155"/>
      <c r="E763" s="155"/>
      <c r="F763" s="155"/>
      <c r="G763" s="155"/>
      <c r="H763" s="155"/>
      <c r="I763" s="155"/>
      <c r="J763" s="155"/>
      <c r="K763" s="155"/>
      <c r="L763" s="155"/>
      <c r="M763" s="155"/>
      <c r="N763" s="155"/>
      <c r="O763" s="155"/>
      <c r="P763" s="155"/>
      <c r="Q763" s="155"/>
      <c r="R763" s="155"/>
      <c r="S763" s="155"/>
      <c r="T763" s="155"/>
      <c r="U763" s="155"/>
      <c r="V763" s="155"/>
      <c r="W763" s="155"/>
      <c r="X763" s="155"/>
      <c r="Y763" s="155"/>
      <c r="Z763" s="155"/>
      <c r="AA763" s="155"/>
      <c r="AB763" s="155"/>
      <c r="AC763" s="155"/>
      <c r="AD763" s="155"/>
      <c r="AE763" s="155"/>
      <c r="AF763" s="155"/>
      <c r="AG763" s="155"/>
      <c r="AH763" s="155"/>
      <c r="AI763" s="155"/>
      <c r="AJ763" s="155"/>
      <c r="AK763" s="155"/>
      <c r="AL763" s="155"/>
      <c r="AM763" s="155"/>
      <c r="AN763" s="155"/>
      <c r="AO763" s="155"/>
      <c r="AP763" s="155"/>
      <c r="AQ763" s="155"/>
      <c r="AR763" s="155"/>
      <c r="AS763" s="155"/>
      <c r="AT763" s="155"/>
      <c r="AU763" s="155"/>
      <c r="AV763" s="155"/>
      <c r="AW763" s="155"/>
      <c r="AX763" s="155"/>
    </row>
    <row r="764" spans="4:50">
      <c r="D764" s="155"/>
      <c r="E764" s="155"/>
      <c r="F764" s="155"/>
      <c r="G764" s="155"/>
      <c r="H764" s="155"/>
      <c r="I764" s="155"/>
      <c r="J764" s="155"/>
      <c r="K764" s="155"/>
      <c r="L764" s="155"/>
      <c r="M764" s="155"/>
      <c r="N764" s="155"/>
      <c r="O764" s="155"/>
      <c r="P764" s="155"/>
      <c r="Q764" s="155"/>
      <c r="R764" s="155"/>
      <c r="S764" s="155"/>
      <c r="T764" s="155"/>
      <c r="U764" s="155"/>
      <c r="V764" s="155"/>
      <c r="W764" s="155"/>
      <c r="X764" s="155"/>
      <c r="Y764" s="155"/>
      <c r="Z764" s="155"/>
      <c r="AA764" s="155"/>
      <c r="AB764" s="155"/>
      <c r="AC764" s="155"/>
      <c r="AD764" s="155"/>
      <c r="AE764" s="155"/>
      <c r="AF764" s="155"/>
      <c r="AG764" s="155"/>
      <c r="AH764" s="155"/>
      <c r="AI764" s="155"/>
      <c r="AJ764" s="155"/>
      <c r="AK764" s="155"/>
      <c r="AL764" s="155"/>
      <c r="AM764" s="155"/>
      <c r="AN764" s="155"/>
      <c r="AO764" s="155"/>
      <c r="AP764" s="155"/>
      <c r="AQ764" s="155"/>
      <c r="AR764" s="155"/>
      <c r="AS764" s="155"/>
      <c r="AT764" s="155"/>
      <c r="AU764" s="155"/>
      <c r="AV764" s="155"/>
      <c r="AW764" s="155"/>
      <c r="AX764" s="155"/>
    </row>
    <row r="765" spans="4:50">
      <c r="D765" s="155"/>
      <c r="E765" s="155"/>
      <c r="F765" s="155"/>
      <c r="G765" s="155"/>
      <c r="H765" s="155"/>
      <c r="I765" s="155"/>
      <c r="J765" s="155"/>
      <c r="K765" s="155"/>
      <c r="L765" s="155"/>
      <c r="M765" s="155"/>
      <c r="N765" s="155"/>
      <c r="O765" s="155"/>
      <c r="P765" s="155"/>
      <c r="Q765" s="155"/>
      <c r="R765" s="155"/>
      <c r="S765" s="155"/>
      <c r="T765" s="155"/>
      <c r="U765" s="155"/>
      <c r="V765" s="155"/>
      <c r="W765" s="155"/>
      <c r="X765" s="155"/>
      <c r="Y765" s="155"/>
      <c r="Z765" s="155"/>
      <c r="AA765" s="155"/>
      <c r="AB765" s="155"/>
      <c r="AC765" s="155"/>
      <c r="AD765" s="155"/>
      <c r="AE765" s="155"/>
      <c r="AF765" s="155"/>
      <c r="AG765" s="155"/>
      <c r="AH765" s="155"/>
      <c r="AI765" s="155"/>
      <c r="AJ765" s="155"/>
      <c r="AK765" s="155"/>
      <c r="AL765" s="155"/>
      <c r="AM765" s="155"/>
      <c r="AN765" s="155"/>
      <c r="AO765" s="155"/>
      <c r="AP765" s="155"/>
      <c r="AQ765" s="155"/>
      <c r="AR765" s="155"/>
      <c r="AS765" s="155"/>
      <c r="AT765" s="155"/>
      <c r="AU765" s="155"/>
      <c r="AV765" s="155"/>
      <c r="AW765" s="155"/>
      <c r="AX765" s="155"/>
    </row>
    <row r="766" spans="4:50">
      <c r="D766" s="155"/>
      <c r="E766" s="155"/>
      <c r="F766" s="155"/>
      <c r="G766" s="155"/>
      <c r="H766" s="155"/>
      <c r="I766" s="155"/>
      <c r="J766" s="155"/>
      <c r="K766" s="155"/>
      <c r="L766" s="155"/>
      <c r="M766" s="155"/>
      <c r="N766" s="155"/>
      <c r="O766" s="155"/>
      <c r="P766" s="155"/>
      <c r="Q766" s="155"/>
      <c r="R766" s="155"/>
      <c r="S766" s="155"/>
      <c r="T766" s="155"/>
      <c r="U766" s="155"/>
      <c r="V766" s="155"/>
      <c r="W766" s="155"/>
      <c r="X766" s="155"/>
      <c r="Y766" s="155"/>
      <c r="Z766" s="155"/>
      <c r="AA766" s="155"/>
      <c r="AB766" s="155"/>
      <c r="AC766" s="155"/>
      <c r="AD766" s="155"/>
      <c r="AE766" s="155"/>
      <c r="AF766" s="155"/>
      <c r="AG766" s="155"/>
      <c r="AH766" s="155"/>
      <c r="AI766" s="155"/>
      <c r="AJ766" s="155"/>
      <c r="AK766" s="155"/>
      <c r="AL766" s="155"/>
      <c r="AM766" s="155"/>
      <c r="AN766" s="155"/>
      <c r="AO766" s="155"/>
      <c r="AP766" s="155"/>
      <c r="AQ766" s="155"/>
      <c r="AR766" s="155"/>
      <c r="AS766" s="155"/>
      <c r="AT766" s="155"/>
      <c r="AU766" s="155"/>
      <c r="AV766" s="155"/>
      <c r="AW766" s="155"/>
      <c r="AX766" s="155"/>
    </row>
    <row r="767" spans="4:50">
      <c r="D767" s="155"/>
      <c r="E767" s="155"/>
      <c r="F767" s="155"/>
      <c r="G767" s="155"/>
      <c r="H767" s="155"/>
      <c r="I767" s="155"/>
      <c r="J767" s="155"/>
      <c r="K767" s="155"/>
      <c r="L767" s="155"/>
      <c r="M767" s="155"/>
      <c r="N767" s="155"/>
      <c r="O767" s="155"/>
      <c r="P767" s="155"/>
      <c r="Q767" s="155"/>
      <c r="R767" s="155"/>
      <c r="S767" s="155"/>
      <c r="T767" s="155"/>
      <c r="U767" s="155"/>
      <c r="V767" s="155"/>
      <c r="W767" s="155"/>
      <c r="X767" s="155"/>
      <c r="Y767" s="155"/>
      <c r="Z767" s="155"/>
      <c r="AA767" s="155"/>
      <c r="AB767" s="155"/>
      <c r="AC767" s="155"/>
      <c r="AD767" s="155"/>
      <c r="AE767" s="155"/>
      <c r="AF767" s="155"/>
      <c r="AG767" s="155"/>
      <c r="AH767" s="155"/>
      <c r="AI767" s="155"/>
      <c r="AJ767" s="155"/>
      <c r="AK767" s="155"/>
      <c r="AL767" s="155"/>
      <c r="AM767" s="155"/>
      <c r="AN767" s="155"/>
      <c r="AO767" s="155"/>
      <c r="AP767" s="155"/>
      <c r="AQ767" s="155"/>
      <c r="AR767" s="155"/>
      <c r="AS767" s="155"/>
      <c r="AT767" s="155"/>
      <c r="AU767" s="155"/>
      <c r="AV767" s="155"/>
      <c r="AW767" s="155"/>
      <c r="AX767" s="155"/>
    </row>
    <row r="768" spans="4:50">
      <c r="D768" s="155"/>
      <c r="E768" s="155"/>
      <c r="F768" s="155"/>
      <c r="G768" s="155"/>
      <c r="H768" s="155"/>
      <c r="I768" s="155"/>
      <c r="J768" s="155"/>
      <c r="K768" s="155"/>
      <c r="L768" s="155"/>
      <c r="M768" s="155"/>
      <c r="N768" s="155"/>
      <c r="O768" s="155"/>
      <c r="P768" s="155"/>
      <c r="Q768" s="155"/>
      <c r="R768" s="155"/>
      <c r="S768" s="155"/>
      <c r="T768" s="155"/>
      <c r="U768" s="155"/>
      <c r="V768" s="155"/>
      <c r="W768" s="155"/>
      <c r="X768" s="155"/>
      <c r="Y768" s="155"/>
      <c r="Z768" s="155"/>
      <c r="AA768" s="155"/>
      <c r="AB768" s="155"/>
      <c r="AC768" s="155"/>
      <c r="AD768" s="155"/>
      <c r="AE768" s="155"/>
      <c r="AF768" s="155"/>
      <c r="AG768" s="155"/>
      <c r="AH768" s="155"/>
      <c r="AI768" s="155"/>
      <c r="AJ768" s="155"/>
      <c r="AK768" s="155"/>
      <c r="AL768" s="155"/>
      <c r="AM768" s="155"/>
      <c r="AN768" s="155"/>
      <c r="AO768" s="155"/>
      <c r="AP768" s="155"/>
      <c r="AQ768" s="155"/>
      <c r="AR768" s="155"/>
      <c r="AS768" s="155"/>
      <c r="AT768" s="155"/>
      <c r="AU768" s="155"/>
      <c r="AV768" s="155"/>
      <c r="AW768" s="155"/>
      <c r="AX768" s="155"/>
    </row>
    <row r="769" spans="4:50">
      <c r="D769" s="155"/>
      <c r="E769" s="155"/>
      <c r="F769" s="155"/>
      <c r="G769" s="155"/>
      <c r="H769" s="155"/>
      <c r="I769" s="155"/>
      <c r="J769" s="155"/>
      <c r="K769" s="155"/>
      <c r="L769" s="155"/>
      <c r="M769" s="155"/>
      <c r="N769" s="155"/>
      <c r="O769" s="155"/>
      <c r="P769" s="155"/>
      <c r="Q769" s="155"/>
      <c r="R769" s="155"/>
      <c r="S769" s="155"/>
      <c r="T769" s="155"/>
      <c r="U769" s="155"/>
      <c r="V769" s="155"/>
      <c r="W769" s="155"/>
      <c r="X769" s="155"/>
      <c r="Y769" s="155"/>
      <c r="Z769" s="155"/>
      <c r="AA769" s="155"/>
      <c r="AB769" s="155"/>
      <c r="AC769" s="155"/>
      <c r="AD769" s="155"/>
      <c r="AE769" s="155"/>
      <c r="AF769" s="155"/>
      <c r="AG769" s="155"/>
      <c r="AH769" s="155"/>
      <c r="AI769" s="155"/>
      <c r="AJ769" s="155"/>
      <c r="AK769" s="155"/>
      <c r="AL769" s="155"/>
      <c r="AM769" s="155"/>
      <c r="AN769" s="155"/>
      <c r="AO769" s="155"/>
      <c r="AP769" s="155"/>
      <c r="AQ769" s="155"/>
      <c r="AR769" s="155"/>
      <c r="AS769" s="155"/>
      <c r="AT769" s="155"/>
      <c r="AU769" s="155"/>
      <c r="AV769" s="155"/>
      <c r="AW769" s="155"/>
      <c r="AX769" s="155"/>
    </row>
    <row r="770" spans="4:50">
      <c r="D770" s="155"/>
      <c r="E770" s="155"/>
      <c r="F770" s="155"/>
      <c r="G770" s="155"/>
      <c r="H770" s="155"/>
      <c r="I770" s="155"/>
      <c r="J770" s="155"/>
      <c r="K770" s="155"/>
      <c r="L770" s="155"/>
      <c r="M770" s="155"/>
      <c r="N770" s="155"/>
      <c r="O770" s="155"/>
      <c r="P770" s="155"/>
      <c r="Q770" s="155"/>
      <c r="R770" s="155"/>
      <c r="S770" s="155"/>
      <c r="T770" s="155"/>
      <c r="U770" s="155"/>
      <c r="V770" s="155"/>
      <c r="W770" s="155"/>
      <c r="X770" s="155"/>
      <c r="Y770" s="155"/>
      <c r="Z770" s="155"/>
      <c r="AA770" s="155"/>
      <c r="AB770" s="155"/>
      <c r="AC770" s="155"/>
      <c r="AD770" s="155"/>
      <c r="AE770" s="155"/>
      <c r="AF770" s="155"/>
      <c r="AG770" s="155"/>
      <c r="AH770" s="155"/>
      <c r="AI770" s="155"/>
      <c r="AJ770" s="155"/>
      <c r="AK770" s="155"/>
      <c r="AL770" s="155"/>
      <c r="AM770" s="155"/>
      <c r="AN770" s="155"/>
      <c r="AO770" s="155"/>
      <c r="AP770" s="155"/>
      <c r="AQ770" s="155"/>
      <c r="AR770" s="155"/>
      <c r="AS770" s="155"/>
      <c r="AT770" s="155"/>
      <c r="AU770" s="155"/>
      <c r="AV770" s="155"/>
      <c r="AW770" s="155"/>
      <c r="AX770" s="155"/>
    </row>
    <row r="771" spans="4:50">
      <c r="D771" s="155"/>
      <c r="E771" s="155"/>
      <c r="F771" s="155"/>
      <c r="G771" s="155"/>
      <c r="H771" s="155"/>
      <c r="I771" s="155"/>
      <c r="J771" s="155"/>
      <c r="K771" s="155"/>
      <c r="L771" s="155"/>
      <c r="M771" s="155"/>
      <c r="N771" s="155"/>
      <c r="O771" s="155"/>
      <c r="P771" s="155"/>
      <c r="Q771" s="155"/>
      <c r="R771" s="155"/>
      <c r="S771" s="155"/>
      <c r="T771" s="155"/>
      <c r="U771" s="155"/>
      <c r="V771" s="155"/>
      <c r="W771" s="155"/>
      <c r="X771" s="155"/>
      <c r="Y771" s="155"/>
      <c r="Z771" s="155"/>
      <c r="AA771" s="155"/>
      <c r="AB771" s="155"/>
      <c r="AC771" s="155"/>
      <c r="AD771" s="155"/>
      <c r="AE771" s="155"/>
      <c r="AF771" s="155"/>
      <c r="AG771" s="155"/>
      <c r="AH771" s="155"/>
      <c r="AI771" s="155"/>
      <c r="AJ771" s="155"/>
      <c r="AK771" s="155"/>
      <c r="AL771" s="155"/>
      <c r="AM771" s="155"/>
      <c r="AN771" s="155"/>
      <c r="AO771" s="155"/>
      <c r="AP771" s="155"/>
      <c r="AQ771" s="155"/>
      <c r="AR771" s="155"/>
      <c r="AS771" s="155"/>
      <c r="AT771" s="155"/>
      <c r="AU771" s="155"/>
      <c r="AV771" s="155"/>
      <c r="AW771" s="155"/>
      <c r="AX771" s="155"/>
    </row>
    <row r="772" spans="4:50">
      <c r="D772" s="155"/>
      <c r="E772" s="155"/>
      <c r="F772" s="155"/>
      <c r="G772" s="155"/>
      <c r="H772" s="155"/>
      <c r="I772" s="155"/>
      <c r="J772" s="155"/>
      <c r="K772" s="155"/>
      <c r="L772" s="155"/>
      <c r="M772" s="155"/>
      <c r="N772" s="155"/>
      <c r="O772" s="155"/>
      <c r="P772" s="155"/>
      <c r="Q772" s="155"/>
      <c r="R772" s="155"/>
      <c r="S772" s="155"/>
      <c r="T772" s="155"/>
      <c r="U772" s="155"/>
      <c r="V772" s="155"/>
      <c r="W772" s="155"/>
      <c r="X772" s="155"/>
      <c r="Y772" s="155"/>
      <c r="Z772" s="155"/>
      <c r="AA772" s="155"/>
      <c r="AB772" s="155"/>
      <c r="AC772" s="155"/>
      <c r="AD772" s="155"/>
      <c r="AE772" s="155"/>
      <c r="AF772" s="155"/>
      <c r="AG772" s="155"/>
      <c r="AH772" s="155"/>
      <c r="AI772" s="155"/>
      <c r="AJ772" s="155"/>
      <c r="AK772" s="155"/>
      <c r="AL772" s="155"/>
      <c r="AM772" s="155"/>
      <c r="AN772" s="155"/>
      <c r="AO772" s="155"/>
      <c r="AP772" s="155"/>
      <c r="AQ772" s="155"/>
      <c r="AR772" s="155"/>
      <c r="AS772" s="155"/>
      <c r="AT772" s="155"/>
      <c r="AU772" s="155"/>
      <c r="AV772" s="155"/>
      <c r="AW772" s="155"/>
      <c r="AX772" s="155"/>
    </row>
    <row r="773" spans="4:50">
      <c r="D773" s="155"/>
      <c r="E773" s="155"/>
      <c r="F773" s="155"/>
      <c r="G773" s="155"/>
      <c r="H773" s="155"/>
      <c r="I773" s="155"/>
      <c r="J773" s="155"/>
      <c r="K773" s="155"/>
      <c r="L773" s="155"/>
      <c r="M773" s="155"/>
      <c r="N773" s="155"/>
      <c r="O773" s="155"/>
      <c r="P773" s="155"/>
      <c r="Q773" s="155"/>
      <c r="R773" s="155"/>
      <c r="S773" s="155"/>
      <c r="T773" s="155"/>
      <c r="U773" s="155"/>
      <c r="V773" s="155"/>
      <c r="W773" s="155"/>
      <c r="X773" s="155"/>
      <c r="Y773" s="155"/>
      <c r="Z773" s="155"/>
      <c r="AA773" s="155"/>
      <c r="AB773" s="155"/>
      <c r="AC773" s="155"/>
      <c r="AD773" s="155"/>
      <c r="AE773" s="155"/>
      <c r="AF773" s="155"/>
      <c r="AG773" s="155"/>
      <c r="AH773" s="155"/>
      <c r="AI773" s="155"/>
      <c r="AJ773" s="155"/>
      <c r="AK773" s="155"/>
      <c r="AL773" s="155"/>
      <c r="AM773" s="155"/>
      <c r="AN773" s="155"/>
      <c r="AO773" s="155"/>
      <c r="AP773" s="155"/>
      <c r="AQ773" s="155"/>
      <c r="AR773" s="155"/>
      <c r="AS773" s="155"/>
      <c r="AT773" s="155"/>
      <c r="AU773" s="155"/>
      <c r="AV773" s="155"/>
      <c r="AW773" s="155"/>
      <c r="AX773" s="155"/>
    </row>
    <row r="774" spans="4:50">
      <c r="D774" s="155"/>
      <c r="E774" s="155"/>
      <c r="F774" s="155"/>
      <c r="G774" s="155"/>
      <c r="H774" s="155"/>
      <c r="I774" s="155"/>
      <c r="J774" s="155"/>
      <c r="K774" s="155"/>
      <c r="L774" s="155"/>
      <c r="M774" s="155"/>
      <c r="N774" s="155"/>
      <c r="O774" s="155"/>
      <c r="P774" s="155"/>
      <c r="Q774" s="155"/>
      <c r="R774" s="155"/>
      <c r="S774" s="155"/>
      <c r="T774" s="155"/>
      <c r="U774" s="155"/>
      <c r="V774" s="155"/>
      <c r="W774" s="155"/>
      <c r="X774" s="155"/>
      <c r="Y774" s="155"/>
      <c r="Z774" s="155"/>
      <c r="AA774" s="155"/>
      <c r="AB774" s="155"/>
      <c r="AC774" s="155"/>
      <c r="AD774" s="155"/>
      <c r="AE774" s="155"/>
      <c r="AF774" s="155"/>
      <c r="AG774" s="155"/>
      <c r="AH774" s="155"/>
      <c r="AI774" s="155"/>
      <c r="AJ774" s="155"/>
      <c r="AK774" s="155"/>
      <c r="AL774" s="155"/>
      <c r="AM774" s="155"/>
      <c r="AN774" s="155"/>
      <c r="AO774" s="155"/>
      <c r="AP774" s="155"/>
      <c r="AQ774" s="155"/>
      <c r="AR774" s="155"/>
      <c r="AS774" s="155"/>
      <c r="AT774" s="155"/>
      <c r="AU774" s="155"/>
      <c r="AV774" s="155"/>
      <c r="AW774" s="155"/>
      <c r="AX774" s="155"/>
    </row>
    <row r="775" spans="4:50">
      <c r="D775" s="155"/>
      <c r="E775" s="155"/>
      <c r="F775" s="155"/>
      <c r="G775" s="155"/>
      <c r="H775" s="155"/>
      <c r="I775" s="155"/>
      <c r="J775" s="155"/>
      <c r="K775" s="155"/>
      <c r="L775" s="155"/>
      <c r="M775" s="155"/>
      <c r="N775" s="155"/>
      <c r="O775" s="155"/>
      <c r="P775" s="155"/>
      <c r="Q775" s="155"/>
      <c r="R775" s="155"/>
      <c r="S775" s="155"/>
      <c r="T775" s="155"/>
      <c r="U775" s="155"/>
      <c r="V775" s="155"/>
      <c r="W775" s="155"/>
      <c r="X775" s="155"/>
      <c r="Y775" s="155"/>
      <c r="Z775" s="155"/>
      <c r="AA775" s="155"/>
      <c r="AB775" s="155"/>
      <c r="AC775" s="155"/>
      <c r="AD775" s="155"/>
      <c r="AE775" s="155"/>
      <c r="AF775" s="155"/>
      <c r="AG775" s="155"/>
      <c r="AH775" s="155"/>
      <c r="AI775" s="155"/>
      <c r="AJ775" s="155"/>
      <c r="AK775" s="155"/>
      <c r="AL775" s="155"/>
      <c r="AM775" s="155"/>
      <c r="AN775" s="155"/>
      <c r="AO775" s="155"/>
      <c r="AP775" s="155"/>
      <c r="AQ775" s="155"/>
      <c r="AR775" s="155"/>
      <c r="AS775" s="155"/>
      <c r="AT775" s="155"/>
      <c r="AU775" s="155"/>
      <c r="AV775" s="155"/>
      <c r="AW775" s="155"/>
      <c r="AX775" s="155"/>
    </row>
    <row r="776" spans="4:50">
      <c r="D776" s="155"/>
      <c r="E776" s="155"/>
      <c r="F776" s="155"/>
      <c r="G776" s="155"/>
      <c r="H776" s="155"/>
      <c r="I776" s="155"/>
      <c r="J776" s="155"/>
      <c r="K776" s="155"/>
      <c r="L776" s="155"/>
      <c r="M776" s="155"/>
      <c r="N776" s="155"/>
      <c r="O776" s="155"/>
      <c r="P776" s="155"/>
      <c r="Q776" s="155"/>
      <c r="R776" s="155"/>
      <c r="S776" s="155"/>
      <c r="T776" s="155"/>
      <c r="U776" s="155"/>
      <c r="V776" s="155"/>
      <c r="W776" s="155"/>
      <c r="X776" s="155"/>
      <c r="Y776" s="155"/>
      <c r="Z776" s="155"/>
      <c r="AA776" s="155"/>
      <c r="AB776" s="155"/>
      <c r="AC776" s="155"/>
      <c r="AD776" s="155"/>
      <c r="AE776" s="155"/>
      <c r="AF776" s="155"/>
      <c r="AG776" s="155"/>
      <c r="AH776" s="155"/>
      <c r="AI776" s="155"/>
      <c r="AJ776" s="155"/>
      <c r="AK776" s="155"/>
      <c r="AL776" s="155"/>
      <c r="AM776" s="155"/>
      <c r="AN776" s="155"/>
      <c r="AO776" s="155"/>
      <c r="AP776" s="155"/>
      <c r="AQ776" s="155"/>
      <c r="AR776" s="155"/>
      <c r="AS776" s="155"/>
      <c r="AT776" s="155"/>
      <c r="AU776" s="155"/>
      <c r="AV776" s="155"/>
      <c r="AW776" s="155"/>
      <c r="AX776" s="155"/>
    </row>
    <row r="777" spans="4:50">
      <c r="D777" s="155"/>
      <c r="E777" s="155"/>
      <c r="F777" s="155"/>
      <c r="G777" s="155"/>
      <c r="H777" s="155"/>
      <c r="I777" s="155"/>
      <c r="J777" s="155"/>
      <c r="K777" s="155"/>
      <c r="L777" s="155"/>
      <c r="M777" s="155"/>
      <c r="N777" s="155"/>
      <c r="O777" s="155"/>
      <c r="P777" s="155"/>
      <c r="Q777" s="155"/>
      <c r="R777" s="155"/>
      <c r="S777" s="155"/>
      <c r="T777" s="155"/>
      <c r="U777" s="155"/>
      <c r="V777" s="155"/>
      <c r="W777" s="155"/>
      <c r="X777" s="155"/>
      <c r="Y777" s="155"/>
      <c r="Z777" s="155"/>
      <c r="AA777" s="155"/>
      <c r="AB777" s="155"/>
      <c r="AC777" s="155"/>
      <c r="AD777" s="155"/>
      <c r="AE777" s="155"/>
      <c r="AF777" s="155"/>
      <c r="AG777" s="155"/>
      <c r="AH777" s="155"/>
      <c r="AI777" s="155"/>
      <c r="AJ777" s="155"/>
      <c r="AK777" s="155"/>
      <c r="AL777" s="155"/>
      <c r="AM777" s="155"/>
      <c r="AN777" s="155"/>
      <c r="AO777" s="155"/>
      <c r="AP777" s="155"/>
      <c r="AQ777" s="155"/>
      <c r="AR777" s="155"/>
      <c r="AS777" s="155"/>
      <c r="AT777" s="155"/>
      <c r="AU777" s="155"/>
      <c r="AV777" s="155"/>
      <c r="AW777" s="155"/>
      <c r="AX777" s="155"/>
    </row>
    <row r="778" spans="4:50">
      <c r="D778" s="155"/>
      <c r="E778" s="155"/>
      <c r="F778" s="155"/>
      <c r="G778" s="155"/>
      <c r="H778" s="155"/>
      <c r="I778" s="155"/>
      <c r="J778" s="155"/>
      <c r="K778" s="155"/>
      <c r="L778" s="155"/>
      <c r="M778" s="155"/>
      <c r="N778" s="155"/>
      <c r="O778" s="155"/>
      <c r="P778" s="155"/>
      <c r="Q778" s="155"/>
      <c r="R778" s="155"/>
      <c r="S778" s="155"/>
      <c r="T778" s="155"/>
      <c r="U778" s="155"/>
      <c r="V778" s="155"/>
      <c r="W778" s="155"/>
      <c r="X778" s="155"/>
      <c r="Y778" s="155"/>
      <c r="Z778" s="155"/>
      <c r="AA778" s="155"/>
      <c r="AB778" s="155"/>
      <c r="AC778" s="155"/>
      <c r="AD778" s="155"/>
      <c r="AE778" s="155"/>
      <c r="AF778" s="155"/>
      <c r="AG778" s="155"/>
      <c r="AH778" s="155"/>
      <c r="AI778" s="155"/>
      <c r="AJ778" s="155"/>
      <c r="AK778" s="155"/>
      <c r="AL778" s="155"/>
      <c r="AM778" s="155"/>
      <c r="AN778" s="155"/>
      <c r="AO778" s="155"/>
      <c r="AP778" s="155"/>
      <c r="AQ778" s="155"/>
      <c r="AR778" s="155"/>
      <c r="AS778" s="155"/>
      <c r="AT778" s="155"/>
      <c r="AU778" s="155"/>
      <c r="AV778" s="155"/>
      <c r="AW778" s="155"/>
      <c r="AX778" s="155"/>
    </row>
    <row r="779" spans="4:50">
      <c r="D779" s="155"/>
      <c r="E779" s="155"/>
      <c r="F779" s="155"/>
      <c r="G779" s="155"/>
      <c r="H779" s="155"/>
      <c r="I779" s="155"/>
      <c r="J779" s="155"/>
      <c r="K779" s="155"/>
      <c r="L779" s="155"/>
      <c r="M779" s="155"/>
      <c r="N779" s="155"/>
      <c r="O779" s="155"/>
      <c r="P779" s="155"/>
      <c r="Q779" s="155"/>
      <c r="R779" s="155"/>
      <c r="S779" s="155"/>
      <c r="T779" s="155"/>
      <c r="U779" s="155"/>
      <c r="V779" s="155"/>
      <c r="W779" s="155"/>
      <c r="X779" s="155"/>
      <c r="Y779" s="155"/>
      <c r="Z779" s="155"/>
      <c r="AA779" s="155"/>
      <c r="AB779" s="155"/>
      <c r="AC779" s="155"/>
      <c r="AD779" s="155"/>
      <c r="AE779" s="155"/>
      <c r="AF779" s="155"/>
      <c r="AG779" s="155"/>
      <c r="AH779" s="155"/>
      <c r="AI779" s="155"/>
      <c r="AJ779" s="155"/>
      <c r="AK779" s="155"/>
      <c r="AL779" s="155"/>
      <c r="AM779" s="155"/>
      <c r="AN779" s="155"/>
      <c r="AO779" s="155"/>
      <c r="AP779" s="155"/>
      <c r="AQ779" s="155"/>
      <c r="AR779" s="155"/>
      <c r="AS779" s="155"/>
      <c r="AT779" s="155"/>
      <c r="AU779" s="155"/>
      <c r="AV779" s="155"/>
      <c r="AW779" s="155"/>
      <c r="AX779" s="155"/>
    </row>
    <row r="780" spans="4:50">
      <c r="D780" s="155"/>
      <c r="E780" s="155"/>
      <c r="F780" s="155"/>
      <c r="G780" s="155"/>
      <c r="H780" s="155"/>
      <c r="I780" s="155"/>
      <c r="J780" s="155"/>
      <c r="K780" s="155"/>
      <c r="L780" s="155"/>
      <c r="M780" s="155"/>
      <c r="N780" s="155"/>
      <c r="O780" s="155"/>
      <c r="P780" s="155"/>
      <c r="Q780" s="155"/>
      <c r="R780" s="155"/>
      <c r="S780" s="155"/>
      <c r="T780" s="155"/>
      <c r="U780" s="155"/>
      <c r="V780" s="155"/>
      <c r="W780" s="155"/>
      <c r="X780" s="155"/>
      <c r="Y780" s="155"/>
      <c r="Z780" s="155"/>
      <c r="AA780" s="155"/>
      <c r="AB780" s="155"/>
      <c r="AC780" s="155"/>
      <c r="AD780" s="155"/>
      <c r="AE780" s="155"/>
      <c r="AF780" s="155"/>
      <c r="AG780" s="155"/>
      <c r="AH780" s="155"/>
      <c r="AI780" s="155"/>
      <c r="AJ780" s="155"/>
      <c r="AK780" s="155"/>
      <c r="AL780" s="155"/>
      <c r="AM780" s="155"/>
      <c r="AN780" s="155"/>
      <c r="AO780" s="155"/>
      <c r="AP780" s="155"/>
      <c r="AQ780" s="155"/>
      <c r="AR780" s="155"/>
      <c r="AS780" s="155"/>
      <c r="AT780" s="155"/>
      <c r="AU780" s="155"/>
      <c r="AV780" s="155"/>
      <c r="AW780" s="155"/>
      <c r="AX780" s="155"/>
    </row>
    <row r="781" spans="4:50">
      <c r="D781" s="155"/>
      <c r="E781" s="155"/>
      <c r="F781" s="155"/>
      <c r="G781" s="155"/>
      <c r="H781" s="155"/>
      <c r="I781" s="155"/>
      <c r="J781" s="155"/>
      <c r="K781" s="155"/>
      <c r="L781" s="155"/>
      <c r="M781" s="155"/>
      <c r="N781" s="155"/>
      <c r="O781" s="155"/>
      <c r="P781" s="155"/>
      <c r="Q781" s="155"/>
      <c r="R781" s="155"/>
      <c r="S781" s="155"/>
      <c r="T781" s="155"/>
      <c r="U781" s="155"/>
      <c r="V781" s="155"/>
      <c r="W781" s="155"/>
      <c r="X781" s="155"/>
      <c r="Y781" s="155"/>
      <c r="Z781" s="155"/>
      <c r="AA781" s="155"/>
      <c r="AB781" s="155"/>
      <c r="AC781" s="155"/>
      <c r="AD781" s="155"/>
      <c r="AE781" s="155"/>
      <c r="AF781" s="155"/>
      <c r="AG781" s="155"/>
      <c r="AH781" s="155"/>
      <c r="AI781" s="155"/>
      <c r="AJ781" s="155"/>
      <c r="AK781" s="155"/>
      <c r="AL781" s="155"/>
      <c r="AM781" s="155"/>
      <c r="AN781" s="155"/>
      <c r="AO781" s="155"/>
      <c r="AP781" s="155"/>
      <c r="AQ781" s="155"/>
      <c r="AR781" s="155"/>
      <c r="AS781" s="155"/>
      <c r="AT781" s="155"/>
      <c r="AU781" s="155"/>
      <c r="AV781" s="155"/>
      <c r="AW781" s="155"/>
      <c r="AX781" s="155"/>
    </row>
    <row r="782" spans="4:50">
      <c r="D782" s="155"/>
      <c r="E782" s="155"/>
      <c r="F782" s="155"/>
      <c r="G782" s="155"/>
      <c r="H782" s="155"/>
      <c r="I782" s="155"/>
      <c r="J782" s="155"/>
      <c r="K782" s="155"/>
      <c r="L782" s="155"/>
      <c r="M782" s="155"/>
      <c r="N782" s="155"/>
      <c r="O782" s="155"/>
      <c r="P782" s="155"/>
      <c r="Q782" s="155"/>
      <c r="R782" s="155"/>
      <c r="S782" s="155"/>
      <c r="T782" s="155"/>
      <c r="U782" s="155"/>
      <c r="V782" s="155"/>
      <c r="W782" s="155"/>
      <c r="X782" s="155"/>
      <c r="Y782" s="155"/>
      <c r="Z782" s="155"/>
      <c r="AA782" s="155"/>
      <c r="AB782" s="155"/>
      <c r="AC782" s="155"/>
      <c r="AD782" s="155"/>
      <c r="AE782" s="155"/>
      <c r="AF782" s="155"/>
      <c r="AG782" s="155"/>
      <c r="AH782" s="155"/>
      <c r="AI782" s="155"/>
      <c r="AJ782" s="155"/>
      <c r="AK782" s="155"/>
      <c r="AL782" s="155"/>
      <c r="AM782" s="155"/>
      <c r="AN782" s="155"/>
      <c r="AO782" s="155"/>
      <c r="AP782" s="155"/>
      <c r="AQ782" s="155"/>
      <c r="AR782" s="155"/>
      <c r="AS782" s="155"/>
      <c r="AT782" s="155"/>
      <c r="AU782" s="155"/>
      <c r="AV782" s="155"/>
      <c r="AW782" s="155"/>
      <c r="AX782" s="155"/>
    </row>
    <row r="783" spans="4:50">
      <c r="D783" s="155"/>
      <c r="E783" s="155"/>
      <c r="F783" s="155"/>
      <c r="G783" s="155"/>
      <c r="H783" s="155"/>
      <c r="I783" s="155"/>
      <c r="J783" s="155"/>
      <c r="K783" s="155"/>
      <c r="L783" s="155"/>
      <c r="M783" s="155"/>
      <c r="N783" s="155"/>
      <c r="O783" s="155"/>
      <c r="P783" s="155"/>
      <c r="Q783" s="155"/>
      <c r="R783" s="155"/>
      <c r="S783" s="155"/>
      <c r="T783" s="155"/>
      <c r="U783" s="155"/>
      <c r="V783" s="155"/>
      <c r="W783" s="155"/>
      <c r="X783" s="155"/>
      <c r="Y783" s="155"/>
      <c r="Z783" s="155"/>
      <c r="AA783" s="155"/>
      <c r="AB783" s="155"/>
      <c r="AC783" s="155"/>
      <c r="AD783" s="155"/>
      <c r="AE783" s="155"/>
      <c r="AF783" s="155"/>
      <c r="AG783" s="155"/>
      <c r="AH783" s="155"/>
      <c r="AI783" s="155"/>
      <c r="AJ783" s="155"/>
      <c r="AK783" s="155"/>
      <c r="AL783" s="155"/>
      <c r="AM783" s="155"/>
      <c r="AN783" s="155"/>
      <c r="AO783" s="155"/>
      <c r="AP783" s="155"/>
      <c r="AQ783" s="155"/>
      <c r="AR783" s="155"/>
      <c r="AS783" s="155"/>
      <c r="AT783" s="155"/>
      <c r="AU783" s="155"/>
      <c r="AV783" s="155"/>
      <c r="AW783" s="155"/>
      <c r="AX783" s="155"/>
    </row>
    <row r="784" spans="4:50">
      <c r="D784" s="155"/>
      <c r="E784" s="155"/>
      <c r="F784" s="155"/>
      <c r="G784" s="155"/>
      <c r="H784" s="155"/>
      <c r="I784" s="155"/>
      <c r="J784" s="155"/>
      <c r="K784" s="155"/>
      <c r="L784" s="155"/>
      <c r="M784" s="155"/>
      <c r="N784" s="155"/>
      <c r="O784" s="155"/>
      <c r="P784" s="155"/>
      <c r="Q784" s="155"/>
      <c r="R784" s="155"/>
      <c r="S784" s="155"/>
      <c r="T784" s="155"/>
      <c r="U784" s="155"/>
      <c r="V784" s="155"/>
      <c r="W784" s="155"/>
      <c r="X784" s="155"/>
      <c r="Y784" s="155"/>
      <c r="Z784" s="155"/>
      <c r="AA784" s="155"/>
      <c r="AB784" s="155"/>
      <c r="AC784" s="155"/>
      <c r="AD784" s="155"/>
      <c r="AE784" s="155"/>
      <c r="AF784" s="155"/>
      <c r="AG784" s="155"/>
      <c r="AH784" s="155"/>
      <c r="AI784" s="155"/>
      <c r="AJ784" s="155"/>
      <c r="AK784" s="155"/>
      <c r="AL784" s="155"/>
      <c r="AM784" s="155"/>
      <c r="AN784" s="155"/>
      <c r="AO784" s="155"/>
      <c r="AP784" s="155"/>
      <c r="AQ784" s="155"/>
      <c r="AR784" s="155"/>
      <c r="AS784" s="155"/>
      <c r="AT784" s="155"/>
      <c r="AU784" s="155"/>
      <c r="AV784" s="155"/>
      <c r="AW784" s="155"/>
      <c r="AX784" s="155"/>
    </row>
    <row r="785" spans="4:50">
      <c r="D785" s="155"/>
      <c r="E785" s="155"/>
      <c r="F785" s="155"/>
      <c r="G785" s="155"/>
      <c r="H785" s="155"/>
      <c r="I785" s="155"/>
      <c r="J785" s="155"/>
      <c r="K785" s="155"/>
      <c r="L785" s="155"/>
      <c r="M785" s="155"/>
      <c r="N785" s="155"/>
      <c r="O785" s="155"/>
      <c r="P785" s="155"/>
      <c r="Q785" s="155"/>
      <c r="R785" s="155"/>
      <c r="S785" s="155"/>
      <c r="T785" s="155"/>
      <c r="U785" s="155"/>
      <c r="V785" s="155"/>
      <c r="W785" s="155"/>
      <c r="X785" s="155"/>
      <c r="Y785" s="155"/>
      <c r="Z785" s="155"/>
      <c r="AA785" s="155"/>
      <c r="AB785" s="155"/>
      <c r="AC785" s="155"/>
      <c r="AD785" s="155"/>
      <c r="AE785" s="155"/>
      <c r="AF785" s="155"/>
      <c r="AG785" s="155"/>
      <c r="AH785" s="155"/>
      <c r="AI785" s="155"/>
      <c r="AJ785" s="155"/>
      <c r="AK785" s="155"/>
      <c r="AL785" s="155"/>
      <c r="AM785" s="155"/>
      <c r="AN785" s="155"/>
      <c r="AO785" s="155"/>
      <c r="AP785" s="155"/>
      <c r="AQ785" s="155"/>
      <c r="AR785" s="155"/>
      <c r="AS785" s="155"/>
      <c r="AT785" s="155"/>
      <c r="AU785" s="155"/>
      <c r="AV785" s="155"/>
      <c r="AW785" s="155"/>
      <c r="AX785" s="155"/>
    </row>
    <row r="786" spans="4:50">
      <c r="D786" s="155"/>
      <c r="E786" s="155"/>
      <c r="F786" s="155"/>
      <c r="G786" s="155"/>
      <c r="H786" s="155"/>
      <c r="I786" s="155"/>
      <c r="J786" s="155"/>
      <c r="K786" s="155"/>
      <c r="L786" s="155"/>
      <c r="M786" s="155"/>
      <c r="N786" s="155"/>
      <c r="O786" s="155"/>
      <c r="P786" s="155"/>
      <c r="Q786" s="155"/>
      <c r="R786" s="155"/>
      <c r="S786" s="155"/>
      <c r="T786" s="155"/>
      <c r="U786" s="155"/>
      <c r="V786" s="155"/>
      <c r="W786" s="155"/>
      <c r="X786" s="155"/>
      <c r="Y786" s="155"/>
      <c r="Z786" s="155"/>
      <c r="AA786" s="155"/>
      <c r="AB786" s="155"/>
      <c r="AC786" s="155"/>
      <c r="AD786" s="155"/>
      <c r="AE786" s="155"/>
      <c r="AF786" s="155"/>
      <c r="AG786" s="155"/>
      <c r="AH786" s="155"/>
      <c r="AI786" s="155"/>
      <c r="AJ786" s="155"/>
      <c r="AK786" s="155"/>
      <c r="AL786" s="155"/>
      <c r="AM786" s="155"/>
      <c r="AN786" s="155"/>
      <c r="AO786" s="155"/>
      <c r="AP786" s="155"/>
      <c r="AQ786" s="155"/>
      <c r="AR786" s="155"/>
      <c r="AS786" s="155"/>
      <c r="AT786" s="155"/>
      <c r="AU786" s="155"/>
      <c r="AV786" s="155"/>
      <c r="AW786" s="155"/>
      <c r="AX786" s="155"/>
    </row>
    <row r="787" spans="4:50">
      <c r="D787" s="155"/>
      <c r="E787" s="155"/>
      <c r="F787" s="155"/>
      <c r="G787" s="155"/>
      <c r="H787" s="155"/>
      <c r="I787" s="155"/>
      <c r="J787" s="155"/>
      <c r="K787" s="155"/>
      <c r="L787" s="155"/>
      <c r="M787" s="155"/>
      <c r="N787" s="155"/>
      <c r="O787" s="155"/>
      <c r="P787" s="155"/>
      <c r="Q787" s="155"/>
      <c r="R787" s="155"/>
      <c r="S787" s="155"/>
      <c r="T787" s="155"/>
      <c r="U787" s="155"/>
      <c r="V787" s="155"/>
      <c r="W787" s="155"/>
      <c r="X787" s="155"/>
      <c r="Y787" s="155"/>
      <c r="Z787" s="155"/>
      <c r="AA787" s="155"/>
      <c r="AB787" s="155"/>
      <c r="AC787" s="155"/>
      <c r="AD787" s="155"/>
      <c r="AE787" s="155"/>
      <c r="AF787" s="155"/>
      <c r="AG787" s="155"/>
      <c r="AH787" s="155"/>
      <c r="AI787" s="155"/>
      <c r="AJ787" s="155"/>
      <c r="AK787" s="155"/>
      <c r="AL787" s="155"/>
      <c r="AM787" s="155"/>
      <c r="AN787" s="155"/>
      <c r="AO787" s="155"/>
      <c r="AP787" s="155"/>
      <c r="AQ787" s="155"/>
      <c r="AR787" s="155"/>
      <c r="AS787" s="155"/>
      <c r="AT787" s="155"/>
      <c r="AU787" s="155"/>
      <c r="AV787" s="155"/>
      <c r="AW787" s="155"/>
      <c r="AX787" s="155"/>
    </row>
    <row r="788" spans="4:50">
      <c r="D788" s="155"/>
      <c r="E788" s="155"/>
      <c r="F788" s="155"/>
      <c r="G788" s="155"/>
      <c r="H788" s="155"/>
      <c r="I788" s="155"/>
      <c r="J788" s="155"/>
      <c r="K788" s="155"/>
      <c r="L788" s="155"/>
      <c r="M788" s="155"/>
      <c r="N788" s="155"/>
      <c r="O788" s="155"/>
      <c r="P788" s="155"/>
      <c r="Q788" s="155"/>
      <c r="R788" s="155"/>
      <c r="S788" s="155"/>
      <c r="T788" s="155"/>
      <c r="U788" s="155"/>
      <c r="V788" s="155"/>
      <c r="W788" s="155"/>
      <c r="X788" s="155"/>
      <c r="Y788" s="155"/>
      <c r="Z788" s="155"/>
      <c r="AA788" s="155"/>
      <c r="AB788" s="155"/>
      <c r="AC788" s="155"/>
      <c r="AD788" s="155"/>
      <c r="AE788" s="155"/>
      <c r="AF788" s="155"/>
      <c r="AG788" s="155"/>
      <c r="AH788" s="155"/>
      <c r="AI788" s="155"/>
      <c r="AJ788" s="155"/>
      <c r="AK788" s="155"/>
      <c r="AL788" s="155"/>
      <c r="AM788" s="155"/>
      <c r="AN788" s="155"/>
      <c r="AO788" s="155"/>
      <c r="AP788" s="155"/>
      <c r="AQ788" s="155"/>
      <c r="AR788" s="155"/>
      <c r="AS788" s="155"/>
      <c r="AT788" s="155"/>
      <c r="AU788" s="155"/>
      <c r="AV788" s="155"/>
      <c r="AW788" s="155"/>
      <c r="AX788" s="155"/>
    </row>
    <row r="789" spans="4:50">
      <c r="D789" s="155"/>
      <c r="E789" s="155"/>
      <c r="F789" s="155"/>
      <c r="G789" s="155"/>
      <c r="H789" s="155"/>
      <c r="I789" s="155"/>
      <c r="J789" s="155"/>
      <c r="K789" s="155"/>
      <c r="L789" s="155"/>
      <c r="M789" s="155"/>
      <c r="N789" s="155"/>
      <c r="O789" s="155"/>
      <c r="P789" s="155"/>
      <c r="Q789" s="155"/>
      <c r="R789" s="155"/>
      <c r="S789" s="155"/>
      <c r="T789" s="155"/>
      <c r="U789" s="155"/>
      <c r="V789" s="155"/>
      <c r="W789" s="155"/>
      <c r="X789" s="155"/>
      <c r="Y789" s="155"/>
      <c r="Z789" s="155"/>
      <c r="AA789" s="155"/>
      <c r="AB789" s="155"/>
      <c r="AC789" s="155"/>
      <c r="AD789" s="155"/>
      <c r="AE789" s="155"/>
      <c r="AF789" s="155"/>
      <c r="AG789" s="155"/>
      <c r="AH789" s="155"/>
      <c r="AI789" s="155"/>
      <c r="AJ789" s="155"/>
      <c r="AK789" s="155"/>
      <c r="AL789" s="155"/>
      <c r="AM789" s="155"/>
      <c r="AN789" s="155"/>
      <c r="AO789" s="155"/>
      <c r="AP789" s="155"/>
      <c r="AQ789" s="155"/>
      <c r="AR789" s="155"/>
      <c r="AS789" s="155"/>
      <c r="AT789" s="155"/>
      <c r="AU789" s="155"/>
      <c r="AV789" s="155"/>
      <c r="AW789" s="155"/>
      <c r="AX789" s="155"/>
    </row>
    <row r="790" spans="4:50">
      <c r="D790" s="155"/>
      <c r="E790" s="155"/>
      <c r="F790" s="155"/>
      <c r="G790" s="155"/>
      <c r="H790" s="155"/>
      <c r="I790" s="155"/>
      <c r="J790" s="155"/>
      <c r="K790" s="155"/>
      <c r="L790" s="155"/>
      <c r="M790" s="155"/>
      <c r="N790" s="155"/>
      <c r="O790" s="155"/>
      <c r="P790" s="155"/>
      <c r="Q790" s="155"/>
      <c r="R790" s="155"/>
      <c r="S790" s="155"/>
      <c r="T790" s="155"/>
      <c r="U790" s="155"/>
      <c r="V790" s="155"/>
      <c r="W790" s="155"/>
      <c r="X790" s="155"/>
      <c r="Y790" s="155"/>
      <c r="Z790" s="155"/>
      <c r="AA790" s="155"/>
      <c r="AB790" s="155"/>
      <c r="AC790" s="155"/>
      <c r="AD790" s="155"/>
      <c r="AE790" s="155"/>
      <c r="AF790" s="155"/>
      <c r="AG790" s="155"/>
      <c r="AH790" s="155"/>
      <c r="AI790" s="155"/>
      <c r="AJ790" s="155"/>
      <c r="AK790" s="155"/>
      <c r="AL790" s="155"/>
      <c r="AM790" s="155"/>
      <c r="AN790" s="155"/>
      <c r="AO790" s="155"/>
      <c r="AP790" s="155"/>
      <c r="AQ790" s="155"/>
      <c r="AR790" s="155"/>
      <c r="AS790" s="155"/>
      <c r="AT790" s="155"/>
      <c r="AU790" s="155"/>
      <c r="AV790" s="155"/>
      <c r="AW790" s="155"/>
      <c r="AX790" s="155"/>
    </row>
    <row r="791" spans="4:50">
      <c r="D791" s="155"/>
      <c r="E791" s="155"/>
      <c r="F791" s="155"/>
      <c r="G791" s="155"/>
      <c r="H791" s="155"/>
      <c r="I791" s="155"/>
      <c r="J791" s="155"/>
      <c r="K791" s="155"/>
      <c r="L791" s="155"/>
      <c r="M791" s="155"/>
      <c r="N791" s="155"/>
      <c r="O791" s="155"/>
      <c r="P791" s="155"/>
      <c r="Q791" s="155"/>
      <c r="R791" s="155"/>
      <c r="S791" s="155"/>
      <c r="T791" s="155"/>
      <c r="U791" s="155"/>
      <c r="V791" s="155"/>
      <c r="W791" s="155"/>
      <c r="X791" s="155"/>
      <c r="Y791" s="155"/>
      <c r="Z791" s="155"/>
      <c r="AA791" s="155"/>
      <c r="AB791" s="155"/>
      <c r="AC791" s="155"/>
      <c r="AD791" s="155"/>
      <c r="AE791" s="155"/>
      <c r="AF791" s="155"/>
      <c r="AG791" s="155"/>
      <c r="AH791" s="155"/>
      <c r="AI791" s="155"/>
      <c r="AJ791" s="155"/>
      <c r="AK791" s="155"/>
      <c r="AL791" s="155"/>
      <c r="AM791" s="155"/>
      <c r="AN791" s="155"/>
      <c r="AO791" s="155"/>
      <c r="AP791" s="155"/>
      <c r="AQ791" s="155"/>
      <c r="AR791" s="155"/>
      <c r="AS791" s="155"/>
      <c r="AT791" s="155"/>
      <c r="AU791" s="155"/>
      <c r="AV791" s="155"/>
      <c r="AW791" s="155"/>
      <c r="AX791" s="155"/>
    </row>
    <row r="792" spans="4:50">
      <c r="D792" s="155"/>
      <c r="E792" s="155"/>
      <c r="F792" s="155"/>
      <c r="G792" s="155"/>
      <c r="H792" s="155"/>
      <c r="I792" s="155"/>
      <c r="J792" s="155"/>
      <c r="K792" s="155"/>
      <c r="L792" s="155"/>
      <c r="M792" s="155"/>
      <c r="N792" s="155"/>
      <c r="O792" s="155"/>
      <c r="P792" s="155"/>
      <c r="Q792" s="155"/>
      <c r="R792" s="155"/>
      <c r="S792" s="155"/>
      <c r="T792" s="155"/>
      <c r="U792" s="155"/>
      <c r="V792" s="155"/>
      <c r="W792" s="155"/>
      <c r="X792" s="155"/>
      <c r="Y792" s="155"/>
      <c r="Z792" s="155"/>
      <c r="AA792" s="155"/>
      <c r="AB792" s="155"/>
      <c r="AC792" s="155"/>
      <c r="AD792" s="155"/>
      <c r="AE792" s="155"/>
      <c r="AF792" s="155"/>
      <c r="AG792" s="155"/>
      <c r="AH792" s="155"/>
      <c r="AI792" s="155"/>
      <c r="AJ792" s="155"/>
      <c r="AK792" s="155"/>
      <c r="AL792" s="155"/>
      <c r="AM792" s="155"/>
      <c r="AN792" s="155"/>
      <c r="AO792" s="155"/>
      <c r="AP792" s="155"/>
      <c r="AQ792" s="155"/>
      <c r="AR792" s="155"/>
      <c r="AS792" s="155"/>
      <c r="AT792" s="155"/>
      <c r="AU792" s="155"/>
      <c r="AV792" s="155"/>
      <c r="AW792" s="155"/>
      <c r="AX792" s="155"/>
    </row>
    <row r="793" spans="4:50">
      <c r="D793" s="155"/>
      <c r="E793" s="155"/>
      <c r="F793" s="155"/>
      <c r="G793" s="155"/>
      <c r="H793" s="155"/>
      <c r="I793" s="155"/>
      <c r="J793" s="155"/>
      <c r="K793" s="155"/>
      <c r="L793" s="155"/>
      <c r="M793" s="155"/>
      <c r="N793" s="155"/>
      <c r="O793" s="155"/>
      <c r="P793" s="155"/>
      <c r="Q793" s="155"/>
      <c r="R793" s="155"/>
      <c r="S793" s="155"/>
      <c r="T793" s="155"/>
      <c r="U793" s="155"/>
      <c r="V793" s="155"/>
      <c r="W793" s="155"/>
      <c r="X793" s="155"/>
      <c r="Y793" s="155"/>
      <c r="Z793" s="155"/>
      <c r="AA793" s="155"/>
      <c r="AB793" s="155"/>
      <c r="AC793" s="155"/>
      <c r="AD793" s="155"/>
      <c r="AE793" s="155"/>
      <c r="AF793" s="155"/>
      <c r="AG793" s="155"/>
      <c r="AH793" s="155"/>
      <c r="AI793" s="155"/>
      <c r="AJ793" s="155"/>
      <c r="AK793" s="155"/>
      <c r="AL793" s="155"/>
      <c r="AM793" s="155"/>
      <c r="AN793" s="155"/>
      <c r="AO793" s="155"/>
      <c r="AP793" s="155"/>
      <c r="AQ793" s="155"/>
      <c r="AR793" s="155"/>
      <c r="AS793" s="155"/>
      <c r="AT793" s="155"/>
      <c r="AU793" s="155"/>
      <c r="AV793" s="155"/>
      <c r="AW793" s="155"/>
      <c r="AX793" s="155"/>
    </row>
    <row r="794" spans="4:50">
      <c r="D794" s="155"/>
      <c r="E794" s="155"/>
      <c r="F794" s="155"/>
      <c r="G794" s="155"/>
      <c r="H794" s="155"/>
      <c r="I794" s="155"/>
      <c r="J794" s="155"/>
      <c r="K794" s="155"/>
      <c r="L794" s="155"/>
      <c r="M794" s="155"/>
      <c r="N794" s="155"/>
      <c r="O794" s="155"/>
      <c r="P794" s="155"/>
      <c r="Q794" s="155"/>
      <c r="R794" s="155"/>
      <c r="S794" s="155"/>
      <c r="T794" s="155"/>
      <c r="U794" s="155"/>
      <c r="V794" s="155"/>
      <c r="W794" s="155"/>
      <c r="X794" s="155"/>
      <c r="Y794" s="155"/>
      <c r="Z794" s="155"/>
      <c r="AA794" s="155"/>
      <c r="AB794" s="155"/>
      <c r="AC794" s="155"/>
      <c r="AD794" s="155"/>
      <c r="AE794" s="155"/>
      <c r="AF794" s="155"/>
      <c r="AG794" s="155"/>
      <c r="AH794" s="155"/>
      <c r="AI794" s="155"/>
      <c r="AJ794" s="155"/>
      <c r="AK794" s="155"/>
      <c r="AL794" s="155"/>
      <c r="AM794" s="155"/>
      <c r="AN794" s="155"/>
      <c r="AO794" s="155"/>
      <c r="AP794" s="155"/>
      <c r="AQ794" s="155"/>
      <c r="AR794" s="155"/>
      <c r="AS794" s="155"/>
      <c r="AT794" s="155"/>
      <c r="AU794" s="155"/>
      <c r="AV794" s="155"/>
      <c r="AW794" s="155"/>
      <c r="AX794" s="155"/>
    </row>
    <row r="795" spans="4:50">
      <c r="D795" s="155"/>
      <c r="E795" s="155"/>
      <c r="F795" s="155"/>
      <c r="G795" s="155"/>
      <c r="H795" s="155"/>
      <c r="I795" s="155"/>
      <c r="J795" s="155"/>
      <c r="K795" s="155"/>
      <c r="L795" s="155"/>
      <c r="M795" s="155"/>
      <c r="N795" s="155"/>
      <c r="O795" s="155"/>
      <c r="P795" s="155"/>
      <c r="Q795" s="155"/>
      <c r="R795" s="155"/>
      <c r="S795" s="155"/>
      <c r="T795" s="155"/>
      <c r="U795" s="155"/>
      <c r="V795" s="155"/>
      <c r="W795" s="155"/>
      <c r="X795" s="155"/>
      <c r="Y795" s="155"/>
      <c r="Z795" s="155"/>
      <c r="AA795" s="155"/>
      <c r="AB795" s="155"/>
      <c r="AC795" s="155"/>
      <c r="AD795" s="155"/>
      <c r="AE795" s="155"/>
      <c r="AF795" s="155"/>
      <c r="AG795" s="155"/>
      <c r="AH795" s="155"/>
      <c r="AI795" s="155"/>
      <c r="AJ795" s="155"/>
      <c r="AK795" s="155"/>
      <c r="AL795" s="155"/>
      <c r="AM795" s="155"/>
      <c r="AN795" s="155"/>
      <c r="AO795" s="155"/>
      <c r="AP795" s="155"/>
      <c r="AQ795" s="155"/>
      <c r="AR795" s="155"/>
      <c r="AS795" s="155"/>
      <c r="AT795" s="155"/>
      <c r="AU795" s="155"/>
      <c r="AV795" s="155"/>
      <c r="AW795" s="155"/>
      <c r="AX795" s="155"/>
    </row>
    <row r="796" spans="4:50">
      <c r="D796" s="155"/>
      <c r="E796" s="155"/>
      <c r="F796" s="155"/>
      <c r="G796" s="155"/>
      <c r="H796" s="155"/>
      <c r="I796" s="155"/>
      <c r="J796" s="155"/>
      <c r="K796" s="155"/>
      <c r="L796" s="155"/>
      <c r="M796" s="155"/>
      <c r="N796" s="155"/>
      <c r="O796" s="155"/>
      <c r="P796" s="155"/>
      <c r="Q796" s="155"/>
      <c r="R796" s="155"/>
      <c r="S796" s="155"/>
      <c r="T796" s="155"/>
      <c r="U796" s="155"/>
      <c r="V796" s="155"/>
      <c r="W796" s="155"/>
      <c r="X796" s="155"/>
      <c r="Y796" s="155"/>
      <c r="Z796" s="155"/>
      <c r="AA796" s="155"/>
      <c r="AB796" s="155"/>
      <c r="AC796" s="155"/>
      <c r="AD796" s="155"/>
      <c r="AE796" s="155"/>
      <c r="AF796" s="155"/>
      <c r="AG796" s="155"/>
      <c r="AH796" s="155"/>
      <c r="AI796" s="155"/>
      <c r="AJ796" s="155"/>
      <c r="AK796" s="155"/>
      <c r="AL796" s="155"/>
      <c r="AM796" s="155"/>
      <c r="AN796" s="155"/>
      <c r="AO796" s="155"/>
      <c r="AP796" s="155"/>
      <c r="AQ796" s="155"/>
      <c r="AR796" s="155"/>
      <c r="AS796" s="155"/>
      <c r="AT796" s="155"/>
      <c r="AU796" s="155"/>
      <c r="AV796" s="155"/>
      <c r="AW796" s="155"/>
      <c r="AX796" s="155"/>
    </row>
    <row r="797" spans="4:50">
      <c r="D797" s="155"/>
      <c r="E797" s="155"/>
      <c r="F797" s="155"/>
      <c r="G797" s="155"/>
      <c r="H797" s="155"/>
      <c r="I797" s="155"/>
      <c r="J797" s="155"/>
      <c r="K797" s="155"/>
      <c r="L797" s="155"/>
      <c r="M797" s="155"/>
      <c r="N797" s="155"/>
      <c r="O797" s="155"/>
      <c r="P797" s="155"/>
      <c r="Q797" s="155"/>
      <c r="R797" s="155"/>
      <c r="S797" s="155"/>
      <c r="T797" s="155"/>
      <c r="U797" s="155"/>
      <c r="V797" s="155"/>
      <c r="W797" s="155"/>
      <c r="X797" s="155"/>
      <c r="Y797" s="155"/>
      <c r="Z797" s="155"/>
      <c r="AA797" s="155"/>
      <c r="AB797" s="155"/>
      <c r="AC797" s="155"/>
      <c r="AD797" s="155"/>
      <c r="AE797" s="155"/>
      <c r="AF797" s="155"/>
      <c r="AG797" s="155"/>
      <c r="AH797" s="155"/>
      <c r="AI797" s="155"/>
      <c r="AJ797" s="155"/>
      <c r="AK797" s="155"/>
      <c r="AL797" s="155"/>
      <c r="AM797" s="155"/>
      <c r="AN797" s="155"/>
      <c r="AO797" s="155"/>
      <c r="AP797" s="155"/>
      <c r="AQ797" s="155"/>
      <c r="AR797" s="155"/>
      <c r="AS797" s="155"/>
      <c r="AT797" s="155"/>
      <c r="AU797" s="155"/>
      <c r="AV797" s="155"/>
      <c r="AW797" s="155"/>
      <c r="AX797" s="155"/>
    </row>
    <row r="798" spans="4:50">
      <c r="D798" s="155"/>
      <c r="E798" s="155"/>
      <c r="F798" s="155"/>
      <c r="G798" s="155"/>
      <c r="H798" s="155"/>
      <c r="I798" s="155"/>
      <c r="J798" s="155"/>
      <c r="K798" s="155"/>
      <c r="L798" s="155"/>
      <c r="M798" s="155"/>
      <c r="N798" s="155"/>
      <c r="O798" s="155"/>
      <c r="P798" s="155"/>
      <c r="Q798" s="155"/>
      <c r="R798" s="155"/>
      <c r="S798" s="155"/>
      <c r="T798" s="155"/>
      <c r="U798" s="155"/>
      <c r="V798" s="155"/>
      <c r="W798" s="155"/>
      <c r="X798" s="155"/>
      <c r="Y798" s="155"/>
      <c r="Z798" s="155"/>
      <c r="AA798" s="155"/>
      <c r="AB798" s="155"/>
      <c r="AC798" s="155"/>
      <c r="AD798" s="155"/>
      <c r="AE798" s="155"/>
      <c r="AF798" s="155"/>
      <c r="AG798" s="155"/>
      <c r="AH798" s="155"/>
      <c r="AI798" s="155"/>
      <c r="AJ798" s="155"/>
      <c r="AK798" s="155"/>
      <c r="AL798" s="155"/>
      <c r="AM798" s="155"/>
      <c r="AN798" s="155"/>
      <c r="AO798" s="155"/>
      <c r="AP798" s="155"/>
      <c r="AQ798" s="155"/>
      <c r="AR798" s="155"/>
      <c r="AS798" s="155"/>
      <c r="AT798" s="155"/>
      <c r="AU798" s="155"/>
      <c r="AV798" s="155"/>
      <c r="AW798" s="155"/>
      <c r="AX798" s="155"/>
    </row>
    <row r="799" spans="4:50">
      <c r="D799" s="155"/>
      <c r="E799" s="155"/>
      <c r="F799" s="155"/>
      <c r="G799" s="155"/>
      <c r="H799" s="155"/>
      <c r="I799" s="155"/>
      <c r="J799" s="155"/>
      <c r="K799" s="155"/>
      <c r="L799" s="155"/>
      <c r="M799" s="155"/>
      <c r="N799" s="155"/>
      <c r="O799" s="155"/>
      <c r="P799" s="155"/>
      <c r="Q799" s="155"/>
      <c r="R799" s="155"/>
      <c r="S799" s="155"/>
      <c r="T799" s="155"/>
      <c r="U799" s="155"/>
      <c r="V799" s="155"/>
      <c r="W799" s="155"/>
      <c r="X799" s="155"/>
      <c r="Y799" s="155"/>
      <c r="Z799" s="155"/>
      <c r="AA799" s="155"/>
      <c r="AB799" s="155"/>
      <c r="AC799" s="155"/>
      <c r="AD799" s="155"/>
      <c r="AE799" s="155"/>
      <c r="AF799" s="155"/>
      <c r="AG799" s="155"/>
      <c r="AH799" s="155"/>
      <c r="AI799" s="155"/>
      <c r="AJ799" s="155"/>
      <c r="AK799" s="155"/>
      <c r="AL799" s="155"/>
      <c r="AM799" s="155"/>
      <c r="AN799" s="155"/>
      <c r="AO799" s="155"/>
      <c r="AP799" s="155"/>
      <c r="AQ799" s="155"/>
      <c r="AR799" s="155"/>
      <c r="AS799" s="155"/>
      <c r="AT799" s="155"/>
      <c r="AU799" s="155"/>
      <c r="AV799" s="155"/>
      <c r="AW799" s="155"/>
      <c r="AX799" s="155"/>
    </row>
    <row r="800" spans="4:50">
      <c r="D800" s="155"/>
      <c r="E800" s="155"/>
      <c r="F800" s="155"/>
      <c r="G800" s="155"/>
      <c r="H800" s="155"/>
      <c r="I800" s="155"/>
      <c r="J800" s="155"/>
      <c r="K800" s="155"/>
      <c r="L800" s="155"/>
      <c r="M800" s="155"/>
      <c r="N800" s="155"/>
      <c r="O800" s="155"/>
      <c r="P800" s="155"/>
      <c r="Q800" s="155"/>
      <c r="R800" s="155"/>
      <c r="S800" s="155"/>
      <c r="T800" s="155"/>
      <c r="U800" s="155"/>
      <c r="V800" s="155"/>
      <c r="W800" s="155"/>
      <c r="X800" s="155"/>
      <c r="Y800" s="155"/>
      <c r="Z800" s="155"/>
      <c r="AA800" s="155"/>
      <c r="AB800" s="155"/>
      <c r="AC800" s="155"/>
      <c r="AD800" s="155"/>
      <c r="AE800" s="155"/>
      <c r="AF800" s="155"/>
      <c r="AG800" s="155"/>
      <c r="AH800" s="155"/>
      <c r="AI800" s="155"/>
      <c r="AJ800" s="155"/>
      <c r="AK800" s="155"/>
      <c r="AL800" s="155"/>
      <c r="AM800" s="155"/>
      <c r="AN800" s="155"/>
      <c r="AO800" s="155"/>
      <c r="AP800" s="155"/>
      <c r="AQ800" s="155"/>
      <c r="AR800" s="155"/>
      <c r="AS800" s="155"/>
      <c r="AT800" s="155"/>
      <c r="AU800" s="155"/>
      <c r="AV800" s="155"/>
      <c r="AW800" s="155"/>
      <c r="AX800" s="155"/>
    </row>
    <row r="801" spans="4:50">
      <c r="D801" s="155"/>
      <c r="E801" s="155"/>
      <c r="F801" s="155"/>
      <c r="G801" s="155"/>
      <c r="H801" s="155"/>
      <c r="I801" s="155"/>
      <c r="J801" s="155"/>
      <c r="K801" s="155"/>
      <c r="L801" s="155"/>
      <c r="M801" s="155"/>
      <c r="N801" s="155"/>
      <c r="O801" s="155"/>
      <c r="P801" s="155"/>
      <c r="Q801" s="155"/>
      <c r="R801" s="155"/>
      <c r="S801" s="155"/>
      <c r="T801" s="155"/>
      <c r="U801" s="155"/>
      <c r="V801" s="155"/>
      <c r="W801" s="155"/>
      <c r="X801" s="155"/>
      <c r="Y801" s="155"/>
      <c r="Z801" s="155"/>
      <c r="AA801" s="155"/>
      <c r="AB801" s="155"/>
      <c r="AC801" s="155"/>
      <c r="AD801" s="155"/>
      <c r="AE801" s="155"/>
      <c r="AF801" s="155"/>
      <c r="AG801" s="155"/>
      <c r="AH801" s="155"/>
      <c r="AI801" s="155"/>
      <c r="AJ801" s="155"/>
      <c r="AK801" s="155"/>
      <c r="AL801" s="155"/>
      <c r="AM801" s="155"/>
      <c r="AN801" s="155"/>
      <c r="AO801" s="155"/>
      <c r="AP801" s="155"/>
      <c r="AQ801" s="155"/>
      <c r="AR801" s="155"/>
      <c r="AS801" s="155"/>
      <c r="AT801" s="155"/>
      <c r="AU801" s="155"/>
      <c r="AV801" s="155"/>
      <c r="AW801" s="155"/>
      <c r="AX801" s="155"/>
    </row>
    <row r="802" spans="4:50">
      <c r="D802" s="155"/>
      <c r="E802" s="155"/>
      <c r="F802" s="155"/>
      <c r="G802" s="155"/>
      <c r="H802" s="155"/>
      <c r="I802" s="155"/>
      <c r="J802" s="155"/>
      <c r="K802" s="155"/>
      <c r="L802" s="155"/>
      <c r="M802" s="155"/>
      <c r="N802" s="155"/>
      <c r="O802" s="155"/>
      <c r="P802" s="155"/>
      <c r="Q802" s="155"/>
      <c r="R802" s="155"/>
      <c r="S802" s="155"/>
      <c r="T802" s="155"/>
      <c r="U802" s="155"/>
      <c r="V802" s="155"/>
      <c r="W802" s="155"/>
      <c r="X802" s="155"/>
      <c r="Y802" s="155"/>
      <c r="Z802" s="155"/>
      <c r="AA802" s="155"/>
      <c r="AB802" s="155"/>
      <c r="AC802" s="155"/>
      <c r="AD802" s="155"/>
      <c r="AE802" s="155"/>
      <c r="AF802" s="155"/>
      <c r="AG802" s="155"/>
      <c r="AH802" s="155"/>
      <c r="AI802" s="155"/>
      <c r="AJ802" s="155"/>
      <c r="AK802" s="155"/>
      <c r="AL802" s="155"/>
      <c r="AM802" s="155"/>
      <c r="AN802" s="155"/>
      <c r="AO802" s="155"/>
      <c r="AP802" s="155"/>
      <c r="AQ802" s="155"/>
      <c r="AR802" s="155"/>
      <c r="AS802" s="155"/>
      <c r="AT802" s="155"/>
      <c r="AU802" s="155"/>
      <c r="AV802" s="155"/>
      <c r="AW802" s="155"/>
      <c r="AX802" s="155"/>
    </row>
    <row r="803" spans="4:50">
      <c r="D803" s="155"/>
      <c r="E803" s="155"/>
      <c r="F803" s="155"/>
      <c r="G803" s="155"/>
      <c r="H803" s="155"/>
      <c r="I803" s="155"/>
      <c r="J803" s="155"/>
      <c r="K803" s="155"/>
      <c r="L803" s="155"/>
      <c r="M803" s="155"/>
      <c r="N803" s="155"/>
      <c r="O803" s="155"/>
      <c r="P803" s="155"/>
      <c r="Q803" s="155"/>
      <c r="R803" s="155"/>
      <c r="S803" s="155"/>
      <c r="T803" s="155"/>
      <c r="U803" s="155"/>
      <c r="V803" s="155"/>
      <c r="W803" s="155"/>
      <c r="X803" s="155"/>
      <c r="Y803" s="155"/>
      <c r="Z803" s="155"/>
      <c r="AA803" s="155"/>
      <c r="AB803" s="155"/>
      <c r="AC803" s="155"/>
      <c r="AD803" s="155"/>
      <c r="AE803" s="155"/>
      <c r="AF803" s="155"/>
      <c r="AG803" s="155"/>
      <c r="AH803" s="155"/>
      <c r="AI803" s="155"/>
      <c r="AJ803" s="155"/>
      <c r="AK803" s="155"/>
      <c r="AL803" s="155"/>
      <c r="AM803" s="155"/>
      <c r="AN803" s="155"/>
      <c r="AO803" s="155"/>
      <c r="AP803" s="155"/>
      <c r="AQ803" s="155"/>
      <c r="AR803" s="155"/>
      <c r="AS803" s="155"/>
      <c r="AT803" s="155"/>
      <c r="AU803" s="155"/>
      <c r="AV803" s="155"/>
      <c r="AW803" s="155"/>
      <c r="AX803" s="155"/>
    </row>
    <row r="804" spans="4:50">
      <c r="D804" s="155"/>
      <c r="E804" s="155"/>
      <c r="F804" s="155"/>
      <c r="G804" s="155"/>
      <c r="H804" s="155"/>
      <c r="I804" s="155"/>
      <c r="J804" s="155"/>
      <c r="K804" s="155"/>
      <c r="L804" s="155"/>
      <c r="M804" s="155"/>
      <c r="N804" s="155"/>
      <c r="O804" s="155"/>
      <c r="P804" s="155"/>
      <c r="Q804" s="155"/>
      <c r="R804" s="155"/>
      <c r="S804" s="155"/>
      <c r="T804" s="155"/>
      <c r="U804" s="155"/>
      <c r="V804" s="155"/>
      <c r="W804" s="155"/>
      <c r="X804" s="155"/>
      <c r="Y804" s="155"/>
      <c r="Z804" s="155"/>
      <c r="AA804" s="155"/>
      <c r="AB804" s="155"/>
      <c r="AC804" s="155"/>
      <c r="AD804" s="155"/>
      <c r="AE804" s="155"/>
      <c r="AF804" s="155"/>
      <c r="AG804" s="155"/>
      <c r="AH804" s="155"/>
      <c r="AI804" s="155"/>
      <c r="AJ804" s="155"/>
      <c r="AK804" s="155"/>
      <c r="AL804" s="155"/>
      <c r="AM804" s="155"/>
      <c r="AN804" s="155"/>
      <c r="AO804" s="155"/>
      <c r="AP804" s="155"/>
      <c r="AQ804" s="155"/>
      <c r="AR804" s="155"/>
      <c r="AS804" s="155"/>
      <c r="AT804" s="155"/>
      <c r="AU804" s="155"/>
      <c r="AV804" s="155"/>
      <c r="AW804" s="155"/>
      <c r="AX804" s="155"/>
    </row>
    <row r="805" spans="4:50">
      <c r="D805" s="155"/>
      <c r="E805" s="155"/>
      <c r="F805" s="155"/>
      <c r="G805" s="155"/>
      <c r="H805" s="155"/>
      <c r="I805" s="155"/>
      <c r="J805" s="155"/>
      <c r="K805" s="155"/>
      <c r="L805" s="155"/>
      <c r="M805" s="155"/>
      <c r="N805" s="155"/>
      <c r="O805" s="155"/>
      <c r="P805" s="155"/>
      <c r="Q805" s="155"/>
      <c r="R805" s="155"/>
      <c r="S805" s="155"/>
      <c r="T805" s="155"/>
      <c r="U805" s="155"/>
      <c r="V805" s="155"/>
      <c r="W805" s="155"/>
      <c r="X805" s="155"/>
      <c r="Y805" s="155"/>
      <c r="Z805" s="155"/>
      <c r="AA805" s="155"/>
      <c r="AB805" s="155"/>
      <c r="AC805" s="155"/>
      <c r="AD805" s="155"/>
      <c r="AE805" s="155"/>
      <c r="AF805" s="155"/>
      <c r="AG805" s="155"/>
      <c r="AH805" s="155"/>
      <c r="AI805" s="155"/>
      <c r="AJ805" s="155"/>
      <c r="AK805" s="155"/>
      <c r="AL805" s="155"/>
      <c r="AM805" s="155"/>
      <c r="AN805" s="155"/>
      <c r="AO805" s="155"/>
      <c r="AP805" s="155"/>
      <c r="AQ805" s="155"/>
      <c r="AR805" s="155"/>
      <c r="AS805" s="155"/>
      <c r="AT805" s="155"/>
      <c r="AU805" s="155"/>
      <c r="AV805" s="155"/>
      <c r="AW805" s="155"/>
      <c r="AX805" s="155"/>
    </row>
    <row r="806" spans="4:50">
      <c r="D806" s="155"/>
      <c r="E806" s="155"/>
      <c r="F806" s="155"/>
      <c r="G806" s="155"/>
      <c r="H806" s="155"/>
      <c r="I806" s="155"/>
      <c r="J806" s="155"/>
      <c r="K806" s="155"/>
      <c r="L806" s="155"/>
      <c r="M806" s="155"/>
      <c r="N806" s="155"/>
      <c r="O806" s="155"/>
      <c r="P806" s="155"/>
      <c r="Q806" s="155"/>
      <c r="R806" s="155"/>
      <c r="S806" s="155"/>
      <c r="T806" s="155"/>
      <c r="U806" s="155"/>
      <c r="V806" s="155"/>
      <c r="W806" s="155"/>
      <c r="X806" s="155"/>
      <c r="Y806" s="155"/>
      <c r="Z806" s="155"/>
      <c r="AA806" s="155"/>
      <c r="AB806" s="155"/>
      <c r="AC806" s="155"/>
      <c r="AD806" s="155"/>
      <c r="AE806" s="155"/>
      <c r="AF806" s="155"/>
      <c r="AG806" s="155"/>
      <c r="AH806" s="155"/>
      <c r="AI806" s="155"/>
      <c r="AJ806" s="155"/>
      <c r="AK806" s="155"/>
      <c r="AL806" s="155"/>
      <c r="AM806" s="155"/>
      <c r="AN806" s="155"/>
      <c r="AO806" s="155"/>
      <c r="AP806" s="155"/>
      <c r="AQ806" s="155"/>
      <c r="AR806" s="155"/>
      <c r="AS806" s="155"/>
      <c r="AT806" s="155"/>
      <c r="AU806" s="155"/>
      <c r="AV806" s="155"/>
      <c r="AW806" s="155"/>
      <c r="AX806" s="155"/>
    </row>
    <row r="807" spans="4:50">
      <c r="D807" s="155"/>
      <c r="E807" s="155"/>
      <c r="F807" s="155"/>
      <c r="G807" s="155"/>
      <c r="H807" s="155"/>
      <c r="I807" s="155"/>
      <c r="J807" s="155"/>
      <c r="K807" s="155"/>
      <c r="L807" s="155"/>
      <c r="M807" s="155"/>
      <c r="N807" s="155"/>
      <c r="O807" s="155"/>
      <c r="P807" s="155"/>
      <c r="Q807" s="155"/>
      <c r="R807" s="155"/>
      <c r="S807" s="155"/>
      <c r="T807" s="155"/>
      <c r="U807" s="155"/>
      <c r="V807" s="155"/>
      <c r="W807" s="155"/>
      <c r="X807" s="155"/>
      <c r="Y807" s="155"/>
      <c r="Z807" s="155"/>
      <c r="AA807" s="155"/>
      <c r="AB807" s="155"/>
      <c r="AC807" s="155"/>
      <c r="AD807" s="155"/>
      <c r="AE807" s="155"/>
      <c r="AF807" s="155"/>
      <c r="AG807" s="155"/>
      <c r="AH807" s="155"/>
      <c r="AI807" s="155"/>
      <c r="AJ807" s="155"/>
      <c r="AK807" s="155"/>
      <c r="AL807" s="155"/>
      <c r="AM807" s="155"/>
      <c r="AN807" s="155"/>
      <c r="AO807" s="155"/>
      <c r="AP807" s="155"/>
      <c r="AQ807" s="155"/>
      <c r="AR807" s="155"/>
      <c r="AS807" s="155"/>
      <c r="AT807" s="155"/>
      <c r="AU807" s="155"/>
      <c r="AV807" s="155"/>
      <c r="AW807" s="155"/>
      <c r="AX807" s="155"/>
    </row>
    <row r="808" spans="4:50">
      <c r="D808" s="155"/>
      <c r="E808" s="155"/>
      <c r="F808" s="155"/>
      <c r="G808" s="155"/>
      <c r="H808" s="155"/>
      <c r="I808" s="155"/>
      <c r="J808" s="155"/>
      <c r="K808" s="155"/>
      <c r="L808" s="155"/>
      <c r="M808" s="155"/>
      <c r="N808" s="155"/>
      <c r="O808" s="155"/>
      <c r="P808" s="155"/>
      <c r="Q808" s="155"/>
      <c r="R808" s="155"/>
      <c r="S808" s="155"/>
      <c r="T808" s="155"/>
      <c r="U808" s="155"/>
      <c r="V808" s="155"/>
      <c r="W808" s="155"/>
      <c r="X808" s="155"/>
      <c r="Y808" s="155"/>
      <c r="Z808" s="155"/>
      <c r="AA808" s="155"/>
      <c r="AB808" s="155"/>
      <c r="AC808" s="155"/>
      <c r="AD808" s="155"/>
      <c r="AE808" s="155"/>
      <c r="AF808" s="155"/>
      <c r="AG808" s="155"/>
      <c r="AH808" s="155"/>
      <c r="AI808" s="155"/>
      <c r="AJ808" s="155"/>
      <c r="AK808" s="155"/>
      <c r="AL808" s="155"/>
      <c r="AM808" s="155"/>
      <c r="AN808" s="155"/>
      <c r="AO808" s="155"/>
      <c r="AP808" s="155"/>
      <c r="AQ808" s="155"/>
      <c r="AR808" s="155"/>
      <c r="AS808" s="155"/>
      <c r="AT808" s="155"/>
      <c r="AU808" s="155"/>
      <c r="AV808" s="155"/>
      <c r="AW808" s="155"/>
      <c r="AX808" s="155"/>
    </row>
    <row r="809" spans="4:50">
      <c r="D809" s="155"/>
      <c r="E809" s="155"/>
      <c r="F809" s="155"/>
      <c r="G809" s="155"/>
      <c r="H809" s="155"/>
      <c r="I809" s="155"/>
      <c r="J809" s="155"/>
      <c r="K809" s="155"/>
      <c r="L809" s="155"/>
      <c r="M809" s="155"/>
      <c r="N809" s="155"/>
      <c r="O809" s="155"/>
      <c r="P809" s="155"/>
      <c r="Q809" s="155"/>
      <c r="R809" s="155"/>
      <c r="S809" s="155"/>
      <c r="T809" s="155"/>
      <c r="U809" s="155"/>
      <c r="V809" s="155"/>
      <c r="W809" s="155"/>
      <c r="X809" s="155"/>
      <c r="Y809" s="155"/>
      <c r="Z809" s="155"/>
      <c r="AA809" s="155"/>
      <c r="AB809" s="155"/>
      <c r="AC809" s="155"/>
      <c r="AD809" s="155"/>
      <c r="AE809" s="155"/>
      <c r="AF809" s="155"/>
      <c r="AG809" s="155"/>
      <c r="AH809" s="155"/>
      <c r="AI809" s="155"/>
      <c r="AJ809" s="155"/>
      <c r="AK809" s="155"/>
      <c r="AL809" s="155"/>
      <c r="AM809" s="155"/>
      <c r="AN809" s="155"/>
      <c r="AO809" s="155"/>
      <c r="AP809" s="155"/>
      <c r="AQ809" s="155"/>
      <c r="AR809" s="155"/>
      <c r="AS809" s="155"/>
      <c r="AT809" s="155"/>
      <c r="AU809" s="155"/>
      <c r="AV809" s="155"/>
      <c r="AW809" s="155"/>
      <c r="AX809" s="155"/>
    </row>
    <row r="810" spans="4:50">
      <c r="D810" s="155"/>
      <c r="E810" s="155"/>
      <c r="F810" s="155"/>
      <c r="G810" s="155"/>
      <c r="H810" s="155"/>
      <c r="I810" s="155"/>
      <c r="J810" s="155"/>
      <c r="K810" s="155"/>
      <c r="L810" s="155"/>
      <c r="M810" s="155"/>
      <c r="N810" s="155"/>
      <c r="O810" s="155"/>
      <c r="P810" s="155"/>
      <c r="Q810" s="155"/>
      <c r="R810" s="155"/>
      <c r="S810" s="155"/>
      <c r="T810" s="155"/>
      <c r="U810" s="155"/>
      <c r="V810" s="155"/>
      <c r="W810" s="155"/>
      <c r="X810" s="155"/>
      <c r="Y810" s="155"/>
      <c r="Z810" s="155"/>
      <c r="AA810" s="155"/>
      <c r="AB810" s="155"/>
      <c r="AC810" s="155"/>
      <c r="AD810" s="155"/>
      <c r="AE810" s="155"/>
      <c r="AF810" s="155"/>
      <c r="AG810" s="155"/>
      <c r="AH810" s="155"/>
      <c r="AI810" s="155"/>
      <c r="AJ810" s="155"/>
      <c r="AK810" s="155"/>
      <c r="AL810" s="155"/>
      <c r="AM810" s="155"/>
      <c r="AN810" s="155"/>
      <c r="AO810" s="155"/>
      <c r="AP810" s="155"/>
      <c r="AQ810" s="155"/>
      <c r="AR810" s="155"/>
      <c r="AS810" s="155"/>
      <c r="AT810" s="155"/>
      <c r="AU810" s="155"/>
      <c r="AV810" s="155"/>
      <c r="AW810" s="155"/>
      <c r="AX810" s="155"/>
    </row>
    <row r="811" spans="4:50">
      <c r="D811" s="155"/>
      <c r="E811" s="155"/>
      <c r="F811" s="155"/>
      <c r="G811" s="155"/>
      <c r="H811" s="155"/>
      <c r="I811" s="155"/>
      <c r="J811" s="155"/>
      <c r="K811" s="155"/>
      <c r="L811" s="155"/>
      <c r="M811" s="155"/>
      <c r="N811" s="155"/>
      <c r="O811" s="155"/>
      <c r="P811" s="155"/>
      <c r="Q811" s="155"/>
      <c r="R811" s="155"/>
      <c r="S811" s="155"/>
      <c r="T811" s="155"/>
      <c r="U811" s="155"/>
      <c r="V811" s="155"/>
      <c r="W811" s="155"/>
      <c r="X811" s="155"/>
      <c r="Y811" s="155"/>
      <c r="Z811" s="155"/>
      <c r="AA811" s="155"/>
      <c r="AB811" s="155"/>
      <c r="AC811" s="155"/>
      <c r="AD811" s="155"/>
      <c r="AE811" s="155"/>
      <c r="AF811" s="155"/>
      <c r="AG811" s="155"/>
      <c r="AH811" s="155"/>
      <c r="AI811" s="155"/>
      <c r="AJ811" s="155"/>
      <c r="AK811" s="155"/>
      <c r="AL811" s="155"/>
      <c r="AM811" s="155"/>
      <c r="AN811" s="155"/>
      <c r="AO811" s="155"/>
      <c r="AP811" s="155"/>
      <c r="AQ811" s="155"/>
      <c r="AR811" s="155"/>
      <c r="AS811" s="155"/>
      <c r="AT811" s="155"/>
      <c r="AU811" s="155"/>
      <c r="AV811" s="155"/>
      <c r="AW811" s="155"/>
      <c r="AX811" s="155"/>
    </row>
    <row r="812" spans="4:50">
      <c r="D812" s="155"/>
      <c r="E812" s="155"/>
      <c r="F812" s="155"/>
      <c r="G812" s="155"/>
      <c r="H812" s="155"/>
      <c r="I812" s="155"/>
      <c r="J812" s="155"/>
      <c r="K812" s="155"/>
      <c r="L812" s="155"/>
      <c r="M812" s="155"/>
      <c r="N812" s="155"/>
      <c r="O812" s="155"/>
      <c r="P812" s="155"/>
      <c r="Q812" s="155"/>
      <c r="R812" s="155"/>
      <c r="S812" s="155"/>
      <c r="T812" s="155"/>
      <c r="U812" s="155"/>
      <c r="V812" s="155"/>
      <c r="W812" s="155"/>
      <c r="X812" s="155"/>
      <c r="Y812" s="155"/>
      <c r="Z812" s="155"/>
      <c r="AA812" s="155"/>
      <c r="AB812" s="155"/>
      <c r="AC812" s="155"/>
      <c r="AD812" s="155"/>
      <c r="AE812" s="155"/>
      <c r="AF812" s="155"/>
      <c r="AG812" s="155"/>
      <c r="AH812" s="155"/>
      <c r="AI812" s="155"/>
      <c r="AJ812" s="155"/>
      <c r="AK812" s="155"/>
      <c r="AL812" s="155"/>
      <c r="AM812" s="155"/>
      <c r="AN812" s="155"/>
      <c r="AO812" s="155"/>
      <c r="AP812" s="155"/>
      <c r="AQ812" s="155"/>
      <c r="AR812" s="155"/>
      <c r="AS812" s="155"/>
      <c r="AT812" s="155"/>
      <c r="AU812" s="155"/>
      <c r="AV812" s="155"/>
      <c r="AW812" s="155"/>
      <c r="AX812" s="155"/>
    </row>
    <row r="813" spans="4:50">
      <c r="D813" s="155"/>
      <c r="E813" s="155"/>
      <c r="F813" s="155"/>
      <c r="G813" s="155"/>
      <c r="H813" s="155"/>
      <c r="I813" s="155"/>
      <c r="J813" s="155"/>
      <c r="K813" s="155"/>
      <c r="L813" s="155"/>
      <c r="M813" s="155"/>
      <c r="N813" s="155"/>
      <c r="O813" s="155"/>
      <c r="P813" s="155"/>
      <c r="Q813" s="155"/>
      <c r="R813" s="155"/>
      <c r="S813" s="155"/>
      <c r="T813" s="155"/>
      <c r="U813" s="155"/>
      <c r="V813" s="155"/>
      <c r="W813" s="155"/>
      <c r="X813" s="155"/>
      <c r="Y813" s="155"/>
      <c r="Z813" s="155"/>
      <c r="AA813" s="155"/>
      <c r="AB813" s="155"/>
      <c r="AC813" s="155"/>
      <c r="AD813" s="155"/>
      <c r="AE813" s="155"/>
      <c r="AF813" s="155"/>
      <c r="AG813" s="155"/>
      <c r="AH813" s="155"/>
      <c r="AI813" s="155"/>
      <c r="AJ813" s="155"/>
      <c r="AK813" s="155"/>
      <c r="AL813" s="155"/>
      <c r="AM813" s="155"/>
      <c r="AN813" s="155"/>
      <c r="AO813" s="155"/>
      <c r="AP813" s="155"/>
      <c r="AQ813" s="155"/>
      <c r="AR813" s="155"/>
      <c r="AS813" s="155"/>
      <c r="AT813" s="155"/>
      <c r="AU813" s="155"/>
      <c r="AV813" s="155"/>
      <c r="AW813" s="155"/>
      <c r="AX813" s="155"/>
    </row>
    <row r="814" spans="4:50">
      <c r="D814" s="155"/>
      <c r="E814" s="155"/>
      <c r="F814" s="155"/>
      <c r="G814" s="155"/>
      <c r="H814" s="155"/>
      <c r="I814" s="155"/>
      <c r="J814" s="155"/>
      <c r="K814" s="155"/>
      <c r="L814" s="155"/>
      <c r="M814" s="155"/>
      <c r="N814" s="155"/>
      <c r="O814" s="155"/>
      <c r="P814" s="155"/>
      <c r="Q814" s="155"/>
      <c r="R814" s="155"/>
      <c r="S814" s="155"/>
      <c r="T814" s="155"/>
      <c r="U814" s="155"/>
      <c r="V814" s="155"/>
      <c r="W814" s="155"/>
      <c r="X814" s="155"/>
      <c r="Y814" s="155"/>
      <c r="Z814" s="155"/>
      <c r="AA814" s="155"/>
      <c r="AB814" s="155"/>
      <c r="AC814" s="155"/>
      <c r="AD814" s="155"/>
      <c r="AE814" s="155"/>
      <c r="AF814" s="155"/>
      <c r="AG814" s="155"/>
      <c r="AH814" s="155"/>
      <c r="AI814" s="155"/>
      <c r="AJ814" s="155"/>
      <c r="AK814" s="155"/>
      <c r="AL814" s="155"/>
      <c r="AM814" s="155"/>
      <c r="AN814" s="155"/>
      <c r="AO814" s="155"/>
      <c r="AP814" s="155"/>
      <c r="AQ814" s="155"/>
      <c r="AR814" s="155"/>
      <c r="AS814" s="155"/>
      <c r="AT814" s="155"/>
      <c r="AU814" s="155"/>
      <c r="AV814" s="155"/>
      <c r="AW814" s="155"/>
      <c r="AX814" s="155"/>
    </row>
    <row r="815" spans="4:50">
      <c r="D815" s="155"/>
      <c r="E815" s="155"/>
      <c r="F815" s="155"/>
      <c r="G815" s="155"/>
      <c r="H815" s="155"/>
      <c r="I815" s="155"/>
      <c r="J815" s="155"/>
      <c r="K815" s="155"/>
      <c r="L815" s="155"/>
      <c r="M815" s="155"/>
      <c r="N815" s="155"/>
      <c r="O815" s="155"/>
      <c r="P815" s="155"/>
      <c r="Q815" s="155"/>
      <c r="R815" s="155"/>
      <c r="S815" s="155"/>
      <c r="T815" s="155"/>
      <c r="U815" s="155"/>
      <c r="V815" s="155"/>
      <c r="W815" s="155"/>
      <c r="X815" s="155"/>
      <c r="Y815" s="155"/>
      <c r="Z815" s="155"/>
      <c r="AA815" s="155"/>
      <c r="AB815" s="155"/>
      <c r="AC815" s="155"/>
      <c r="AD815" s="155"/>
      <c r="AE815" s="155"/>
      <c r="AF815" s="155"/>
      <c r="AG815" s="155"/>
      <c r="AH815" s="155"/>
      <c r="AI815" s="155"/>
      <c r="AJ815" s="155"/>
      <c r="AK815" s="155"/>
      <c r="AL815" s="155"/>
      <c r="AM815" s="155"/>
      <c r="AN815" s="155"/>
      <c r="AO815" s="155"/>
      <c r="AP815" s="155"/>
      <c r="AQ815" s="155"/>
      <c r="AR815" s="155"/>
      <c r="AS815" s="155"/>
      <c r="AT815" s="155"/>
      <c r="AU815" s="155"/>
      <c r="AV815" s="155"/>
      <c r="AW815" s="155"/>
      <c r="AX815" s="155"/>
    </row>
    <row r="816" spans="4:50">
      <c r="D816" s="155"/>
      <c r="E816" s="155"/>
      <c r="F816" s="155"/>
      <c r="G816" s="155"/>
      <c r="H816" s="155"/>
      <c r="I816" s="155"/>
      <c r="J816" s="155"/>
      <c r="K816" s="155"/>
      <c r="L816" s="155"/>
      <c r="M816" s="155"/>
      <c r="N816" s="155"/>
      <c r="O816" s="155"/>
      <c r="P816" s="155"/>
      <c r="Q816" s="155"/>
      <c r="R816" s="155"/>
      <c r="S816" s="155"/>
      <c r="T816" s="155"/>
      <c r="U816" s="155"/>
      <c r="V816" s="155"/>
      <c r="W816" s="155"/>
      <c r="X816" s="155"/>
      <c r="Y816" s="155"/>
      <c r="Z816" s="155"/>
      <c r="AA816" s="155"/>
      <c r="AB816" s="155"/>
      <c r="AC816" s="155"/>
      <c r="AD816" s="155"/>
      <c r="AE816" s="155"/>
      <c r="AF816" s="155"/>
      <c r="AG816" s="155"/>
      <c r="AH816" s="155"/>
      <c r="AI816" s="155"/>
      <c r="AJ816" s="155"/>
      <c r="AK816" s="155"/>
      <c r="AL816" s="155"/>
      <c r="AM816" s="155"/>
      <c r="AN816" s="155"/>
      <c r="AO816" s="155"/>
      <c r="AP816" s="155"/>
      <c r="AQ816" s="155"/>
      <c r="AR816" s="155"/>
      <c r="AS816" s="155"/>
      <c r="AT816" s="155"/>
      <c r="AU816" s="155"/>
      <c r="AV816" s="155"/>
      <c r="AW816" s="155"/>
      <c r="AX816" s="155"/>
    </row>
    <row r="817" spans="4:50">
      <c r="D817" s="155"/>
      <c r="E817" s="155"/>
      <c r="F817" s="155"/>
      <c r="G817" s="155"/>
      <c r="H817" s="155"/>
      <c r="I817" s="155"/>
      <c r="J817" s="155"/>
      <c r="K817" s="155"/>
      <c r="L817" s="155"/>
      <c r="M817" s="155"/>
      <c r="N817" s="155"/>
      <c r="O817" s="155"/>
      <c r="P817" s="155"/>
      <c r="Q817" s="155"/>
      <c r="R817" s="155"/>
      <c r="S817" s="155"/>
      <c r="T817" s="155"/>
      <c r="U817" s="155"/>
      <c r="V817" s="155"/>
      <c r="W817" s="155"/>
      <c r="X817" s="155"/>
      <c r="Y817" s="155"/>
      <c r="Z817" s="155"/>
      <c r="AA817" s="155"/>
      <c r="AB817" s="155"/>
      <c r="AC817" s="155"/>
      <c r="AD817" s="155"/>
      <c r="AE817" s="155"/>
      <c r="AF817" s="155"/>
      <c r="AG817" s="155"/>
      <c r="AH817" s="155"/>
      <c r="AI817" s="155"/>
      <c r="AJ817" s="155"/>
      <c r="AK817" s="155"/>
      <c r="AL817" s="155"/>
      <c r="AM817" s="155"/>
      <c r="AN817" s="155"/>
      <c r="AO817" s="155"/>
      <c r="AP817" s="155"/>
      <c r="AQ817" s="155"/>
      <c r="AR817" s="155"/>
      <c r="AS817" s="155"/>
      <c r="AT817" s="155"/>
      <c r="AU817" s="155"/>
      <c r="AV817" s="155"/>
      <c r="AW817" s="155"/>
      <c r="AX817" s="155"/>
    </row>
    <row r="818" spans="4:50">
      <c r="D818" s="155"/>
      <c r="E818" s="155"/>
      <c r="F818" s="155"/>
      <c r="G818" s="155"/>
      <c r="H818" s="155"/>
      <c r="I818" s="155"/>
      <c r="J818" s="155"/>
      <c r="K818" s="155"/>
      <c r="L818" s="155"/>
      <c r="M818" s="155"/>
      <c r="N818" s="155"/>
      <c r="O818" s="155"/>
      <c r="P818" s="155"/>
      <c r="Q818" s="155"/>
      <c r="R818" s="155"/>
      <c r="S818" s="155"/>
      <c r="T818" s="155"/>
      <c r="U818" s="155"/>
      <c r="V818" s="155"/>
      <c r="W818" s="155"/>
      <c r="X818" s="155"/>
      <c r="Y818" s="155"/>
      <c r="Z818" s="155"/>
      <c r="AA818" s="155"/>
      <c r="AB818" s="155"/>
      <c r="AC818" s="155"/>
      <c r="AD818" s="155"/>
      <c r="AE818" s="155"/>
      <c r="AF818" s="155"/>
      <c r="AG818" s="155"/>
      <c r="AH818" s="155"/>
      <c r="AI818" s="155"/>
      <c r="AJ818" s="155"/>
      <c r="AK818" s="155"/>
      <c r="AL818" s="155"/>
      <c r="AM818" s="155"/>
      <c r="AN818" s="155"/>
      <c r="AO818" s="155"/>
      <c r="AP818" s="155"/>
      <c r="AQ818" s="155"/>
      <c r="AR818" s="155"/>
      <c r="AS818" s="155"/>
      <c r="AT818" s="155"/>
      <c r="AU818" s="155"/>
      <c r="AV818" s="155"/>
      <c r="AW818" s="155"/>
      <c r="AX818" s="155"/>
    </row>
    <row r="819" spans="4:50">
      <c r="D819" s="155"/>
      <c r="E819" s="155"/>
      <c r="F819" s="155"/>
      <c r="G819" s="155"/>
      <c r="H819" s="155"/>
      <c r="I819" s="155"/>
      <c r="J819" s="155"/>
      <c r="K819" s="155"/>
      <c r="L819" s="155"/>
      <c r="M819" s="155"/>
      <c r="N819" s="155"/>
      <c r="O819" s="155"/>
      <c r="P819" s="155"/>
      <c r="Q819" s="155"/>
      <c r="R819" s="155"/>
      <c r="S819" s="155"/>
      <c r="T819" s="155"/>
      <c r="U819" s="155"/>
      <c r="V819" s="155"/>
      <c r="W819" s="155"/>
      <c r="X819" s="155"/>
      <c r="Y819" s="155"/>
      <c r="Z819" s="155"/>
      <c r="AA819" s="155"/>
      <c r="AB819" s="155"/>
      <c r="AC819" s="155"/>
      <c r="AD819" s="155"/>
      <c r="AE819" s="155"/>
      <c r="AF819" s="155"/>
      <c r="AG819" s="155"/>
      <c r="AH819" s="155"/>
      <c r="AI819" s="155"/>
      <c r="AJ819" s="155"/>
      <c r="AK819" s="155"/>
      <c r="AL819" s="155"/>
      <c r="AM819" s="155"/>
      <c r="AN819" s="155"/>
      <c r="AO819" s="155"/>
      <c r="AP819" s="155"/>
      <c r="AQ819" s="155"/>
      <c r="AR819" s="155"/>
      <c r="AS819" s="155"/>
      <c r="AT819" s="155"/>
      <c r="AU819" s="155"/>
      <c r="AV819" s="155"/>
      <c r="AW819" s="155"/>
      <c r="AX819" s="155"/>
    </row>
    <row r="820" spans="4:50">
      <c r="D820" s="155"/>
      <c r="E820" s="155"/>
      <c r="F820" s="155"/>
      <c r="G820" s="155"/>
      <c r="H820" s="155"/>
      <c r="I820" s="155"/>
      <c r="J820" s="155"/>
      <c r="K820" s="155"/>
      <c r="L820" s="155"/>
      <c r="M820" s="155"/>
      <c r="N820" s="155"/>
      <c r="O820" s="155"/>
      <c r="P820" s="155"/>
      <c r="Q820" s="155"/>
      <c r="R820" s="155"/>
      <c r="S820" s="155"/>
      <c r="T820" s="155"/>
      <c r="U820" s="155"/>
      <c r="V820" s="155"/>
      <c r="W820" s="155"/>
      <c r="X820" s="155"/>
      <c r="Y820" s="155"/>
      <c r="Z820" s="155"/>
      <c r="AA820" s="155"/>
      <c r="AB820" s="155"/>
      <c r="AC820" s="155"/>
      <c r="AD820" s="155"/>
      <c r="AE820" s="155"/>
      <c r="AF820" s="155"/>
      <c r="AG820" s="155"/>
      <c r="AH820" s="155"/>
      <c r="AI820" s="155"/>
      <c r="AJ820" s="155"/>
      <c r="AK820" s="155"/>
      <c r="AL820" s="155"/>
      <c r="AM820" s="155"/>
      <c r="AN820" s="155"/>
      <c r="AO820" s="155"/>
      <c r="AP820" s="155"/>
      <c r="AQ820" s="155"/>
      <c r="AR820" s="155"/>
      <c r="AS820" s="155"/>
      <c r="AT820" s="155"/>
      <c r="AU820" s="155"/>
      <c r="AV820" s="155"/>
      <c r="AW820" s="155"/>
      <c r="AX820" s="155"/>
    </row>
    <row r="821" spans="4:50">
      <c r="D821" s="155"/>
      <c r="E821" s="155"/>
      <c r="F821" s="155"/>
      <c r="G821" s="155"/>
      <c r="H821" s="155"/>
      <c r="I821" s="155"/>
      <c r="J821" s="155"/>
      <c r="K821" s="155"/>
      <c r="L821" s="155"/>
      <c r="M821" s="155"/>
      <c r="N821" s="155"/>
      <c r="O821" s="155"/>
      <c r="P821" s="155"/>
      <c r="Q821" s="155"/>
      <c r="R821" s="155"/>
      <c r="S821" s="155"/>
      <c r="T821" s="155"/>
      <c r="U821" s="155"/>
      <c r="V821" s="155"/>
      <c r="W821" s="155"/>
      <c r="X821" s="155"/>
      <c r="Y821" s="155"/>
      <c r="Z821" s="155"/>
      <c r="AA821" s="155"/>
      <c r="AB821" s="155"/>
      <c r="AC821" s="155"/>
      <c r="AD821" s="155"/>
      <c r="AE821" s="155"/>
      <c r="AF821" s="155"/>
      <c r="AG821" s="155"/>
      <c r="AH821" s="155"/>
      <c r="AI821" s="155"/>
      <c r="AJ821" s="155"/>
      <c r="AK821" s="155"/>
      <c r="AL821" s="155"/>
      <c r="AM821" s="155"/>
      <c r="AN821" s="155"/>
      <c r="AO821" s="155"/>
      <c r="AP821" s="155"/>
      <c r="AQ821" s="155"/>
      <c r="AR821" s="155"/>
      <c r="AS821" s="155"/>
      <c r="AT821" s="155"/>
      <c r="AU821" s="155"/>
      <c r="AV821" s="155"/>
      <c r="AW821" s="155"/>
      <c r="AX821" s="155"/>
    </row>
    <row r="822" spans="4:50">
      <c r="D822" s="155"/>
      <c r="E822" s="155"/>
      <c r="F822" s="155"/>
      <c r="G822" s="155"/>
      <c r="H822" s="155"/>
      <c r="I822" s="155"/>
      <c r="J822" s="155"/>
      <c r="K822" s="155"/>
      <c r="L822" s="155"/>
      <c r="M822" s="155"/>
      <c r="N822" s="155"/>
      <c r="O822" s="155"/>
      <c r="P822" s="155"/>
      <c r="Q822" s="155"/>
      <c r="R822" s="155"/>
      <c r="S822" s="155"/>
      <c r="T822" s="155"/>
      <c r="U822" s="155"/>
      <c r="V822" s="155"/>
      <c r="W822" s="155"/>
      <c r="X822" s="155"/>
      <c r="Y822" s="155"/>
      <c r="Z822" s="155"/>
      <c r="AA822" s="155"/>
      <c r="AB822" s="155"/>
      <c r="AC822" s="155"/>
      <c r="AD822" s="155"/>
      <c r="AE822" s="155"/>
      <c r="AF822" s="155"/>
      <c r="AG822" s="155"/>
      <c r="AH822" s="155"/>
      <c r="AI822" s="155"/>
      <c r="AJ822" s="155"/>
      <c r="AK822" s="155"/>
      <c r="AL822" s="155"/>
      <c r="AM822" s="155"/>
      <c r="AN822" s="155"/>
      <c r="AO822" s="155"/>
      <c r="AP822" s="155"/>
      <c r="AQ822" s="155"/>
      <c r="AR822" s="155"/>
      <c r="AS822" s="155"/>
      <c r="AT822" s="155"/>
      <c r="AU822" s="155"/>
      <c r="AV822" s="155"/>
      <c r="AW822" s="155"/>
      <c r="AX822" s="155"/>
    </row>
    <row r="823" spans="4:50">
      <c r="D823" s="155"/>
      <c r="E823" s="155"/>
      <c r="F823" s="155"/>
      <c r="G823" s="155"/>
      <c r="H823" s="155"/>
      <c r="I823" s="155"/>
      <c r="J823" s="155"/>
      <c r="K823" s="155"/>
      <c r="L823" s="155"/>
      <c r="M823" s="155"/>
      <c r="N823" s="155"/>
      <c r="O823" s="155"/>
      <c r="P823" s="155"/>
      <c r="Q823" s="155"/>
      <c r="R823" s="155"/>
      <c r="S823" s="155"/>
      <c r="T823" s="155"/>
      <c r="U823" s="155"/>
      <c r="V823" s="155"/>
      <c r="W823" s="155"/>
      <c r="X823" s="155"/>
      <c r="Y823" s="155"/>
      <c r="Z823" s="155"/>
      <c r="AA823" s="155"/>
      <c r="AB823" s="155"/>
      <c r="AC823" s="155"/>
      <c r="AD823" s="155"/>
      <c r="AE823" s="155"/>
      <c r="AF823" s="155"/>
      <c r="AG823" s="155"/>
      <c r="AH823" s="155"/>
      <c r="AI823" s="155"/>
      <c r="AJ823" s="155"/>
      <c r="AK823" s="155"/>
      <c r="AL823" s="155"/>
      <c r="AM823" s="155"/>
      <c r="AN823" s="155"/>
      <c r="AO823" s="155"/>
      <c r="AP823" s="155"/>
      <c r="AQ823" s="155"/>
      <c r="AR823" s="155"/>
      <c r="AS823" s="155"/>
      <c r="AT823" s="155"/>
      <c r="AU823" s="155"/>
      <c r="AV823" s="155"/>
      <c r="AW823" s="155"/>
      <c r="AX823" s="155"/>
    </row>
    <row r="824" spans="4:50">
      <c r="D824" s="155"/>
      <c r="E824" s="155"/>
      <c r="F824" s="155"/>
      <c r="G824" s="155"/>
      <c r="H824" s="155"/>
      <c r="I824" s="155"/>
      <c r="J824" s="155"/>
      <c r="K824" s="155"/>
      <c r="L824" s="155"/>
      <c r="M824" s="155"/>
      <c r="N824" s="155"/>
      <c r="O824" s="155"/>
      <c r="P824" s="155"/>
      <c r="Q824" s="155"/>
      <c r="R824" s="155"/>
      <c r="S824" s="155"/>
      <c r="T824" s="155"/>
      <c r="U824" s="155"/>
      <c r="V824" s="155"/>
      <c r="W824" s="155"/>
      <c r="X824" s="155"/>
      <c r="Y824" s="155"/>
      <c r="Z824" s="155"/>
      <c r="AA824" s="155"/>
      <c r="AB824" s="155"/>
      <c r="AC824" s="155"/>
      <c r="AD824" s="155"/>
      <c r="AE824" s="155"/>
      <c r="AF824" s="155"/>
      <c r="AG824" s="155"/>
      <c r="AH824" s="155"/>
      <c r="AI824" s="155"/>
      <c r="AJ824" s="155"/>
      <c r="AK824" s="155"/>
      <c r="AL824" s="155"/>
      <c r="AM824" s="155"/>
      <c r="AN824" s="155"/>
      <c r="AO824" s="155"/>
      <c r="AP824" s="155"/>
      <c r="AQ824" s="155"/>
      <c r="AR824" s="155"/>
      <c r="AS824" s="155"/>
      <c r="AT824" s="155"/>
      <c r="AU824" s="155"/>
      <c r="AV824" s="155"/>
      <c r="AW824" s="155"/>
      <c r="AX824" s="155"/>
    </row>
    <row r="825" spans="4:50">
      <c r="D825" s="155"/>
      <c r="E825" s="155"/>
      <c r="F825" s="155"/>
      <c r="G825" s="155"/>
      <c r="H825" s="155"/>
      <c r="I825" s="155"/>
      <c r="J825" s="155"/>
      <c r="K825" s="155"/>
      <c r="L825" s="155"/>
      <c r="M825" s="155"/>
      <c r="N825" s="155"/>
      <c r="O825" s="155"/>
      <c r="P825" s="155"/>
      <c r="Q825" s="155"/>
      <c r="R825" s="155"/>
      <c r="S825" s="155"/>
      <c r="T825" s="155"/>
      <c r="U825" s="155"/>
      <c r="V825" s="155"/>
      <c r="W825" s="155"/>
      <c r="X825" s="155"/>
      <c r="Y825" s="155"/>
      <c r="Z825" s="155"/>
      <c r="AA825" s="155"/>
      <c r="AB825" s="155"/>
      <c r="AC825" s="155"/>
      <c r="AD825" s="155"/>
      <c r="AE825" s="155"/>
      <c r="AF825" s="155"/>
      <c r="AG825" s="155"/>
      <c r="AH825" s="155"/>
      <c r="AI825" s="155"/>
      <c r="AJ825" s="155"/>
      <c r="AK825" s="155"/>
      <c r="AL825" s="155"/>
      <c r="AM825" s="155"/>
      <c r="AN825" s="155"/>
      <c r="AO825" s="155"/>
      <c r="AP825" s="155"/>
      <c r="AQ825" s="155"/>
      <c r="AR825" s="155"/>
      <c r="AS825" s="155"/>
      <c r="AT825" s="155"/>
      <c r="AU825" s="155"/>
      <c r="AV825" s="155"/>
      <c r="AW825" s="155"/>
      <c r="AX825" s="155"/>
    </row>
    <row r="826" spans="4:50">
      <c r="D826" s="155"/>
      <c r="E826" s="155"/>
      <c r="F826" s="155"/>
      <c r="G826" s="155"/>
      <c r="H826" s="155"/>
      <c r="I826" s="155"/>
      <c r="J826" s="155"/>
      <c r="K826" s="155"/>
      <c r="L826" s="155"/>
      <c r="M826" s="155"/>
      <c r="N826" s="155"/>
      <c r="O826" s="155"/>
      <c r="P826" s="155"/>
      <c r="Q826" s="155"/>
      <c r="R826" s="155"/>
      <c r="S826" s="155"/>
      <c r="T826" s="155"/>
      <c r="U826" s="155"/>
      <c r="V826" s="155"/>
      <c r="W826" s="155"/>
      <c r="X826" s="155"/>
      <c r="Y826" s="155"/>
      <c r="Z826" s="155"/>
      <c r="AA826" s="155"/>
      <c r="AB826" s="155"/>
      <c r="AC826" s="155"/>
      <c r="AD826" s="155"/>
      <c r="AE826" s="155"/>
      <c r="AF826" s="155"/>
      <c r="AG826" s="155"/>
      <c r="AH826" s="155"/>
      <c r="AI826" s="155"/>
      <c r="AJ826" s="155"/>
      <c r="AK826" s="155"/>
      <c r="AL826" s="155"/>
      <c r="AM826" s="155"/>
      <c r="AN826" s="155"/>
      <c r="AO826" s="155"/>
      <c r="AP826" s="155"/>
      <c r="AQ826" s="155"/>
      <c r="AR826" s="155"/>
      <c r="AS826" s="155"/>
      <c r="AT826" s="155"/>
      <c r="AU826" s="155"/>
      <c r="AV826" s="155"/>
      <c r="AW826" s="155"/>
      <c r="AX826" s="155"/>
    </row>
    <row r="827" spans="4:50">
      <c r="D827" s="155"/>
      <c r="E827" s="155"/>
      <c r="F827" s="155"/>
      <c r="G827" s="155"/>
      <c r="H827" s="155"/>
      <c r="I827" s="155"/>
      <c r="J827" s="155"/>
      <c r="K827" s="155"/>
      <c r="L827" s="155"/>
      <c r="M827" s="155"/>
      <c r="N827" s="155"/>
      <c r="O827" s="155"/>
      <c r="P827" s="155"/>
      <c r="Q827" s="155"/>
      <c r="R827" s="155"/>
      <c r="S827" s="155"/>
      <c r="T827" s="155"/>
      <c r="U827" s="155"/>
      <c r="V827" s="155"/>
      <c r="W827" s="155"/>
      <c r="X827" s="155"/>
      <c r="Y827" s="155"/>
      <c r="Z827" s="155"/>
      <c r="AA827" s="155"/>
      <c r="AB827" s="155"/>
      <c r="AC827" s="155"/>
      <c r="AD827" s="155"/>
      <c r="AE827" s="155"/>
      <c r="AF827" s="155"/>
      <c r="AG827" s="155"/>
      <c r="AH827" s="155"/>
      <c r="AI827" s="155"/>
      <c r="AJ827" s="155"/>
      <c r="AK827" s="155"/>
      <c r="AL827" s="155"/>
      <c r="AM827" s="155"/>
      <c r="AN827" s="155"/>
      <c r="AO827" s="155"/>
      <c r="AP827" s="155"/>
      <c r="AQ827" s="155"/>
      <c r="AR827" s="155"/>
      <c r="AS827" s="155"/>
      <c r="AT827" s="155"/>
      <c r="AU827" s="155"/>
      <c r="AV827" s="155"/>
      <c r="AW827" s="155"/>
      <c r="AX827" s="155"/>
    </row>
    <row r="828" spans="4:50">
      <c r="D828" s="155"/>
      <c r="E828" s="155"/>
      <c r="F828" s="155"/>
      <c r="G828" s="155"/>
      <c r="H828" s="155"/>
      <c r="I828" s="155"/>
      <c r="J828" s="155"/>
      <c r="K828" s="155"/>
      <c r="L828" s="155"/>
      <c r="M828" s="155"/>
      <c r="N828" s="155"/>
      <c r="O828" s="155"/>
      <c r="P828" s="155"/>
      <c r="Q828" s="155"/>
      <c r="R828" s="155"/>
      <c r="S828" s="155"/>
      <c r="T828" s="155"/>
      <c r="U828" s="155"/>
      <c r="V828" s="155"/>
      <c r="W828" s="155"/>
      <c r="X828" s="155"/>
      <c r="Y828" s="155"/>
      <c r="Z828" s="155"/>
      <c r="AA828" s="155"/>
      <c r="AB828" s="155"/>
      <c r="AC828" s="155"/>
      <c r="AD828" s="155"/>
      <c r="AE828" s="155"/>
      <c r="AF828" s="155"/>
      <c r="AG828" s="155"/>
      <c r="AH828" s="155"/>
      <c r="AI828" s="155"/>
      <c r="AJ828" s="155"/>
      <c r="AK828" s="155"/>
      <c r="AL828" s="155"/>
      <c r="AM828" s="155"/>
      <c r="AN828" s="155"/>
      <c r="AO828" s="155"/>
      <c r="AP828" s="155"/>
      <c r="AQ828" s="155"/>
      <c r="AR828" s="155"/>
      <c r="AS828" s="155"/>
      <c r="AT828" s="155"/>
      <c r="AU828" s="155"/>
      <c r="AV828" s="155"/>
      <c r="AW828" s="155"/>
      <c r="AX828" s="155"/>
    </row>
    <row r="829" spans="4:50">
      <c r="D829" s="155"/>
      <c r="E829" s="155"/>
      <c r="F829" s="155"/>
      <c r="G829" s="155"/>
      <c r="H829" s="155"/>
      <c r="I829" s="155"/>
      <c r="J829" s="155"/>
      <c r="K829" s="155"/>
      <c r="L829" s="155"/>
      <c r="M829" s="155"/>
      <c r="N829" s="155"/>
      <c r="O829" s="155"/>
      <c r="P829" s="155"/>
      <c r="Q829" s="155"/>
      <c r="R829" s="155"/>
      <c r="S829" s="155"/>
      <c r="T829" s="155"/>
      <c r="U829" s="155"/>
      <c r="V829" s="155"/>
      <c r="W829" s="155"/>
      <c r="X829" s="155"/>
      <c r="Y829" s="155"/>
      <c r="Z829" s="155"/>
      <c r="AA829" s="155"/>
      <c r="AB829" s="155"/>
      <c r="AC829" s="155"/>
      <c r="AD829" s="155"/>
      <c r="AE829" s="155"/>
      <c r="AF829" s="155"/>
      <c r="AG829" s="155"/>
      <c r="AH829" s="155"/>
      <c r="AI829" s="155"/>
      <c r="AJ829" s="155"/>
      <c r="AK829" s="155"/>
      <c r="AL829" s="155"/>
      <c r="AM829" s="155"/>
      <c r="AN829" s="155"/>
      <c r="AO829" s="155"/>
      <c r="AP829" s="155"/>
      <c r="AQ829" s="155"/>
      <c r="AR829" s="155"/>
      <c r="AS829" s="155"/>
      <c r="AT829" s="155"/>
      <c r="AU829" s="155"/>
      <c r="AV829" s="155"/>
      <c r="AW829" s="155"/>
      <c r="AX829" s="155"/>
    </row>
    <row r="830" spans="4:50">
      <c r="D830" s="155"/>
      <c r="E830" s="155"/>
      <c r="F830" s="155"/>
      <c r="G830" s="155"/>
      <c r="H830" s="155"/>
      <c r="I830" s="155"/>
      <c r="J830" s="155"/>
      <c r="K830" s="155"/>
      <c r="L830" s="155"/>
      <c r="M830" s="155"/>
      <c r="N830" s="155"/>
      <c r="O830" s="155"/>
      <c r="P830" s="155"/>
      <c r="Q830" s="155"/>
      <c r="R830" s="155"/>
      <c r="S830" s="155"/>
      <c r="T830" s="155"/>
      <c r="U830" s="155"/>
      <c r="V830" s="155"/>
      <c r="W830" s="155"/>
      <c r="X830" s="155"/>
      <c r="Y830" s="155"/>
      <c r="Z830" s="155"/>
      <c r="AA830" s="155"/>
      <c r="AB830" s="155"/>
      <c r="AC830" s="155"/>
      <c r="AD830" s="155"/>
      <c r="AE830" s="155"/>
      <c r="AF830" s="155"/>
      <c r="AG830" s="155"/>
      <c r="AH830" s="155"/>
      <c r="AI830" s="155"/>
      <c r="AJ830" s="155"/>
      <c r="AK830" s="155"/>
      <c r="AL830" s="155"/>
      <c r="AM830" s="155"/>
      <c r="AN830" s="155"/>
      <c r="AO830" s="155"/>
      <c r="AP830" s="155"/>
      <c r="AQ830" s="155"/>
      <c r="AR830" s="155"/>
      <c r="AS830" s="155"/>
      <c r="AT830" s="155"/>
      <c r="AU830" s="155"/>
      <c r="AV830" s="155"/>
      <c r="AW830" s="155"/>
      <c r="AX830" s="155"/>
    </row>
    <row r="831" spans="4:50">
      <c r="D831" s="155"/>
      <c r="E831" s="155"/>
      <c r="F831" s="155"/>
      <c r="G831" s="155"/>
      <c r="H831" s="155"/>
      <c r="I831" s="155"/>
      <c r="J831" s="155"/>
      <c r="K831" s="155"/>
      <c r="L831" s="155"/>
      <c r="M831" s="155"/>
      <c r="N831" s="155"/>
      <c r="O831" s="155"/>
      <c r="P831" s="155"/>
      <c r="Q831" s="155"/>
      <c r="R831" s="155"/>
      <c r="S831" s="155"/>
      <c r="T831" s="155"/>
      <c r="U831" s="155"/>
      <c r="V831" s="155"/>
      <c r="W831" s="155"/>
      <c r="X831" s="155"/>
      <c r="Y831" s="155"/>
      <c r="Z831" s="155"/>
      <c r="AA831" s="155"/>
      <c r="AB831" s="155"/>
      <c r="AC831" s="155"/>
      <c r="AD831" s="155"/>
      <c r="AE831" s="155"/>
      <c r="AF831" s="155"/>
      <c r="AG831" s="155"/>
      <c r="AH831" s="155"/>
      <c r="AI831" s="155"/>
      <c r="AJ831" s="155"/>
      <c r="AK831" s="155"/>
      <c r="AL831" s="155"/>
      <c r="AM831" s="155"/>
      <c r="AN831" s="155"/>
      <c r="AO831" s="155"/>
      <c r="AP831" s="155"/>
      <c r="AQ831" s="155"/>
      <c r="AR831" s="155"/>
      <c r="AS831" s="155"/>
      <c r="AT831" s="155"/>
      <c r="AU831" s="155"/>
      <c r="AV831" s="155"/>
      <c r="AW831" s="155"/>
      <c r="AX831" s="155"/>
    </row>
    <row r="832" spans="4:50">
      <c r="D832" s="155"/>
      <c r="E832" s="155"/>
      <c r="F832" s="155"/>
      <c r="G832" s="155"/>
      <c r="H832" s="155"/>
      <c r="I832" s="155"/>
      <c r="J832" s="155"/>
      <c r="K832" s="155"/>
      <c r="L832" s="155"/>
      <c r="M832" s="155"/>
      <c r="N832" s="155"/>
      <c r="O832" s="155"/>
      <c r="P832" s="155"/>
      <c r="Q832" s="155"/>
      <c r="R832" s="155"/>
      <c r="S832" s="155"/>
      <c r="T832" s="155"/>
      <c r="U832" s="155"/>
      <c r="V832" s="155"/>
      <c r="W832" s="155"/>
      <c r="X832" s="155"/>
      <c r="Y832" s="155"/>
      <c r="Z832" s="155"/>
      <c r="AA832" s="155"/>
      <c r="AB832" s="155"/>
      <c r="AC832" s="155"/>
      <c r="AD832" s="155"/>
      <c r="AE832" s="155"/>
      <c r="AF832" s="155"/>
      <c r="AG832" s="155"/>
      <c r="AH832" s="155"/>
      <c r="AI832" s="155"/>
      <c r="AJ832" s="155"/>
      <c r="AK832" s="155"/>
      <c r="AL832" s="155"/>
      <c r="AM832" s="155"/>
      <c r="AN832" s="155"/>
      <c r="AO832" s="155"/>
      <c r="AP832" s="155"/>
      <c r="AQ832" s="155"/>
      <c r="AR832" s="155"/>
      <c r="AS832" s="155"/>
      <c r="AT832" s="155"/>
      <c r="AU832" s="155"/>
      <c r="AV832" s="155"/>
      <c r="AW832" s="155"/>
      <c r="AX832" s="155"/>
    </row>
    <row r="833" spans="4:50">
      <c r="D833" s="155"/>
      <c r="E833" s="155"/>
      <c r="F833" s="155"/>
      <c r="G833" s="155"/>
      <c r="H833" s="155"/>
      <c r="I833" s="155"/>
      <c r="J833" s="155"/>
      <c r="K833" s="155"/>
      <c r="L833" s="155"/>
      <c r="M833" s="155"/>
      <c r="N833" s="155"/>
      <c r="O833" s="155"/>
      <c r="P833" s="155"/>
      <c r="Q833" s="155"/>
      <c r="R833" s="155"/>
      <c r="S833" s="155"/>
      <c r="T833" s="155"/>
      <c r="U833" s="155"/>
      <c r="V833" s="155"/>
      <c r="W833" s="155"/>
      <c r="X833" s="155"/>
      <c r="Y833" s="155"/>
      <c r="Z833" s="155"/>
      <c r="AA833" s="155"/>
      <c r="AB833" s="155"/>
      <c r="AC833" s="155"/>
      <c r="AD833" s="155"/>
      <c r="AE833" s="155"/>
      <c r="AF833" s="155"/>
      <c r="AG833" s="155"/>
      <c r="AH833" s="155"/>
      <c r="AI833" s="155"/>
      <c r="AJ833" s="155"/>
      <c r="AK833" s="155"/>
      <c r="AL833" s="155"/>
      <c r="AM833" s="155"/>
      <c r="AN833" s="155"/>
      <c r="AO833" s="155"/>
      <c r="AP833" s="155"/>
      <c r="AQ833" s="155"/>
      <c r="AR833" s="155"/>
      <c r="AS833" s="155"/>
      <c r="AT833" s="155"/>
      <c r="AU833" s="155"/>
      <c r="AV833" s="155"/>
      <c r="AW833" s="155"/>
      <c r="AX833" s="155"/>
    </row>
    <row r="834" spans="4:50">
      <c r="D834" s="155"/>
      <c r="E834" s="155"/>
      <c r="F834" s="155"/>
      <c r="G834" s="155"/>
      <c r="H834" s="155"/>
      <c r="I834" s="155"/>
      <c r="J834" s="155"/>
      <c r="K834" s="155"/>
      <c r="L834" s="155"/>
      <c r="M834" s="155"/>
      <c r="N834" s="155"/>
      <c r="O834" s="155"/>
      <c r="P834" s="155"/>
      <c r="Q834" s="155"/>
      <c r="R834" s="155"/>
      <c r="S834" s="155"/>
      <c r="T834" s="155"/>
      <c r="U834" s="155"/>
      <c r="V834" s="155"/>
      <c r="W834" s="155"/>
      <c r="X834" s="155"/>
      <c r="Y834" s="155"/>
      <c r="Z834" s="155"/>
      <c r="AA834" s="155"/>
      <c r="AB834" s="155"/>
      <c r="AC834" s="155"/>
      <c r="AD834" s="155"/>
      <c r="AE834" s="155"/>
      <c r="AF834" s="155"/>
      <c r="AG834" s="155"/>
      <c r="AH834" s="155"/>
      <c r="AI834" s="155"/>
      <c r="AJ834" s="155"/>
      <c r="AK834" s="155"/>
      <c r="AL834" s="155"/>
      <c r="AM834" s="155"/>
      <c r="AN834" s="155"/>
      <c r="AO834" s="155"/>
      <c r="AP834" s="155"/>
      <c r="AQ834" s="155"/>
      <c r="AR834" s="155"/>
      <c r="AS834" s="155"/>
      <c r="AT834" s="155"/>
      <c r="AU834" s="155"/>
      <c r="AV834" s="155"/>
      <c r="AW834" s="155"/>
      <c r="AX834" s="155"/>
    </row>
    <row r="835" spans="4:50">
      <c r="D835" s="155"/>
      <c r="E835" s="155"/>
      <c r="F835" s="155"/>
      <c r="G835" s="155"/>
      <c r="H835" s="155"/>
      <c r="I835" s="155"/>
      <c r="J835" s="155"/>
      <c r="K835" s="155"/>
      <c r="L835" s="155"/>
      <c r="M835" s="155"/>
      <c r="N835" s="155"/>
      <c r="O835" s="155"/>
      <c r="P835" s="155"/>
      <c r="Q835" s="155"/>
      <c r="R835" s="155"/>
      <c r="S835" s="155"/>
      <c r="T835" s="155"/>
      <c r="U835" s="155"/>
      <c r="V835" s="155"/>
      <c r="W835" s="155"/>
      <c r="X835" s="155"/>
      <c r="Y835" s="155"/>
      <c r="Z835" s="155"/>
      <c r="AA835" s="155"/>
      <c r="AB835" s="155"/>
      <c r="AC835" s="155"/>
      <c r="AD835" s="155"/>
      <c r="AE835" s="155"/>
      <c r="AF835" s="155"/>
      <c r="AG835" s="155"/>
      <c r="AH835" s="155"/>
      <c r="AI835" s="155"/>
      <c r="AJ835" s="155"/>
      <c r="AK835" s="155"/>
      <c r="AL835" s="155"/>
      <c r="AM835" s="155"/>
      <c r="AN835" s="155"/>
      <c r="AO835" s="155"/>
      <c r="AP835" s="155"/>
      <c r="AQ835" s="155"/>
      <c r="AR835" s="155"/>
      <c r="AS835" s="155"/>
      <c r="AT835" s="155"/>
      <c r="AU835" s="155"/>
      <c r="AV835" s="155"/>
      <c r="AW835" s="155"/>
      <c r="AX835" s="155"/>
    </row>
    <row r="836" spans="4:50">
      <c r="D836" s="155"/>
      <c r="E836" s="155"/>
      <c r="F836" s="155"/>
      <c r="G836" s="155"/>
      <c r="H836" s="155"/>
      <c r="I836" s="155"/>
      <c r="J836" s="155"/>
      <c r="K836" s="155"/>
      <c r="L836" s="155"/>
      <c r="M836" s="155"/>
      <c r="N836" s="155"/>
      <c r="O836" s="155"/>
      <c r="P836" s="155"/>
      <c r="Q836" s="155"/>
      <c r="R836" s="155"/>
      <c r="S836" s="155"/>
      <c r="T836" s="155"/>
      <c r="U836" s="155"/>
      <c r="V836" s="155"/>
      <c r="W836" s="155"/>
      <c r="X836" s="155"/>
      <c r="Y836" s="155"/>
      <c r="Z836" s="155"/>
      <c r="AA836" s="155"/>
      <c r="AB836" s="155"/>
      <c r="AC836" s="155"/>
      <c r="AD836" s="155"/>
      <c r="AE836" s="155"/>
      <c r="AF836" s="155"/>
      <c r="AG836" s="155"/>
      <c r="AH836" s="155"/>
      <c r="AI836" s="155"/>
      <c r="AJ836" s="155"/>
      <c r="AK836" s="155"/>
      <c r="AL836" s="155"/>
      <c r="AM836" s="155"/>
      <c r="AN836" s="155"/>
      <c r="AO836" s="155"/>
      <c r="AP836" s="155"/>
      <c r="AQ836" s="155"/>
      <c r="AR836" s="155"/>
      <c r="AS836" s="155"/>
      <c r="AT836" s="155"/>
      <c r="AU836" s="155"/>
      <c r="AV836" s="155"/>
      <c r="AW836" s="155"/>
      <c r="AX836" s="155"/>
    </row>
    <row r="837" spans="4:50">
      <c r="D837" s="155"/>
      <c r="E837" s="155"/>
      <c r="F837" s="155"/>
      <c r="G837" s="155"/>
      <c r="H837" s="155"/>
      <c r="I837" s="155"/>
      <c r="J837" s="155"/>
      <c r="K837" s="155"/>
      <c r="L837" s="155"/>
      <c r="M837" s="155"/>
      <c r="N837" s="155"/>
      <c r="O837" s="155"/>
      <c r="P837" s="155"/>
      <c r="Q837" s="155"/>
      <c r="R837" s="155"/>
      <c r="S837" s="155"/>
      <c r="T837" s="155"/>
      <c r="U837" s="155"/>
      <c r="V837" s="155"/>
      <c r="W837" s="155"/>
      <c r="X837" s="155"/>
      <c r="Y837" s="155"/>
      <c r="Z837" s="155"/>
      <c r="AA837" s="155"/>
      <c r="AB837" s="155"/>
      <c r="AC837" s="155"/>
      <c r="AD837" s="155"/>
      <c r="AE837" s="155"/>
      <c r="AF837" s="155"/>
      <c r="AG837" s="155"/>
      <c r="AH837" s="155"/>
      <c r="AI837" s="155"/>
      <c r="AJ837" s="155"/>
      <c r="AK837" s="155"/>
      <c r="AL837" s="155"/>
      <c r="AM837" s="155"/>
      <c r="AN837" s="155"/>
      <c r="AO837" s="155"/>
      <c r="AP837" s="155"/>
      <c r="AQ837" s="155"/>
      <c r="AR837" s="155"/>
      <c r="AS837" s="155"/>
      <c r="AT837" s="155"/>
      <c r="AU837" s="155"/>
      <c r="AV837" s="155"/>
      <c r="AW837" s="155"/>
      <c r="AX837" s="155"/>
    </row>
    <row r="838" spans="4:50">
      <c r="D838" s="155"/>
      <c r="E838" s="155"/>
      <c r="F838" s="155"/>
      <c r="G838" s="155"/>
      <c r="H838" s="155"/>
      <c r="I838" s="155"/>
      <c r="J838" s="155"/>
      <c r="K838" s="155"/>
      <c r="L838" s="155"/>
      <c r="M838" s="155"/>
      <c r="N838" s="155"/>
      <c r="O838" s="155"/>
      <c r="P838" s="155"/>
      <c r="Q838" s="155"/>
      <c r="R838" s="155"/>
      <c r="S838" s="155"/>
      <c r="T838" s="155"/>
      <c r="U838" s="155"/>
      <c r="V838" s="155"/>
      <c r="W838" s="155"/>
      <c r="X838" s="155"/>
      <c r="Y838" s="155"/>
      <c r="Z838" s="155"/>
      <c r="AA838" s="155"/>
      <c r="AB838" s="155"/>
      <c r="AC838" s="155"/>
      <c r="AD838" s="155"/>
      <c r="AE838" s="155"/>
      <c r="AF838" s="155"/>
      <c r="AG838" s="155"/>
      <c r="AH838" s="155"/>
      <c r="AI838" s="155"/>
      <c r="AJ838" s="155"/>
      <c r="AK838" s="155"/>
      <c r="AL838" s="155"/>
      <c r="AM838" s="155"/>
      <c r="AN838" s="155"/>
      <c r="AO838" s="155"/>
      <c r="AP838" s="155"/>
      <c r="AQ838" s="155"/>
      <c r="AR838" s="155"/>
      <c r="AS838" s="155"/>
      <c r="AT838" s="155"/>
      <c r="AU838" s="155"/>
      <c r="AV838" s="155"/>
      <c r="AW838" s="155"/>
      <c r="AX838" s="155"/>
    </row>
    <row r="839" spans="4:50">
      <c r="D839" s="155"/>
      <c r="E839" s="155"/>
      <c r="F839" s="155"/>
      <c r="G839" s="155"/>
      <c r="H839" s="155"/>
      <c r="I839" s="155"/>
      <c r="J839" s="155"/>
      <c r="K839" s="155"/>
      <c r="L839" s="155"/>
      <c r="M839" s="155"/>
      <c r="N839" s="155"/>
      <c r="O839" s="155"/>
      <c r="P839" s="155"/>
      <c r="Q839" s="155"/>
      <c r="R839" s="155"/>
      <c r="S839" s="155"/>
      <c r="T839" s="155"/>
      <c r="U839" s="155"/>
      <c r="V839" s="155"/>
      <c r="W839" s="155"/>
      <c r="X839" s="155"/>
      <c r="Y839" s="155"/>
      <c r="Z839" s="155"/>
      <c r="AA839" s="155"/>
      <c r="AB839" s="155"/>
      <c r="AC839" s="155"/>
      <c r="AD839" s="155"/>
      <c r="AE839" s="155"/>
      <c r="AF839" s="155"/>
      <c r="AG839" s="155"/>
      <c r="AH839" s="155"/>
      <c r="AI839" s="155"/>
      <c r="AJ839" s="155"/>
      <c r="AK839" s="155"/>
      <c r="AL839" s="155"/>
      <c r="AM839" s="155"/>
      <c r="AN839" s="155"/>
      <c r="AO839" s="155"/>
      <c r="AP839" s="155"/>
      <c r="AQ839" s="155"/>
      <c r="AR839" s="155"/>
      <c r="AS839" s="155"/>
      <c r="AT839" s="155"/>
      <c r="AU839" s="155"/>
      <c r="AV839" s="155"/>
      <c r="AW839" s="155"/>
      <c r="AX839" s="155"/>
    </row>
    <row r="840" spans="4:50">
      <c r="D840" s="155"/>
      <c r="E840" s="155"/>
      <c r="F840" s="155"/>
      <c r="G840" s="155"/>
      <c r="H840" s="155"/>
      <c r="I840" s="155"/>
      <c r="J840" s="155"/>
      <c r="K840" s="155"/>
      <c r="L840" s="155"/>
      <c r="M840" s="155"/>
      <c r="N840" s="155"/>
      <c r="O840" s="155"/>
      <c r="P840" s="155"/>
      <c r="Q840" s="155"/>
      <c r="R840" s="155"/>
      <c r="S840" s="155"/>
      <c r="T840" s="155"/>
      <c r="U840" s="155"/>
      <c r="V840" s="155"/>
      <c r="W840" s="155"/>
      <c r="X840" s="155"/>
      <c r="Y840" s="155"/>
      <c r="Z840" s="155"/>
      <c r="AA840" s="155"/>
      <c r="AB840" s="155"/>
      <c r="AC840" s="155"/>
      <c r="AD840" s="155"/>
      <c r="AE840" s="155"/>
      <c r="AF840" s="155"/>
      <c r="AG840" s="155"/>
      <c r="AH840" s="155"/>
      <c r="AI840" s="155"/>
      <c r="AJ840" s="155"/>
      <c r="AK840" s="155"/>
      <c r="AL840" s="155"/>
      <c r="AM840" s="155"/>
      <c r="AN840" s="155"/>
      <c r="AO840" s="155"/>
      <c r="AP840" s="155"/>
      <c r="AQ840" s="155"/>
      <c r="AR840" s="155"/>
      <c r="AS840" s="155"/>
      <c r="AT840" s="155"/>
      <c r="AU840" s="155"/>
      <c r="AV840" s="155"/>
      <c r="AW840" s="155"/>
      <c r="AX840" s="155"/>
    </row>
    <row r="841" spans="4:50">
      <c r="D841" s="155"/>
      <c r="E841" s="155"/>
      <c r="F841" s="155"/>
      <c r="G841" s="155"/>
      <c r="H841" s="155"/>
      <c r="I841" s="155"/>
      <c r="J841" s="155"/>
      <c r="K841" s="155"/>
      <c r="L841" s="155"/>
      <c r="M841" s="155"/>
      <c r="N841" s="155"/>
      <c r="O841" s="155"/>
      <c r="P841" s="155"/>
      <c r="Q841" s="155"/>
      <c r="R841" s="155"/>
      <c r="S841" s="155"/>
      <c r="T841" s="155"/>
      <c r="U841" s="155"/>
      <c r="V841" s="155"/>
      <c r="W841" s="155"/>
      <c r="X841" s="155"/>
      <c r="Y841" s="155"/>
      <c r="Z841" s="155"/>
      <c r="AA841" s="155"/>
      <c r="AB841" s="155"/>
      <c r="AC841" s="155"/>
      <c r="AD841" s="155"/>
      <c r="AE841" s="155"/>
      <c r="AF841" s="155"/>
      <c r="AG841" s="155"/>
      <c r="AH841" s="155"/>
      <c r="AI841" s="155"/>
      <c r="AJ841" s="155"/>
      <c r="AK841" s="155"/>
      <c r="AL841" s="155"/>
      <c r="AM841" s="155"/>
      <c r="AN841" s="155"/>
      <c r="AO841" s="155"/>
      <c r="AP841" s="155"/>
      <c r="AQ841" s="155"/>
      <c r="AR841" s="155"/>
      <c r="AS841" s="155"/>
      <c r="AT841" s="155"/>
      <c r="AU841" s="155"/>
      <c r="AV841" s="155"/>
      <c r="AW841" s="155"/>
      <c r="AX841" s="155"/>
    </row>
    <row r="842" spans="4:50">
      <c r="D842" s="155"/>
      <c r="E842" s="155"/>
      <c r="F842" s="155"/>
      <c r="G842" s="155"/>
      <c r="H842" s="155"/>
      <c r="I842" s="155"/>
      <c r="J842" s="155"/>
      <c r="K842" s="155"/>
      <c r="L842" s="155"/>
      <c r="M842" s="155"/>
      <c r="N842" s="155"/>
      <c r="O842" s="155"/>
      <c r="P842" s="155"/>
      <c r="Q842" s="155"/>
      <c r="R842" s="155"/>
      <c r="S842" s="155"/>
      <c r="T842" s="155"/>
      <c r="U842" s="155"/>
      <c r="V842" s="155"/>
      <c r="W842" s="155"/>
      <c r="X842" s="155"/>
      <c r="Y842" s="155"/>
      <c r="Z842" s="155"/>
      <c r="AA842" s="155"/>
      <c r="AB842" s="155"/>
      <c r="AC842" s="155"/>
      <c r="AD842" s="155"/>
      <c r="AE842" s="155"/>
      <c r="AF842" s="155"/>
      <c r="AG842" s="155"/>
      <c r="AH842" s="155"/>
      <c r="AI842" s="155"/>
      <c r="AJ842" s="155"/>
      <c r="AK842" s="155"/>
      <c r="AL842" s="155"/>
      <c r="AM842" s="155"/>
      <c r="AN842" s="155"/>
      <c r="AO842" s="155"/>
      <c r="AP842" s="155"/>
      <c r="AQ842" s="155"/>
      <c r="AR842" s="155"/>
      <c r="AS842" s="155"/>
      <c r="AT842" s="155"/>
      <c r="AU842" s="155"/>
      <c r="AV842" s="155"/>
      <c r="AW842" s="155"/>
      <c r="AX842" s="155"/>
    </row>
    <row r="843" spans="4:50">
      <c r="D843" s="155"/>
      <c r="E843" s="155"/>
      <c r="F843" s="155"/>
      <c r="G843" s="155"/>
      <c r="H843" s="155"/>
      <c r="I843" s="155"/>
      <c r="J843" s="155"/>
      <c r="K843" s="155"/>
      <c r="L843" s="155"/>
      <c r="M843" s="155"/>
      <c r="N843" s="155"/>
      <c r="O843" s="155"/>
      <c r="P843" s="155"/>
      <c r="Q843" s="155"/>
      <c r="R843" s="155"/>
      <c r="S843" s="155"/>
      <c r="T843" s="155"/>
      <c r="U843" s="155"/>
      <c r="V843" s="155"/>
      <c r="W843" s="155"/>
      <c r="X843" s="155"/>
      <c r="Y843" s="155"/>
      <c r="Z843" s="155"/>
      <c r="AA843" s="155"/>
      <c r="AB843" s="155"/>
      <c r="AC843" s="155"/>
      <c r="AD843" s="155"/>
      <c r="AE843" s="155"/>
      <c r="AF843" s="155"/>
      <c r="AG843" s="155"/>
      <c r="AH843" s="155"/>
      <c r="AI843" s="155"/>
      <c r="AJ843" s="155"/>
      <c r="AK843" s="155"/>
      <c r="AL843" s="155"/>
      <c r="AM843" s="155"/>
      <c r="AN843" s="155"/>
      <c r="AO843" s="155"/>
      <c r="AP843" s="155"/>
      <c r="AQ843" s="155"/>
      <c r="AR843" s="155"/>
      <c r="AS843" s="155"/>
      <c r="AT843" s="155"/>
      <c r="AU843" s="155"/>
      <c r="AV843" s="155"/>
      <c r="AW843" s="155"/>
      <c r="AX843" s="155"/>
    </row>
    <row r="844" spans="4:50">
      <c r="D844" s="155"/>
      <c r="E844" s="155"/>
      <c r="F844" s="155"/>
      <c r="G844" s="155"/>
      <c r="H844" s="155"/>
      <c r="I844" s="155"/>
      <c r="J844" s="155"/>
      <c r="K844" s="155"/>
      <c r="L844" s="155"/>
      <c r="M844" s="155"/>
      <c r="N844" s="155"/>
      <c r="O844" s="155"/>
      <c r="P844" s="155"/>
      <c r="Q844" s="155"/>
      <c r="R844" s="155"/>
      <c r="S844" s="155"/>
      <c r="T844" s="155"/>
      <c r="U844" s="155"/>
      <c r="V844" s="155"/>
      <c r="W844" s="155"/>
      <c r="X844" s="155"/>
      <c r="Y844" s="155"/>
      <c r="Z844" s="155"/>
      <c r="AA844" s="155"/>
      <c r="AB844" s="155"/>
      <c r="AC844" s="155"/>
      <c r="AD844" s="155"/>
      <c r="AE844" s="155"/>
      <c r="AF844" s="155"/>
      <c r="AG844" s="155"/>
      <c r="AH844" s="155"/>
      <c r="AI844" s="155"/>
      <c r="AJ844" s="155"/>
      <c r="AK844" s="155"/>
      <c r="AL844" s="155"/>
      <c r="AM844" s="155"/>
      <c r="AN844" s="155"/>
      <c r="AO844" s="155"/>
      <c r="AP844" s="155"/>
      <c r="AQ844" s="155"/>
      <c r="AR844" s="155"/>
      <c r="AS844" s="155"/>
      <c r="AT844" s="155"/>
      <c r="AU844" s="155"/>
      <c r="AV844" s="155"/>
      <c r="AW844" s="155"/>
      <c r="AX844" s="155"/>
    </row>
    <row r="845" spans="4:50">
      <c r="D845" s="155"/>
      <c r="E845" s="155"/>
      <c r="F845" s="155"/>
      <c r="G845" s="155"/>
      <c r="H845" s="155"/>
      <c r="I845" s="155"/>
      <c r="J845" s="155"/>
      <c r="K845" s="155"/>
      <c r="L845" s="155"/>
      <c r="M845" s="155"/>
      <c r="N845" s="155"/>
      <c r="O845" s="155"/>
      <c r="P845" s="155"/>
      <c r="Q845" s="155"/>
      <c r="R845" s="155"/>
      <c r="S845" s="155"/>
      <c r="T845" s="155"/>
      <c r="U845" s="155"/>
      <c r="V845" s="155"/>
      <c r="W845" s="155"/>
      <c r="X845" s="155"/>
      <c r="Y845" s="155"/>
      <c r="Z845" s="155"/>
      <c r="AA845" s="155"/>
      <c r="AB845" s="155"/>
      <c r="AC845" s="155"/>
      <c r="AD845" s="155"/>
      <c r="AE845" s="155"/>
      <c r="AF845" s="155"/>
      <c r="AG845" s="155"/>
      <c r="AH845" s="155"/>
      <c r="AI845" s="155"/>
      <c r="AJ845" s="155"/>
      <c r="AK845" s="155"/>
      <c r="AL845" s="155"/>
      <c r="AM845" s="155"/>
      <c r="AN845" s="155"/>
      <c r="AO845" s="155"/>
      <c r="AP845" s="155"/>
      <c r="AQ845" s="155"/>
      <c r="AR845" s="155"/>
      <c r="AS845" s="155"/>
      <c r="AT845" s="155"/>
      <c r="AU845" s="155"/>
      <c r="AV845" s="155"/>
      <c r="AW845" s="155"/>
      <c r="AX845" s="155"/>
    </row>
    <row r="846" spans="4:50">
      <c r="D846" s="155"/>
      <c r="E846" s="155"/>
      <c r="F846" s="155"/>
      <c r="G846" s="155"/>
      <c r="H846" s="155"/>
      <c r="I846" s="155"/>
      <c r="J846" s="155"/>
      <c r="K846" s="155"/>
      <c r="L846" s="155"/>
      <c r="M846" s="155"/>
      <c r="N846" s="155"/>
      <c r="O846" s="155"/>
      <c r="P846" s="155"/>
      <c r="Q846" s="155"/>
      <c r="R846" s="155"/>
      <c r="S846" s="155"/>
      <c r="T846" s="155"/>
      <c r="U846" s="155"/>
      <c r="V846" s="155"/>
      <c r="W846" s="155"/>
      <c r="X846" s="155"/>
      <c r="Y846" s="155"/>
      <c r="Z846" s="155"/>
      <c r="AA846" s="155"/>
      <c r="AB846" s="155"/>
      <c r="AC846" s="155"/>
      <c r="AD846" s="155"/>
      <c r="AE846" s="155"/>
      <c r="AF846" s="155"/>
      <c r="AG846" s="155"/>
      <c r="AH846" s="155"/>
      <c r="AI846" s="155"/>
      <c r="AJ846" s="155"/>
      <c r="AK846" s="155"/>
      <c r="AL846" s="155"/>
      <c r="AM846" s="155"/>
      <c r="AN846" s="155"/>
      <c r="AO846" s="155"/>
      <c r="AP846" s="155"/>
      <c r="AQ846" s="155"/>
      <c r="AR846" s="155"/>
      <c r="AS846" s="155"/>
      <c r="AT846" s="155"/>
      <c r="AU846" s="155"/>
      <c r="AV846" s="155"/>
      <c r="AW846" s="155"/>
      <c r="AX846" s="155"/>
    </row>
    <row r="847" spans="4:50">
      <c r="D847" s="155"/>
      <c r="E847" s="155"/>
      <c r="F847" s="155"/>
      <c r="G847" s="155"/>
      <c r="H847" s="155"/>
      <c r="I847" s="155"/>
      <c r="J847" s="155"/>
      <c r="K847" s="155"/>
      <c r="L847" s="155"/>
      <c r="M847" s="155"/>
      <c r="N847" s="155"/>
      <c r="O847" s="155"/>
      <c r="P847" s="155"/>
      <c r="Q847" s="155"/>
      <c r="R847" s="155"/>
      <c r="S847" s="155"/>
      <c r="T847" s="155"/>
      <c r="U847" s="155"/>
      <c r="V847" s="155"/>
      <c r="W847" s="155"/>
      <c r="X847" s="155"/>
      <c r="Y847" s="155"/>
      <c r="Z847" s="155"/>
      <c r="AA847" s="155"/>
      <c r="AB847" s="155"/>
      <c r="AC847" s="155"/>
      <c r="AD847" s="155"/>
      <c r="AE847" s="155"/>
      <c r="AF847" s="155"/>
      <c r="AG847" s="155"/>
      <c r="AH847" s="155"/>
      <c r="AI847" s="155"/>
      <c r="AJ847" s="155"/>
      <c r="AK847" s="155"/>
      <c r="AL847" s="155"/>
      <c r="AM847" s="155"/>
      <c r="AN847" s="155"/>
      <c r="AO847" s="155"/>
      <c r="AP847" s="155"/>
      <c r="AQ847" s="155"/>
      <c r="AR847" s="155"/>
      <c r="AS847" s="155"/>
      <c r="AT847" s="155"/>
      <c r="AU847" s="155"/>
      <c r="AV847" s="155"/>
      <c r="AW847" s="155"/>
      <c r="AX847" s="155"/>
    </row>
    <row r="848" spans="4:50">
      <c r="D848" s="155"/>
      <c r="E848" s="155"/>
      <c r="F848" s="155"/>
      <c r="G848" s="155"/>
      <c r="H848" s="155"/>
      <c r="I848" s="155"/>
      <c r="J848" s="155"/>
      <c r="K848" s="155"/>
      <c r="L848" s="155"/>
      <c r="M848" s="155"/>
      <c r="N848" s="155"/>
      <c r="O848" s="155"/>
      <c r="P848" s="155"/>
      <c r="Q848" s="155"/>
      <c r="R848" s="155"/>
      <c r="S848" s="155"/>
      <c r="T848" s="155"/>
      <c r="U848" s="155"/>
      <c r="V848" s="155"/>
      <c r="W848" s="155"/>
      <c r="X848" s="155"/>
      <c r="Y848" s="155"/>
      <c r="Z848" s="155"/>
      <c r="AA848" s="155"/>
      <c r="AB848" s="155"/>
      <c r="AC848" s="155"/>
      <c r="AD848" s="155"/>
      <c r="AE848" s="155"/>
      <c r="AF848" s="155"/>
      <c r="AG848" s="155"/>
      <c r="AH848" s="155"/>
      <c r="AI848" s="155"/>
      <c r="AJ848" s="155"/>
      <c r="AK848" s="155"/>
      <c r="AL848" s="155"/>
      <c r="AM848" s="155"/>
      <c r="AN848" s="155"/>
      <c r="AO848" s="155"/>
      <c r="AP848" s="155"/>
      <c r="AQ848" s="155"/>
      <c r="AR848" s="155"/>
      <c r="AS848" s="155"/>
      <c r="AT848" s="155"/>
      <c r="AU848" s="155"/>
      <c r="AV848" s="155"/>
      <c r="AW848" s="155"/>
      <c r="AX848" s="155"/>
    </row>
    <row r="849" spans="4:50">
      <c r="D849" s="155"/>
      <c r="E849" s="155"/>
      <c r="F849" s="155"/>
      <c r="G849" s="155"/>
      <c r="H849" s="155"/>
      <c r="I849" s="155"/>
      <c r="J849" s="155"/>
      <c r="K849" s="155"/>
      <c r="L849" s="155"/>
      <c r="M849" s="155"/>
      <c r="N849" s="155"/>
      <c r="O849" s="155"/>
      <c r="P849" s="155"/>
      <c r="Q849" s="155"/>
      <c r="R849" s="155"/>
      <c r="S849" s="155"/>
      <c r="T849" s="155"/>
      <c r="U849" s="155"/>
      <c r="V849" s="155"/>
      <c r="W849" s="155"/>
      <c r="X849" s="155"/>
      <c r="Y849" s="155"/>
      <c r="Z849" s="155"/>
      <c r="AA849" s="155"/>
      <c r="AB849" s="155"/>
      <c r="AC849" s="155"/>
      <c r="AD849" s="155"/>
      <c r="AE849" s="155"/>
      <c r="AF849" s="155"/>
      <c r="AG849" s="155"/>
      <c r="AH849" s="155"/>
      <c r="AI849" s="155"/>
      <c r="AJ849" s="155"/>
      <c r="AK849" s="155"/>
      <c r="AL849" s="155"/>
      <c r="AM849" s="155"/>
      <c r="AN849" s="155"/>
      <c r="AO849" s="155"/>
      <c r="AP849" s="155"/>
      <c r="AQ849" s="155"/>
      <c r="AR849" s="155"/>
      <c r="AS849" s="155"/>
      <c r="AT849" s="155"/>
      <c r="AU849" s="155"/>
      <c r="AV849" s="155"/>
      <c r="AW849" s="155"/>
      <c r="AX849" s="155"/>
    </row>
    <row r="850" spans="4:50">
      <c r="D850" s="155"/>
      <c r="E850" s="155"/>
      <c r="F850" s="155"/>
      <c r="G850" s="155"/>
      <c r="H850" s="155"/>
      <c r="I850" s="155"/>
      <c r="J850" s="155"/>
      <c r="K850" s="155"/>
      <c r="L850" s="155"/>
      <c r="M850" s="155"/>
      <c r="N850" s="155"/>
      <c r="O850" s="155"/>
      <c r="P850" s="155"/>
      <c r="Q850" s="155"/>
      <c r="R850" s="155"/>
      <c r="S850" s="155"/>
      <c r="T850" s="155"/>
      <c r="U850" s="155"/>
      <c r="V850" s="155"/>
      <c r="W850" s="155"/>
      <c r="X850" s="155"/>
      <c r="Y850" s="155"/>
      <c r="Z850" s="155"/>
      <c r="AA850" s="155"/>
      <c r="AB850" s="155"/>
      <c r="AC850" s="155"/>
      <c r="AD850" s="155"/>
      <c r="AE850" s="155"/>
      <c r="AF850" s="155"/>
      <c r="AG850" s="155"/>
      <c r="AH850" s="155"/>
      <c r="AI850" s="155"/>
      <c r="AJ850" s="155"/>
      <c r="AK850" s="155"/>
      <c r="AL850" s="155"/>
      <c r="AM850" s="155"/>
      <c r="AN850" s="155"/>
      <c r="AO850" s="155"/>
      <c r="AP850" s="155"/>
      <c r="AQ850" s="155"/>
      <c r="AR850" s="155"/>
      <c r="AS850" s="155"/>
      <c r="AT850" s="155"/>
      <c r="AU850" s="155"/>
      <c r="AV850" s="155"/>
      <c r="AW850" s="155"/>
      <c r="AX850" s="155"/>
    </row>
    <row r="851" spans="4:50">
      <c r="D851" s="155"/>
      <c r="E851" s="155"/>
      <c r="F851" s="155"/>
      <c r="G851" s="155"/>
      <c r="H851" s="155"/>
      <c r="I851" s="155"/>
      <c r="J851" s="155"/>
      <c r="K851" s="155"/>
      <c r="L851" s="155"/>
      <c r="M851" s="155"/>
      <c r="N851" s="155"/>
      <c r="O851" s="155"/>
      <c r="P851" s="155"/>
      <c r="Q851" s="155"/>
      <c r="R851" s="155"/>
      <c r="S851" s="155"/>
      <c r="T851" s="155"/>
      <c r="U851" s="155"/>
      <c r="V851" s="155"/>
      <c r="W851" s="155"/>
      <c r="X851" s="155"/>
      <c r="Y851" s="155"/>
      <c r="Z851" s="155"/>
      <c r="AA851" s="155"/>
      <c r="AB851" s="155"/>
      <c r="AC851" s="155"/>
      <c r="AD851" s="155"/>
      <c r="AE851" s="155"/>
      <c r="AF851" s="155"/>
      <c r="AG851" s="155"/>
      <c r="AH851" s="155"/>
      <c r="AI851" s="155"/>
      <c r="AJ851" s="155"/>
      <c r="AK851" s="155"/>
      <c r="AL851" s="155"/>
      <c r="AM851" s="155"/>
      <c r="AN851" s="155"/>
      <c r="AO851" s="155"/>
      <c r="AP851" s="155"/>
      <c r="AQ851" s="155"/>
      <c r="AR851" s="155"/>
      <c r="AS851" s="155"/>
      <c r="AT851" s="155"/>
      <c r="AU851" s="155"/>
      <c r="AV851" s="155"/>
      <c r="AW851" s="155"/>
      <c r="AX851" s="155"/>
    </row>
    <row r="852" spans="4:50">
      <c r="D852" s="155"/>
      <c r="E852" s="155"/>
      <c r="F852" s="155"/>
      <c r="G852" s="155"/>
      <c r="H852" s="155"/>
      <c r="I852" s="155"/>
      <c r="J852" s="155"/>
      <c r="K852" s="155"/>
      <c r="L852" s="155"/>
      <c r="M852" s="155"/>
      <c r="N852" s="155"/>
      <c r="O852" s="155"/>
      <c r="P852" s="155"/>
      <c r="Q852" s="155"/>
      <c r="R852" s="155"/>
      <c r="S852" s="155"/>
      <c r="T852" s="155"/>
      <c r="U852" s="155"/>
      <c r="V852" s="155"/>
      <c r="W852" s="155"/>
      <c r="X852" s="155"/>
      <c r="Y852" s="155"/>
      <c r="Z852" s="155"/>
      <c r="AA852" s="155"/>
      <c r="AB852" s="155"/>
      <c r="AC852" s="155"/>
      <c r="AD852" s="155"/>
      <c r="AE852" s="155"/>
      <c r="AF852" s="155"/>
      <c r="AG852" s="155"/>
      <c r="AH852" s="155"/>
      <c r="AI852" s="155"/>
      <c r="AJ852" s="155"/>
      <c r="AK852" s="155"/>
      <c r="AL852" s="155"/>
      <c r="AM852" s="155"/>
      <c r="AN852" s="155"/>
      <c r="AO852" s="155"/>
      <c r="AP852" s="155"/>
      <c r="AQ852" s="155"/>
      <c r="AR852" s="155"/>
      <c r="AS852" s="155"/>
      <c r="AT852" s="155"/>
      <c r="AU852" s="155"/>
      <c r="AV852" s="155"/>
      <c r="AW852" s="155"/>
      <c r="AX852" s="155"/>
    </row>
    <row r="853" spans="4:50">
      <c r="D853" s="155"/>
      <c r="E853" s="155"/>
      <c r="F853" s="155"/>
      <c r="G853" s="155"/>
      <c r="H853" s="155"/>
      <c r="I853" s="155"/>
      <c r="J853" s="155"/>
      <c r="K853" s="155"/>
      <c r="L853" s="155"/>
      <c r="M853" s="155"/>
      <c r="N853" s="155"/>
      <c r="O853" s="155"/>
      <c r="P853" s="155"/>
      <c r="Q853" s="155"/>
      <c r="R853" s="155"/>
      <c r="S853" s="155"/>
      <c r="T853" s="155"/>
      <c r="U853" s="155"/>
      <c r="V853" s="155"/>
      <c r="W853" s="155"/>
      <c r="X853" s="155"/>
      <c r="Y853" s="155"/>
      <c r="Z853" s="155"/>
      <c r="AA853" s="155"/>
      <c r="AB853" s="155"/>
      <c r="AC853" s="155"/>
      <c r="AD853" s="155"/>
      <c r="AE853" s="155"/>
      <c r="AF853" s="155"/>
      <c r="AG853" s="155"/>
      <c r="AH853" s="155"/>
      <c r="AI853" s="155"/>
      <c r="AJ853" s="155"/>
      <c r="AK853" s="155"/>
      <c r="AL853" s="155"/>
      <c r="AM853" s="155"/>
      <c r="AN853" s="155"/>
      <c r="AO853" s="155"/>
      <c r="AP853" s="155"/>
      <c r="AQ853" s="155"/>
      <c r="AR853" s="155"/>
      <c r="AS853" s="155"/>
      <c r="AT853" s="155"/>
      <c r="AU853" s="155"/>
      <c r="AV853" s="155"/>
      <c r="AW853" s="155"/>
      <c r="AX853" s="155"/>
    </row>
    <row r="854" spans="4:50">
      <c r="D854" s="155"/>
      <c r="E854" s="155"/>
      <c r="F854" s="155"/>
      <c r="G854" s="155"/>
      <c r="H854" s="155"/>
      <c r="I854" s="155"/>
      <c r="J854" s="155"/>
      <c r="K854" s="155"/>
      <c r="L854" s="155"/>
      <c r="M854" s="155"/>
      <c r="N854" s="155"/>
      <c r="O854" s="155"/>
      <c r="P854" s="155"/>
      <c r="Q854" s="155"/>
      <c r="R854" s="155"/>
      <c r="S854" s="155"/>
      <c r="T854" s="155"/>
      <c r="U854" s="155"/>
      <c r="V854" s="155"/>
      <c r="W854" s="155"/>
      <c r="X854" s="155"/>
      <c r="Y854" s="155"/>
      <c r="Z854" s="155"/>
      <c r="AA854" s="155"/>
      <c r="AB854" s="155"/>
      <c r="AC854" s="155"/>
      <c r="AD854" s="155"/>
      <c r="AE854" s="155"/>
      <c r="AF854" s="155"/>
      <c r="AG854" s="155"/>
      <c r="AH854" s="155"/>
      <c r="AI854" s="155"/>
      <c r="AJ854" s="155"/>
      <c r="AK854" s="155"/>
      <c r="AL854" s="155"/>
      <c r="AM854" s="155"/>
      <c r="AN854" s="155"/>
      <c r="AO854" s="155"/>
      <c r="AP854" s="155"/>
      <c r="AQ854" s="155"/>
      <c r="AR854" s="155"/>
      <c r="AS854" s="155"/>
      <c r="AT854" s="155"/>
      <c r="AU854" s="155"/>
      <c r="AV854" s="155"/>
      <c r="AW854" s="155"/>
      <c r="AX854" s="155"/>
    </row>
    <row r="855" spans="4:50">
      <c r="D855" s="155"/>
      <c r="E855" s="155"/>
      <c r="F855" s="155"/>
      <c r="G855" s="155"/>
      <c r="H855" s="155"/>
      <c r="I855" s="155"/>
      <c r="J855" s="155"/>
      <c r="K855" s="155"/>
      <c r="L855" s="155"/>
      <c r="M855" s="155"/>
      <c r="N855" s="155"/>
      <c r="O855" s="155"/>
      <c r="P855" s="155"/>
      <c r="Q855" s="155"/>
      <c r="R855" s="155"/>
      <c r="S855" s="155"/>
      <c r="T855" s="155"/>
      <c r="U855" s="155"/>
      <c r="V855" s="155"/>
      <c r="W855" s="155"/>
      <c r="X855" s="155"/>
      <c r="Y855" s="155"/>
      <c r="Z855" s="155"/>
      <c r="AA855" s="155"/>
      <c r="AB855" s="155"/>
      <c r="AC855" s="155"/>
      <c r="AD855" s="155"/>
      <c r="AE855" s="155"/>
      <c r="AF855" s="155"/>
      <c r="AG855" s="155"/>
      <c r="AH855" s="155"/>
      <c r="AI855" s="155"/>
      <c r="AJ855" s="155"/>
      <c r="AK855" s="155"/>
      <c r="AL855" s="155"/>
      <c r="AM855" s="155"/>
      <c r="AN855" s="155"/>
      <c r="AO855" s="155"/>
      <c r="AP855" s="155"/>
      <c r="AQ855" s="155"/>
      <c r="AR855" s="155"/>
      <c r="AS855" s="155"/>
      <c r="AT855" s="155"/>
      <c r="AU855" s="155"/>
      <c r="AV855" s="155"/>
      <c r="AW855" s="155"/>
      <c r="AX855" s="155"/>
    </row>
    <row r="856" spans="4:50">
      <c r="D856" s="155"/>
      <c r="E856" s="155"/>
      <c r="F856" s="155"/>
      <c r="G856" s="155"/>
      <c r="H856" s="155"/>
      <c r="I856" s="155"/>
      <c r="J856" s="155"/>
      <c r="K856" s="155"/>
      <c r="L856" s="155"/>
      <c r="M856" s="155"/>
      <c r="N856" s="155"/>
      <c r="O856" s="155"/>
      <c r="P856" s="155"/>
      <c r="Q856" s="155"/>
      <c r="R856" s="155"/>
      <c r="S856" s="155"/>
      <c r="T856" s="155"/>
      <c r="U856" s="155"/>
      <c r="V856" s="155"/>
      <c r="W856" s="155"/>
      <c r="X856" s="155"/>
      <c r="Y856" s="155"/>
      <c r="Z856" s="155"/>
      <c r="AA856" s="155"/>
      <c r="AB856" s="155"/>
      <c r="AC856" s="155"/>
      <c r="AD856" s="155"/>
      <c r="AE856" s="155"/>
      <c r="AF856" s="155"/>
      <c r="AG856" s="155"/>
      <c r="AH856" s="155"/>
      <c r="AI856" s="155"/>
      <c r="AJ856" s="155"/>
      <c r="AK856" s="155"/>
      <c r="AL856" s="155"/>
      <c r="AM856" s="155"/>
      <c r="AN856" s="155"/>
      <c r="AO856" s="155"/>
      <c r="AP856" s="155"/>
      <c r="AQ856" s="155"/>
      <c r="AR856" s="155"/>
      <c r="AS856" s="155"/>
      <c r="AT856" s="155"/>
      <c r="AU856" s="155"/>
      <c r="AV856" s="155"/>
      <c r="AW856" s="155"/>
      <c r="AX856" s="155"/>
    </row>
    <row r="857" spans="4:50">
      <c r="D857" s="155"/>
      <c r="E857" s="155"/>
      <c r="F857" s="155"/>
      <c r="G857" s="155"/>
      <c r="H857" s="155"/>
      <c r="I857" s="155"/>
      <c r="J857" s="155"/>
      <c r="K857" s="155"/>
      <c r="L857" s="155"/>
      <c r="M857" s="155"/>
      <c r="N857" s="155"/>
      <c r="O857" s="155"/>
      <c r="P857" s="155"/>
      <c r="Q857" s="155"/>
      <c r="R857" s="155"/>
      <c r="S857" s="155"/>
      <c r="T857" s="155"/>
      <c r="U857" s="155"/>
      <c r="V857" s="155"/>
      <c r="W857" s="155"/>
      <c r="X857" s="155"/>
      <c r="Y857" s="155"/>
      <c r="Z857" s="155"/>
      <c r="AA857" s="155"/>
      <c r="AB857" s="155"/>
      <c r="AC857" s="155"/>
      <c r="AD857" s="155"/>
      <c r="AE857" s="155"/>
      <c r="AF857" s="155"/>
      <c r="AG857" s="155"/>
      <c r="AH857" s="155"/>
      <c r="AI857" s="155"/>
      <c r="AJ857" s="155"/>
      <c r="AK857" s="155"/>
      <c r="AL857" s="155"/>
      <c r="AM857" s="155"/>
      <c r="AN857" s="155"/>
      <c r="AO857" s="155"/>
      <c r="AP857" s="155"/>
      <c r="AQ857" s="155"/>
      <c r="AR857" s="155"/>
      <c r="AS857" s="155"/>
      <c r="AT857" s="155"/>
      <c r="AU857" s="155"/>
      <c r="AV857" s="155"/>
      <c r="AW857" s="155"/>
      <c r="AX857" s="155"/>
    </row>
    <row r="858" spans="4:50">
      <c r="D858" s="155"/>
      <c r="E858" s="155"/>
      <c r="F858" s="155"/>
      <c r="G858" s="155"/>
      <c r="H858" s="155"/>
      <c r="I858" s="155"/>
      <c r="J858" s="155"/>
      <c r="K858" s="155"/>
      <c r="L858" s="155"/>
      <c r="M858" s="155"/>
      <c r="N858" s="155"/>
      <c r="O858" s="155"/>
      <c r="P858" s="155"/>
      <c r="Q858" s="155"/>
      <c r="R858" s="155"/>
      <c r="S858" s="155"/>
      <c r="T858" s="155"/>
      <c r="U858" s="155"/>
      <c r="V858" s="155"/>
      <c r="W858" s="155"/>
      <c r="X858" s="155"/>
      <c r="Y858" s="155"/>
      <c r="Z858" s="155"/>
      <c r="AA858" s="155"/>
      <c r="AB858" s="155"/>
      <c r="AC858" s="155"/>
      <c r="AD858" s="155"/>
      <c r="AE858" s="155"/>
      <c r="AF858" s="155"/>
      <c r="AG858" s="155"/>
      <c r="AH858" s="155"/>
      <c r="AI858" s="155"/>
      <c r="AJ858" s="155"/>
      <c r="AK858" s="155"/>
      <c r="AL858" s="155"/>
      <c r="AM858" s="155"/>
      <c r="AN858" s="155"/>
      <c r="AO858" s="155"/>
      <c r="AP858" s="155"/>
      <c r="AQ858" s="155"/>
      <c r="AR858" s="155"/>
      <c r="AS858" s="155"/>
      <c r="AT858" s="155"/>
      <c r="AU858" s="155"/>
      <c r="AV858" s="155"/>
      <c r="AW858" s="155"/>
      <c r="AX858" s="155"/>
    </row>
    <row r="859" spans="4:50">
      <c r="D859" s="155"/>
      <c r="E859" s="155"/>
      <c r="F859" s="155"/>
      <c r="G859" s="155"/>
      <c r="H859" s="155"/>
      <c r="I859" s="155"/>
      <c r="J859" s="155"/>
      <c r="K859" s="155"/>
      <c r="L859" s="155"/>
      <c r="M859" s="155"/>
      <c r="N859" s="155"/>
      <c r="O859" s="155"/>
      <c r="P859" s="155"/>
      <c r="Q859" s="155"/>
      <c r="R859" s="155"/>
      <c r="S859" s="155"/>
      <c r="T859" s="155"/>
      <c r="U859" s="155"/>
      <c r="V859" s="155"/>
      <c r="W859" s="155"/>
      <c r="X859" s="155"/>
      <c r="Y859" s="155"/>
      <c r="Z859" s="155"/>
      <c r="AA859" s="155"/>
      <c r="AB859" s="155"/>
      <c r="AC859" s="155"/>
      <c r="AD859" s="155"/>
      <c r="AE859" s="155"/>
      <c r="AF859" s="155"/>
      <c r="AG859" s="155"/>
      <c r="AH859" s="155"/>
      <c r="AI859" s="155"/>
      <c r="AJ859" s="155"/>
      <c r="AK859" s="155"/>
      <c r="AL859" s="155"/>
      <c r="AM859" s="155"/>
      <c r="AN859" s="155"/>
      <c r="AO859" s="155"/>
      <c r="AP859" s="155"/>
      <c r="AQ859" s="155"/>
      <c r="AR859" s="155"/>
      <c r="AS859" s="155"/>
      <c r="AT859" s="155"/>
      <c r="AU859" s="155"/>
      <c r="AV859" s="155"/>
      <c r="AW859" s="155"/>
      <c r="AX859" s="155"/>
    </row>
    <row r="860" spans="4:50">
      <c r="D860" s="155"/>
      <c r="E860" s="155"/>
      <c r="F860" s="155"/>
      <c r="G860" s="155"/>
      <c r="H860" s="155"/>
      <c r="I860" s="155"/>
      <c r="J860" s="155"/>
      <c r="K860" s="155"/>
      <c r="L860" s="155"/>
      <c r="M860" s="155"/>
      <c r="N860" s="155"/>
      <c r="O860" s="155"/>
      <c r="P860" s="155"/>
      <c r="Q860" s="155"/>
      <c r="R860" s="155"/>
      <c r="S860" s="155"/>
      <c r="T860" s="155"/>
      <c r="U860" s="155"/>
      <c r="V860" s="155"/>
      <c r="W860" s="155"/>
      <c r="X860" s="155"/>
      <c r="Y860" s="155"/>
      <c r="Z860" s="155"/>
      <c r="AA860" s="155"/>
      <c r="AB860" s="155"/>
      <c r="AC860" s="155"/>
      <c r="AD860" s="155"/>
      <c r="AE860" s="155"/>
      <c r="AF860" s="155"/>
      <c r="AG860" s="155"/>
      <c r="AH860" s="155"/>
      <c r="AI860" s="155"/>
      <c r="AJ860" s="155"/>
      <c r="AK860" s="155"/>
      <c r="AL860" s="155"/>
      <c r="AM860" s="155"/>
      <c r="AN860" s="155"/>
      <c r="AO860" s="155"/>
      <c r="AP860" s="155"/>
      <c r="AQ860" s="155"/>
      <c r="AR860" s="155"/>
      <c r="AS860" s="155"/>
      <c r="AT860" s="155"/>
      <c r="AU860" s="155"/>
      <c r="AV860" s="155"/>
      <c r="AW860" s="155"/>
      <c r="AX860" s="155"/>
    </row>
    <row r="861" spans="4:50">
      <c r="D861" s="155"/>
      <c r="E861" s="155"/>
      <c r="F861" s="155"/>
      <c r="G861" s="155"/>
      <c r="H861" s="155"/>
      <c r="I861" s="155"/>
      <c r="J861" s="155"/>
      <c r="K861" s="155"/>
      <c r="L861" s="155"/>
      <c r="M861" s="155"/>
      <c r="N861" s="155"/>
      <c r="O861" s="155"/>
      <c r="P861" s="155"/>
      <c r="Q861" s="155"/>
      <c r="R861" s="155"/>
      <c r="S861" s="155"/>
      <c r="T861" s="155"/>
      <c r="U861" s="155"/>
      <c r="V861" s="155"/>
      <c r="W861" s="155"/>
      <c r="X861" s="155"/>
      <c r="Y861" s="155"/>
      <c r="Z861" s="155"/>
      <c r="AA861" s="155"/>
      <c r="AB861" s="155"/>
      <c r="AC861" s="155"/>
      <c r="AD861" s="155"/>
      <c r="AE861" s="155"/>
      <c r="AF861" s="155"/>
      <c r="AG861" s="155"/>
      <c r="AH861" s="155"/>
      <c r="AI861" s="155"/>
      <c r="AJ861" s="155"/>
      <c r="AK861" s="155"/>
      <c r="AL861" s="155"/>
      <c r="AM861" s="155"/>
      <c r="AN861" s="155"/>
      <c r="AO861" s="155"/>
      <c r="AP861" s="155"/>
      <c r="AQ861" s="155"/>
      <c r="AR861" s="155"/>
      <c r="AS861" s="155"/>
      <c r="AT861" s="155"/>
      <c r="AU861" s="155"/>
      <c r="AV861" s="155"/>
      <c r="AW861" s="155"/>
      <c r="AX861" s="155"/>
    </row>
    <row r="862" spans="4:50">
      <c r="D862" s="155"/>
      <c r="E862" s="155"/>
      <c r="F862" s="155"/>
      <c r="G862" s="155"/>
      <c r="H862" s="155"/>
      <c r="I862" s="155"/>
      <c r="J862" s="155"/>
      <c r="K862" s="155"/>
      <c r="L862" s="155"/>
      <c r="M862" s="155"/>
      <c r="N862" s="155"/>
      <c r="O862" s="155"/>
      <c r="P862" s="155"/>
      <c r="Q862" s="155"/>
      <c r="R862" s="155"/>
      <c r="S862" s="155"/>
      <c r="T862" s="155"/>
      <c r="U862" s="155"/>
      <c r="V862" s="155"/>
      <c r="W862" s="155"/>
      <c r="X862" s="155"/>
      <c r="Y862" s="155"/>
      <c r="Z862" s="155"/>
      <c r="AA862" s="155"/>
      <c r="AB862" s="155"/>
      <c r="AC862" s="155"/>
      <c r="AD862" s="155"/>
      <c r="AE862" s="155"/>
      <c r="AF862" s="155"/>
      <c r="AG862" s="155"/>
      <c r="AH862" s="155"/>
      <c r="AI862" s="155"/>
      <c r="AJ862" s="155"/>
      <c r="AK862" s="155"/>
      <c r="AL862" s="155"/>
      <c r="AM862" s="155"/>
      <c r="AN862" s="155"/>
      <c r="AO862" s="155"/>
      <c r="AP862" s="155"/>
      <c r="AQ862" s="155"/>
      <c r="AR862" s="155"/>
      <c r="AS862" s="155"/>
      <c r="AT862" s="155"/>
      <c r="AU862" s="155"/>
      <c r="AV862" s="155"/>
      <c r="AW862" s="155"/>
      <c r="AX862" s="155"/>
    </row>
    <row r="863" spans="4:50">
      <c r="D863" s="155"/>
      <c r="E863" s="155"/>
      <c r="F863" s="155"/>
      <c r="G863" s="155"/>
      <c r="H863" s="155"/>
      <c r="I863" s="155"/>
      <c r="J863" s="155"/>
      <c r="K863" s="155"/>
      <c r="L863" s="155"/>
      <c r="M863" s="155"/>
      <c r="N863" s="155"/>
      <c r="O863" s="155"/>
      <c r="P863" s="155"/>
      <c r="Q863" s="155"/>
      <c r="R863" s="155"/>
      <c r="S863" s="155"/>
      <c r="T863" s="155"/>
      <c r="U863" s="155"/>
      <c r="V863" s="155"/>
      <c r="W863" s="155"/>
      <c r="X863" s="155"/>
      <c r="Y863" s="155"/>
      <c r="Z863" s="155"/>
      <c r="AA863" s="155"/>
      <c r="AB863" s="155"/>
      <c r="AC863" s="155"/>
      <c r="AD863" s="155"/>
      <c r="AE863" s="155"/>
      <c r="AF863" s="155"/>
      <c r="AG863" s="155"/>
      <c r="AH863" s="155"/>
      <c r="AI863" s="155"/>
      <c r="AJ863" s="155"/>
      <c r="AK863" s="155"/>
      <c r="AL863" s="155"/>
      <c r="AM863" s="155"/>
      <c r="AN863" s="155"/>
      <c r="AO863" s="155"/>
      <c r="AP863" s="155"/>
      <c r="AQ863" s="155"/>
      <c r="AR863" s="155"/>
      <c r="AS863" s="155"/>
      <c r="AT863" s="155"/>
      <c r="AU863" s="155"/>
      <c r="AV863" s="155"/>
      <c r="AW863" s="155"/>
      <c r="AX863" s="155"/>
    </row>
    <row r="864" spans="4:50">
      <c r="D864" s="155"/>
      <c r="E864" s="155"/>
      <c r="F864" s="155"/>
      <c r="G864" s="155"/>
      <c r="H864" s="155"/>
      <c r="I864" s="155"/>
      <c r="J864" s="155"/>
      <c r="K864" s="155"/>
      <c r="L864" s="155"/>
      <c r="M864" s="155"/>
      <c r="N864" s="155"/>
      <c r="O864" s="155"/>
      <c r="P864" s="155"/>
      <c r="Q864" s="155"/>
      <c r="R864" s="155"/>
      <c r="S864" s="155"/>
      <c r="T864" s="155"/>
      <c r="U864" s="155"/>
      <c r="V864" s="155"/>
      <c r="W864" s="155"/>
      <c r="X864" s="155"/>
      <c r="Y864" s="155"/>
      <c r="Z864" s="155"/>
      <c r="AA864" s="155"/>
      <c r="AB864" s="155"/>
      <c r="AC864" s="155"/>
      <c r="AD864" s="155"/>
      <c r="AE864" s="155"/>
      <c r="AF864" s="155"/>
      <c r="AG864" s="155"/>
      <c r="AH864" s="155"/>
      <c r="AI864" s="155"/>
      <c r="AJ864" s="155"/>
      <c r="AK864" s="155"/>
      <c r="AL864" s="155"/>
      <c r="AM864" s="155"/>
      <c r="AN864" s="155"/>
      <c r="AO864" s="155"/>
      <c r="AP864" s="155"/>
      <c r="AQ864" s="155"/>
      <c r="AR864" s="155"/>
      <c r="AS864" s="155"/>
      <c r="AT864" s="155"/>
      <c r="AU864" s="155"/>
      <c r="AV864" s="155"/>
      <c r="AW864" s="155"/>
      <c r="AX864" s="155"/>
    </row>
    <row r="865" spans="4:50">
      <c r="D865" s="155"/>
      <c r="E865" s="155"/>
      <c r="F865" s="155"/>
      <c r="G865" s="155"/>
      <c r="H865" s="155"/>
      <c r="I865" s="155"/>
      <c r="J865" s="155"/>
      <c r="K865" s="155"/>
      <c r="L865" s="155"/>
      <c r="M865" s="155"/>
      <c r="N865" s="155"/>
      <c r="O865" s="155"/>
      <c r="P865" s="155"/>
      <c r="Q865" s="155"/>
      <c r="R865" s="155"/>
      <c r="S865" s="155"/>
      <c r="T865" s="155"/>
      <c r="U865" s="155"/>
      <c r="V865" s="155"/>
      <c r="W865" s="155"/>
      <c r="X865" s="155"/>
      <c r="Y865" s="155"/>
      <c r="Z865" s="155"/>
      <c r="AA865" s="155"/>
      <c r="AB865" s="155"/>
      <c r="AC865" s="155"/>
      <c r="AD865" s="155"/>
      <c r="AE865" s="155"/>
      <c r="AF865" s="155"/>
      <c r="AG865" s="155"/>
      <c r="AH865" s="155"/>
      <c r="AI865" s="155"/>
      <c r="AJ865" s="155"/>
      <c r="AK865" s="155"/>
      <c r="AL865" s="155"/>
      <c r="AM865" s="155"/>
      <c r="AN865" s="155"/>
      <c r="AO865" s="155"/>
      <c r="AP865" s="155"/>
      <c r="AQ865" s="155"/>
      <c r="AR865" s="155"/>
      <c r="AS865" s="155"/>
      <c r="AT865" s="155"/>
      <c r="AU865" s="155"/>
      <c r="AV865" s="155"/>
      <c r="AW865" s="155"/>
      <c r="AX865" s="155"/>
    </row>
    <row r="866" spans="4:50">
      <c r="D866" s="155"/>
      <c r="E866" s="155"/>
      <c r="F866" s="155"/>
      <c r="G866" s="155"/>
      <c r="H866" s="155"/>
      <c r="I866" s="155"/>
      <c r="J866" s="155"/>
      <c r="K866" s="155"/>
      <c r="L866" s="155"/>
      <c r="M866" s="155"/>
      <c r="N866" s="155"/>
      <c r="O866" s="155"/>
      <c r="P866" s="155"/>
      <c r="Q866" s="155"/>
      <c r="R866" s="155"/>
      <c r="S866" s="155"/>
      <c r="T866" s="155"/>
      <c r="U866" s="155"/>
      <c r="V866" s="155"/>
      <c r="W866" s="155"/>
      <c r="X866" s="155"/>
      <c r="Y866" s="155"/>
      <c r="Z866" s="155"/>
      <c r="AA866" s="155"/>
      <c r="AB866" s="155"/>
      <c r="AC866" s="155"/>
      <c r="AD866" s="155"/>
      <c r="AE866" s="155"/>
      <c r="AF866" s="155"/>
      <c r="AG866" s="155"/>
      <c r="AH866" s="155"/>
      <c r="AI866" s="155"/>
      <c r="AJ866" s="155"/>
      <c r="AK866" s="155"/>
      <c r="AL866" s="155"/>
      <c r="AM866" s="155"/>
      <c r="AN866" s="155"/>
      <c r="AO866" s="155"/>
      <c r="AP866" s="155"/>
      <c r="AQ866" s="155"/>
      <c r="AR866" s="155"/>
      <c r="AS866" s="155"/>
      <c r="AT866" s="155"/>
      <c r="AU866" s="155"/>
      <c r="AV866" s="155"/>
      <c r="AW866" s="155"/>
      <c r="AX866" s="155"/>
    </row>
    <row r="867" spans="4:50">
      <c r="D867" s="155"/>
      <c r="E867" s="155"/>
      <c r="F867" s="155"/>
      <c r="G867" s="155"/>
      <c r="H867" s="155"/>
      <c r="I867" s="155"/>
      <c r="J867" s="155"/>
      <c r="K867" s="155"/>
      <c r="L867" s="155"/>
      <c r="M867" s="155"/>
      <c r="N867" s="155"/>
      <c r="O867" s="155"/>
      <c r="P867" s="155"/>
      <c r="Q867" s="155"/>
      <c r="R867" s="155"/>
      <c r="S867" s="155"/>
      <c r="T867" s="155"/>
      <c r="U867" s="155"/>
      <c r="V867" s="155"/>
      <c r="W867" s="155"/>
      <c r="X867" s="155"/>
      <c r="Y867" s="155"/>
      <c r="Z867" s="155"/>
      <c r="AA867" s="155"/>
      <c r="AB867" s="155"/>
      <c r="AC867" s="155"/>
      <c r="AD867" s="155"/>
      <c r="AE867" s="155"/>
      <c r="AF867" s="155"/>
      <c r="AG867" s="155"/>
      <c r="AH867" s="155"/>
      <c r="AI867" s="155"/>
      <c r="AJ867" s="155"/>
      <c r="AK867" s="155"/>
      <c r="AL867" s="155"/>
      <c r="AM867" s="155"/>
      <c r="AN867" s="155"/>
      <c r="AO867" s="155"/>
      <c r="AP867" s="155"/>
      <c r="AQ867" s="155"/>
      <c r="AR867" s="155"/>
      <c r="AS867" s="155"/>
      <c r="AT867" s="155"/>
      <c r="AU867" s="155"/>
      <c r="AV867" s="155"/>
      <c r="AW867" s="155"/>
      <c r="AX867" s="155"/>
    </row>
    <row r="868" spans="4:50">
      <c r="D868" s="155"/>
      <c r="E868" s="155"/>
      <c r="F868" s="155"/>
      <c r="G868" s="155"/>
      <c r="H868" s="155"/>
      <c r="I868" s="155"/>
      <c r="J868" s="155"/>
      <c r="K868" s="155"/>
      <c r="L868" s="155"/>
      <c r="M868" s="155"/>
      <c r="N868" s="155"/>
      <c r="O868" s="155"/>
      <c r="P868" s="155"/>
      <c r="Q868" s="155"/>
      <c r="R868" s="155"/>
      <c r="S868" s="155"/>
      <c r="T868" s="155"/>
      <c r="U868" s="155"/>
      <c r="V868" s="155"/>
      <c r="W868" s="155"/>
      <c r="X868" s="155"/>
      <c r="Y868" s="155"/>
      <c r="Z868" s="155"/>
      <c r="AA868" s="155"/>
      <c r="AB868" s="155"/>
      <c r="AC868" s="155"/>
      <c r="AD868" s="155"/>
      <c r="AE868" s="155"/>
      <c r="AF868" s="155"/>
      <c r="AG868" s="155"/>
      <c r="AH868" s="155"/>
      <c r="AI868" s="155"/>
      <c r="AJ868" s="155"/>
      <c r="AK868" s="155"/>
      <c r="AL868" s="155"/>
      <c r="AM868" s="155"/>
      <c r="AN868" s="155"/>
      <c r="AO868" s="155"/>
      <c r="AP868" s="155"/>
      <c r="AQ868" s="155"/>
      <c r="AR868" s="155"/>
      <c r="AS868" s="155"/>
      <c r="AT868" s="155"/>
      <c r="AU868" s="155"/>
      <c r="AV868" s="155"/>
      <c r="AW868" s="155"/>
      <c r="AX868" s="155"/>
    </row>
    <row r="869" spans="4:50">
      <c r="D869" s="155"/>
      <c r="E869" s="155"/>
      <c r="F869" s="155"/>
      <c r="G869" s="155"/>
      <c r="H869" s="155"/>
      <c r="I869" s="155"/>
      <c r="J869" s="155"/>
      <c r="K869" s="155"/>
      <c r="L869" s="155"/>
      <c r="M869" s="155"/>
      <c r="N869" s="155"/>
      <c r="O869" s="155"/>
      <c r="P869" s="155"/>
      <c r="Q869" s="155"/>
      <c r="R869" s="155"/>
      <c r="S869" s="155"/>
      <c r="T869" s="155"/>
      <c r="U869" s="155"/>
      <c r="V869" s="155"/>
      <c r="W869" s="155"/>
      <c r="X869" s="155"/>
      <c r="Y869" s="155"/>
      <c r="Z869" s="155"/>
      <c r="AA869" s="155"/>
      <c r="AB869" s="155"/>
      <c r="AC869" s="155"/>
      <c r="AD869" s="155"/>
      <c r="AE869" s="155"/>
      <c r="AF869" s="155"/>
      <c r="AG869" s="155"/>
      <c r="AH869" s="155"/>
      <c r="AI869" s="155"/>
      <c r="AJ869" s="155"/>
      <c r="AK869" s="155"/>
      <c r="AL869" s="155"/>
      <c r="AM869" s="155"/>
      <c r="AN869" s="155"/>
      <c r="AO869" s="155"/>
      <c r="AP869" s="155"/>
      <c r="AQ869" s="155"/>
      <c r="AR869" s="155"/>
      <c r="AS869" s="155"/>
      <c r="AT869" s="155"/>
      <c r="AU869" s="155"/>
      <c r="AV869" s="155"/>
      <c r="AW869" s="155"/>
      <c r="AX869" s="155"/>
    </row>
    <row r="870" spans="4:50">
      <c r="D870" s="155"/>
      <c r="E870" s="155"/>
      <c r="F870" s="155"/>
      <c r="G870" s="155"/>
      <c r="H870" s="155"/>
      <c r="I870" s="155"/>
      <c r="J870" s="155"/>
      <c r="K870" s="155"/>
      <c r="L870" s="155"/>
      <c r="M870" s="155"/>
      <c r="N870" s="155"/>
      <c r="O870" s="155"/>
      <c r="P870" s="155"/>
      <c r="Q870" s="155"/>
      <c r="R870" s="155"/>
      <c r="S870" s="155"/>
      <c r="T870" s="155"/>
      <c r="U870" s="155"/>
      <c r="V870" s="155"/>
      <c r="W870" s="155"/>
      <c r="X870" s="155"/>
      <c r="Y870" s="155"/>
      <c r="Z870" s="155"/>
      <c r="AA870" s="155"/>
      <c r="AB870" s="155"/>
      <c r="AC870" s="155"/>
      <c r="AD870" s="155"/>
      <c r="AE870" s="155"/>
      <c r="AF870" s="155"/>
      <c r="AG870" s="155"/>
      <c r="AH870" s="155"/>
      <c r="AI870" s="155"/>
      <c r="AJ870" s="155"/>
      <c r="AK870" s="155"/>
      <c r="AL870" s="155"/>
      <c r="AM870" s="155"/>
      <c r="AN870" s="155"/>
      <c r="AO870" s="155"/>
      <c r="AP870" s="155"/>
      <c r="AQ870" s="155"/>
      <c r="AR870" s="155"/>
      <c r="AS870" s="155"/>
      <c r="AT870" s="155"/>
      <c r="AU870" s="155"/>
      <c r="AV870" s="155"/>
      <c r="AW870" s="155"/>
      <c r="AX870" s="155"/>
    </row>
    <row r="871" spans="4:50">
      <c r="D871" s="155"/>
      <c r="E871" s="155"/>
      <c r="F871" s="155"/>
      <c r="G871" s="155"/>
      <c r="H871" s="155"/>
      <c r="I871" s="155"/>
      <c r="J871" s="155"/>
      <c r="K871" s="155"/>
      <c r="L871" s="155"/>
      <c r="M871" s="155"/>
      <c r="N871" s="155"/>
      <c r="O871" s="155"/>
      <c r="P871" s="155"/>
      <c r="Q871" s="155"/>
      <c r="R871" s="155"/>
      <c r="S871" s="155"/>
      <c r="T871" s="155"/>
      <c r="U871" s="155"/>
      <c r="V871" s="155"/>
      <c r="W871" s="155"/>
      <c r="X871" s="155"/>
      <c r="Y871" s="155"/>
      <c r="Z871" s="155"/>
      <c r="AA871" s="155"/>
      <c r="AB871" s="155"/>
      <c r="AC871" s="155"/>
      <c r="AD871" s="155"/>
      <c r="AE871" s="155"/>
      <c r="AF871" s="155"/>
      <c r="AG871" s="155"/>
      <c r="AH871" s="155"/>
      <c r="AI871" s="155"/>
      <c r="AJ871" s="155"/>
      <c r="AK871" s="155"/>
      <c r="AL871" s="155"/>
      <c r="AM871" s="155"/>
      <c r="AN871" s="155"/>
      <c r="AO871" s="155"/>
      <c r="AP871" s="155"/>
      <c r="AQ871" s="155"/>
      <c r="AR871" s="155"/>
      <c r="AS871" s="155"/>
      <c r="AT871" s="155"/>
      <c r="AU871" s="155"/>
      <c r="AV871" s="155"/>
      <c r="AW871" s="155"/>
      <c r="AX871" s="155"/>
    </row>
    <row r="872" spans="4:50">
      <c r="D872" s="155"/>
      <c r="E872" s="155"/>
      <c r="F872" s="155"/>
      <c r="G872" s="155"/>
      <c r="H872" s="155"/>
      <c r="I872" s="155"/>
      <c r="J872" s="155"/>
      <c r="K872" s="155"/>
      <c r="L872" s="155"/>
      <c r="M872" s="155"/>
      <c r="N872" s="155"/>
      <c r="O872" s="155"/>
      <c r="P872" s="155"/>
      <c r="Q872" s="155"/>
      <c r="R872" s="155"/>
      <c r="S872" s="155"/>
      <c r="T872" s="155"/>
      <c r="U872" s="155"/>
      <c r="V872" s="155"/>
      <c r="W872" s="155"/>
      <c r="X872" s="155"/>
      <c r="Y872" s="155"/>
      <c r="Z872" s="155"/>
      <c r="AA872" s="155"/>
      <c r="AB872" s="155"/>
      <c r="AC872" s="155"/>
      <c r="AD872" s="155"/>
      <c r="AE872" s="155"/>
      <c r="AF872" s="155"/>
      <c r="AG872" s="155"/>
      <c r="AH872" s="155"/>
      <c r="AI872" s="155"/>
      <c r="AJ872" s="155"/>
      <c r="AK872" s="155"/>
      <c r="AL872" s="155"/>
      <c r="AM872" s="155"/>
      <c r="AN872" s="155"/>
      <c r="AO872" s="155"/>
      <c r="AP872" s="155"/>
      <c r="AQ872" s="155"/>
      <c r="AR872" s="155"/>
      <c r="AS872" s="155"/>
      <c r="AT872" s="155"/>
      <c r="AU872" s="155"/>
      <c r="AV872" s="155"/>
      <c r="AW872" s="155"/>
      <c r="AX872" s="155"/>
    </row>
    <row r="873" spans="4:50">
      <c r="D873" s="155"/>
      <c r="E873" s="155"/>
      <c r="F873" s="155"/>
      <c r="G873" s="155"/>
      <c r="H873" s="155"/>
      <c r="I873" s="155"/>
      <c r="J873" s="155"/>
      <c r="K873" s="155"/>
      <c r="L873" s="155"/>
      <c r="M873" s="155"/>
      <c r="N873" s="155"/>
      <c r="O873" s="155"/>
      <c r="P873" s="155"/>
      <c r="Q873" s="155"/>
      <c r="R873" s="155"/>
      <c r="S873" s="155"/>
      <c r="T873" s="155"/>
      <c r="U873" s="155"/>
      <c r="V873" s="155"/>
      <c r="W873" s="155"/>
      <c r="X873" s="155"/>
      <c r="Y873" s="155"/>
      <c r="Z873" s="155"/>
      <c r="AA873" s="155"/>
      <c r="AB873" s="155"/>
      <c r="AC873" s="155"/>
      <c r="AD873" s="155"/>
      <c r="AE873" s="155"/>
      <c r="AF873" s="155"/>
      <c r="AG873" s="155"/>
      <c r="AH873" s="155"/>
      <c r="AI873" s="155"/>
      <c r="AJ873" s="155"/>
      <c r="AK873" s="155"/>
      <c r="AL873" s="155"/>
      <c r="AM873" s="155"/>
      <c r="AN873" s="155"/>
      <c r="AO873" s="155"/>
      <c r="AP873" s="155"/>
      <c r="AQ873" s="155"/>
      <c r="AR873" s="155"/>
      <c r="AS873" s="155"/>
      <c r="AT873" s="155"/>
      <c r="AU873" s="155"/>
      <c r="AV873" s="155"/>
      <c r="AW873" s="155"/>
      <c r="AX873" s="155"/>
    </row>
    <row r="874" spans="4:50">
      <c r="D874" s="155"/>
      <c r="E874" s="155"/>
      <c r="F874" s="155"/>
      <c r="G874" s="155"/>
      <c r="H874" s="155"/>
      <c r="I874" s="155"/>
      <c r="J874" s="155"/>
      <c r="K874" s="155"/>
      <c r="L874" s="155"/>
      <c r="M874" s="155"/>
      <c r="N874" s="155"/>
      <c r="O874" s="155"/>
      <c r="P874" s="155"/>
      <c r="Q874" s="155"/>
      <c r="R874" s="155"/>
      <c r="S874" s="155"/>
      <c r="T874" s="155"/>
      <c r="U874" s="155"/>
      <c r="V874" s="155"/>
      <c r="W874" s="155"/>
      <c r="X874" s="155"/>
      <c r="Y874" s="155"/>
      <c r="Z874" s="155"/>
      <c r="AA874" s="155"/>
      <c r="AB874" s="155"/>
      <c r="AC874" s="155"/>
      <c r="AD874" s="155"/>
      <c r="AE874" s="155"/>
      <c r="AF874" s="155"/>
      <c r="AG874" s="155"/>
      <c r="AH874" s="155"/>
      <c r="AI874" s="155"/>
      <c r="AJ874" s="155"/>
      <c r="AK874" s="155"/>
      <c r="AL874" s="155"/>
      <c r="AM874" s="155"/>
      <c r="AN874" s="155"/>
      <c r="AO874" s="155"/>
      <c r="AP874" s="155"/>
      <c r="AQ874" s="155"/>
      <c r="AR874" s="155"/>
      <c r="AS874" s="155"/>
      <c r="AT874" s="155"/>
      <c r="AU874" s="155"/>
      <c r="AV874" s="155"/>
      <c r="AW874" s="155"/>
      <c r="AX874" s="155"/>
    </row>
    <row r="875" spans="4:50">
      <c r="D875" s="155"/>
      <c r="E875" s="155"/>
      <c r="F875" s="155"/>
      <c r="G875" s="155"/>
      <c r="H875" s="155"/>
      <c r="I875" s="155"/>
      <c r="J875" s="155"/>
      <c r="K875" s="155"/>
      <c r="L875" s="155"/>
      <c r="M875" s="155"/>
      <c r="N875" s="155"/>
      <c r="O875" s="155"/>
      <c r="P875" s="155"/>
      <c r="Q875" s="155"/>
      <c r="R875" s="155"/>
      <c r="S875" s="155"/>
      <c r="T875" s="155"/>
      <c r="U875" s="155"/>
      <c r="V875" s="155"/>
      <c r="W875" s="155"/>
      <c r="X875" s="155"/>
      <c r="Y875" s="155"/>
      <c r="Z875" s="155"/>
      <c r="AA875" s="155"/>
      <c r="AB875" s="155"/>
      <c r="AC875" s="155"/>
      <c r="AD875" s="155"/>
      <c r="AE875" s="155"/>
      <c r="AF875" s="155"/>
      <c r="AG875" s="155"/>
      <c r="AH875" s="155"/>
      <c r="AI875" s="155"/>
      <c r="AJ875" s="155"/>
      <c r="AK875" s="155"/>
      <c r="AL875" s="155"/>
      <c r="AM875" s="155"/>
      <c r="AN875" s="155"/>
      <c r="AO875" s="155"/>
      <c r="AP875" s="155"/>
      <c r="AQ875" s="155"/>
      <c r="AR875" s="155"/>
      <c r="AS875" s="155"/>
      <c r="AT875" s="155"/>
      <c r="AU875" s="155"/>
      <c r="AV875" s="155"/>
      <c r="AW875" s="155"/>
      <c r="AX875" s="155"/>
    </row>
    <row r="876" spans="4:50">
      <c r="D876" s="155"/>
      <c r="E876" s="155"/>
      <c r="F876" s="155"/>
      <c r="G876" s="155"/>
      <c r="H876" s="155"/>
      <c r="I876" s="155"/>
      <c r="J876" s="155"/>
      <c r="K876" s="155"/>
      <c r="L876" s="155"/>
      <c r="M876" s="155"/>
      <c r="N876" s="155"/>
      <c r="O876" s="155"/>
      <c r="P876" s="155"/>
      <c r="Q876" s="155"/>
      <c r="R876" s="155"/>
      <c r="S876" s="155"/>
      <c r="T876" s="155"/>
      <c r="U876" s="155"/>
      <c r="V876" s="155"/>
      <c r="W876" s="155"/>
      <c r="X876" s="155"/>
      <c r="Y876" s="155"/>
      <c r="Z876" s="155"/>
      <c r="AA876" s="155"/>
      <c r="AB876" s="155"/>
      <c r="AC876" s="155"/>
      <c r="AD876" s="155"/>
      <c r="AE876" s="155"/>
      <c r="AF876" s="155"/>
      <c r="AG876" s="155"/>
      <c r="AH876" s="155"/>
      <c r="AI876" s="155"/>
      <c r="AJ876" s="155"/>
      <c r="AK876" s="155"/>
      <c r="AL876" s="155"/>
      <c r="AM876" s="155"/>
      <c r="AN876" s="155"/>
      <c r="AO876" s="155"/>
      <c r="AP876" s="155"/>
      <c r="AQ876" s="155"/>
      <c r="AR876" s="155"/>
      <c r="AS876" s="155"/>
      <c r="AT876" s="155"/>
      <c r="AU876" s="155"/>
      <c r="AV876" s="155"/>
      <c r="AW876" s="155"/>
      <c r="AX876" s="155"/>
    </row>
    <row r="877" spans="4:50">
      <c r="D877" s="155"/>
      <c r="E877" s="155"/>
      <c r="F877" s="155"/>
      <c r="G877" s="155"/>
      <c r="H877" s="155"/>
      <c r="I877" s="155"/>
      <c r="J877" s="155"/>
      <c r="K877" s="155"/>
      <c r="L877" s="155"/>
      <c r="M877" s="155"/>
      <c r="N877" s="155"/>
      <c r="O877" s="155"/>
      <c r="P877" s="155"/>
      <c r="Q877" s="155"/>
      <c r="R877" s="155"/>
      <c r="S877" s="155"/>
      <c r="T877" s="155"/>
      <c r="U877" s="155"/>
      <c r="V877" s="155"/>
      <c r="W877" s="155"/>
      <c r="X877" s="155"/>
      <c r="Y877" s="155"/>
      <c r="Z877" s="155"/>
      <c r="AA877" s="155"/>
      <c r="AB877" s="155"/>
      <c r="AC877" s="155"/>
      <c r="AD877" s="155"/>
      <c r="AE877" s="155"/>
      <c r="AF877" s="155"/>
      <c r="AG877" s="155"/>
      <c r="AH877" s="155"/>
      <c r="AI877" s="155"/>
      <c r="AJ877" s="155"/>
      <c r="AK877" s="155"/>
      <c r="AL877" s="155"/>
      <c r="AM877" s="155"/>
      <c r="AN877" s="155"/>
      <c r="AO877" s="155"/>
      <c r="AP877" s="155"/>
      <c r="AQ877" s="155"/>
      <c r="AR877" s="155"/>
      <c r="AS877" s="155"/>
      <c r="AT877" s="155"/>
      <c r="AU877" s="155"/>
      <c r="AV877" s="155"/>
      <c r="AW877" s="155"/>
      <c r="AX877" s="155"/>
    </row>
    <row r="878" spans="4:50">
      <c r="D878" s="155"/>
      <c r="E878" s="155"/>
      <c r="F878" s="155"/>
      <c r="G878" s="155"/>
      <c r="H878" s="155"/>
      <c r="I878" s="155"/>
      <c r="J878" s="155"/>
      <c r="K878" s="155"/>
      <c r="L878" s="155"/>
      <c r="M878" s="155"/>
      <c r="N878" s="155"/>
      <c r="O878" s="155"/>
      <c r="P878" s="155"/>
      <c r="Q878" s="155"/>
      <c r="R878" s="155"/>
      <c r="S878" s="155"/>
      <c r="T878" s="155"/>
      <c r="U878" s="155"/>
      <c r="V878" s="155"/>
      <c r="W878" s="155"/>
      <c r="X878" s="155"/>
      <c r="Y878" s="155"/>
      <c r="Z878" s="155"/>
      <c r="AA878" s="155"/>
      <c r="AB878" s="155"/>
      <c r="AC878" s="155"/>
      <c r="AD878" s="155"/>
      <c r="AE878" s="155"/>
      <c r="AF878" s="155"/>
      <c r="AG878" s="155"/>
      <c r="AH878" s="155"/>
      <c r="AI878" s="155"/>
      <c r="AJ878" s="155"/>
      <c r="AK878" s="155"/>
      <c r="AL878" s="155"/>
      <c r="AM878" s="155"/>
      <c r="AN878" s="155"/>
      <c r="AO878" s="155"/>
      <c r="AP878" s="155"/>
      <c r="AQ878" s="155"/>
      <c r="AR878" s="155"/>
      <c r="AS878" s="155"/>
      <c r="AT878" s="155"/>
      <c r="AU878" s="155"/>
      <c r="AV878" s="155"/>
      <c r="AW878" s="155"/>
      <c r="AX878" s="155"/>
    </row>
    <row r="879" spans="4:50">
      <c r="D879" s="155"/>
      <c r="E879" s="155"/>
      <c r="F879" s="155"/>
      <c r="G879" s="155"/>
      <c r="H879" s="155"/>
      <c r="I879" s="155"/>
      <c r="J879" s="155"/>
      <c r="K879" s="155"/>
      <c r="L879" s="155"/>
      <c r="M879" s="155"/>
      <c r="N879" s="155"/>
      <c r="O879" s="155"/>
      <c r="P879" s="155"/>
      <c r="Q879" s="155"/>
      <c r="R879" s="155"/>
      <c r="S879" s="155"/>
      <c r="T879" s="155"/>
      <c r="U879" s="155"/>
      <c r="V879" s="155"/>
      <c r="W879" s="155"/>
      <c r="X879" s="155"/>
      <c r="Y879" s="155"/>
      <c r="Z879" s="155"/>
      <c r="AA879" s="155"/>
      <c r="AB879" s="155"/>
      <c r="AC879" s="155"/>
      <c r="AD879" s="155"/>
      <c r="AE879" s="155"/>
      <c r="AF879" s="155"/>
      <c r="AG879" s="155"/>
      <c r="AH879" s="155"/>
      <c r="AI879" s="155"/>
      <c r="AJ879" s="155"/>
      <c r="AK879" s="155"/>
      <c r="AL879" s="155"/>
      <c r="AM879" s="155"/>
      <c r="AN879" s="155"/>
      <c r="AO879" s="155"/>
      <c r="AP879" s="155"/>
      <c r="AQ879" s="155"/>
      <c r="AR879" s="155"/>
      <c r="AS879" s="155"/>
      <c r="AT879" s="155"/>
      <c r="AU879" s="155"/>
      <c r="AV879" s="155"/>
      <c r="AW879" s="155"/>
      <c r="AX879" s="155"/>
    </row>
    <row r="880" spans="4:50">
      <c r="D880" s="155"/>
      <c r="E880" s="155"/>
      <c r="F880" s="155"/>
      <c r="G880" s="155"/>
      <c r="H880" s="155"/>
      <c r="I880" s="155"/>
      <c r="J880" s="155"/>
      <c r="K880" s="155"/>
      <c r="L880" s="155"/>
      <c r="M880" s="155"/>
      <c r="N880" s="155"/>
      <c r="O880" s="155"/>
      <c r="P880" s="155"/>
      <c r="Q880" s="155"/>
      <c r="R880" s="155"/>
      <c r="S880" s="155"/>
      <c r="T880" s="155"/>
      <c r="U880" s="155"/>
      <c r="V880" s="155"/>
      <c r="W880" s="155"/>
      <c r="X880" s="155"/>
      <c r="Y880" s="155"/>
      <c r="Z880" s="155"/>
      <c r="AA880" s="155"/>
      <c r="AB880" s="155"/>
      <c r="AC880" s="155"/>
      <c r="AD880" s="155"/>
      <c r="AE880" s="155"/>
      <c r="AF880" s="155"/>
      <c r="AG880" s="155"/>
      <c r="AH880" s="155"/>
      <c r="AI880" s="155"/>
      <c r="AJ880" s="155"/>
      <c r="AK880" s="155"/>
      <c r="AL880" s="155"/>
      <c r="AM880" s="155"/>
      <c r="AN880" s="155"/>
      <c r="AO880" s="155"/>
      <c r="AP880" s="155"/>
      <c r="AQ880" s="155"/>
      <c r="AR880" s="155"/>
      <c r="AS880" s="155"/>
      <c r="AT880" s="155"/>
      <c r="AU880" s="155"/>
      <c r="AV880" s="155"/>
      <c r="AW880" s="155"/>
      <c r="AX880" s="155"/>
    </row>
    <row r="881" spans="4:50">
      <c r="D881" s="155"/>
      <c r="E881" s="155"/>
      <c r="F881" s="155"/>
      <c r="G881" s="155"/>
      <c r="H881" s="155"/>
      <c r="I881" s="155"/>
      <c r="J881" s="155"/>
      <c r="K881" s="155"/>
      <c r="L881" s="155"/>
      <c r="M881" s="155"/>
      <c r="N881" s="155"/>
      <c r="O881" s="155"/>
      <c r="P881" s="155"/>
      <c r="Q881" s="155"/>
      <c r="R881" s="155"/>
      <c r="S881" s="155"/>
      <c r="T881" s="155"/>
      <c r="U881" s="155"/>
      <c r="V881" s="155"/>
      <c r="W881" s="155"/>
      <c r="X881" s="155"/>
      <c r="Y881" s="155"/>
      <c r="Z881" s="155"/>
      <c r="AA881" s="155"/>
      <c r="AB881" s="155"/>
      <c r="AC881" s="155"/>
      <c r="AD881" s="155"/>
      <c r="AE881" s="155"/>
      <c r="AF881" s="155"/>
      <c r="AG881" s="155"/>
      <c r="AH881" s="155"/>
      <c r="AI881" s="155"/>
      <c r="AJ881" s="155"/>
      <c r="AK881" s="155"/>
      <c r="AL881" s="155"/>
      <c r="AM881" s="155"/>
      <c r="AN881" s="155"/>
      <c r="AO881" s="155"/>
      <c r="AP881" s="155"/>
      <c r="AQ881" s="155"/>
      <c r="AR881" s="155"/>
      <c r="AS881" s="155"/>
      <c r="AT881" s="155"/>
      <c r="AU881" s="155"/>
      <c r="AV881" s="155"/>
      <c r="AW881" s="155"/>
      <c r="AX881" s="155"/>
    </row>
    <row r="882" spans="4:50">
      <c r="D882" s="155"/>
      <c r="E882" s="155"/>
      <c r="F882" s="155"/>
      <c r="G882" s="155"/>
      <c r="H882" s="155"/>
      <c r="I882" s="155"/>
      <c r="J882" s="155"/>
      <c r="K882" s="155"/>
      <c r="L882" s="155"/>
      <c r="M882" s="155"/>
      <c r="N882" s="155"/>
      <c r="O882" s="155"/>
      <c r="P882" s="155"/>
      <c r="Q882" s="155"/>
      <c r="R882" s="155"/>
      <c r="S882" s="155"/>
      <c r="T882" s="155"/>
      <c r="U882" s="155"/>
      <c r="V882" s="155"/>
      <c r="W882" s="155"/>
      <c r="X882" s="155"/>
      <c r="Y882" s="155"/>
      <c r="Z882" s="155"/>
      <c r="AA882" s="155"/>
      <c r="AB882" s="155"/>
      <c r="AC882" s="155"/>
      <c r="AD882" s="155"/>
      <c r="AE882" s="155"/>
      <c r="AF882" s="155"/>
      <c r="AG882" s="155"/>
      <c r="AH882" s="155"/>
      <c r="AI882" s="155"/>
      <c r="AJ882" s="155"/>
      <c r="AK882" s="155"/>
      <c r="AL882" s="155"/>
      <c r="AM882" s="155"/>
      <c r="AN882" s="155"/>
      <c r="AO882" s="155"/>
      <c r="AP882" s="155"/>
      <c r="AQ882" s="155"/>
      <c r="AR882" s="155"/>
      <c r="AS882" s="155"/>
      <c r="AT882" s="155"/>
      <c r="AU882" s="155"/>
      <c r="AV882" s="155"/>
      <c r="AW882" s="155"/>
      <c r="AX882" s="155"/>
    </row>
    <row r="883" spans="4:50">
      <c r="D883" s="155"/>
      <c r="E883" s="155"/>
      <c r="F883" s="155"/>
      <c r="G883" s="155"/>
      <c r="H883" s="155"/>
      <c r="I883" s="155"/>
      <c r="J883" s="155"/>
      <c r="K883" s="155"/>
      <c r="L883" s="155"/>
      <c r="M883" s="155"/>
      <c r="N883" s="155"/>
      <c r="O883" s="155"/>
      <c r="P883" s="155"/>
      <c r="Q883" s="155"/>
      <c r="R883" s="155"/>
      <c r="S883" s="155"/>
      <c r="T883" s="155"/>
      <c r="U883" s="155"/>
      <c r="V883" s="155"/>
      <c r="W883" s="155"/>
      <c r="X883" s="155"/>
      <c r="Y883" s="155"/>
      <c r="Z883" s="155"/>
      <c r="AA883" s="155"/>
      <c r="AB883" s="155"/>
      <c r="AC883" s="155"/>
      <c r="AD883" s="155"/>
      <c r="AE883" s="155"/>
      <c r="AF883" s="155"/>
      <c r="AG883" s="155"/>
      <c r="AH883" s="155"/>
      <c r="AI883" s="155"/>
      <c r="AJ883" s="155"/>
      <c r="AK883" s="155"/>
      <c r="AL883" s="155"/>
      <c r="AM883" s="155"/>
      <c r="AN883" s="155"/>
      <c r="AO883" s="155"/>
      <c r="AP883" s="155"/>
      <c r="AQ883" s="155"/>
      <c r="AR883" s="155"/>
      <c r="AS883" s="155"/>
      <c r="AT883" s="155"/>
      <c r="AU883" s="155"/>
      <c r="AV883" s="155"/>
      <c r="AW883" s="155"/>
      <c r="AX883" s="155"/>
    </row>
    <row r="884" spans="4:50">
      <c r="D884" s="155"/>
      <c r="E884" s="155"/>
      <c r="F884" s="155"/>
      <c r="G884" s="155"/>
      <c r="H884" s="155"/>
      <c r="I884" s="155"/>
      <c r="J884" s="155"/>
      <c r="K884" s="155"/>
      <c r="L884" s="155"/>
      <c r="M884" s="155"/>
      <c r="N884" s="155"/>
      <c r="O884" s="155"/>
      <c r="P884" s="155"/>
      <c r="Q884" s="155"/>
      <c r="R884" s="155"/>
      <c r="S884" s="155"/>
      <c r="T884" s="155"/>
      <c r="U884" s="155"/>
      <c r="V884" s="155"/>
      <c r="W884" s="155"/>
      <c r="X884" s="155"/>
      <c r="Y884" s="155"/>
      <c r="Z884" s="155"/>
      <c r="AA884" s="155"/>
      <c r="AB884" s="155"/>
      <c r="AC884" s="155"/>
      <c r="AD884" s="155"/>
      <c r="AE884" s="155"/>
      <c r="AF884" s="155"/>
      <c r="AG884" s="155"/>
      <c r="AH884" s="155"/>
      <c r="AI884" s="155"/>
      <c r="AJ884" s="155"/>
      <c r="AK884" s="155"/>
      <c r="AL884" s="155"/>
      <c r="AM884" s="155"/>
      <c r="AN884" s="155"/>
      <c r="AO884" s="155"/>
      <c r="AP884" s="155"/>
      <c r="AQ884" s="155"/>
      <c r="AR884" s="155"/>
      <c r="AS884" s="155"/>
      <c r="AT884" s="155"/>
      <c r="AU884" s="155"/>
      <c r="AV884" s="155"/>
      <c r="AW884" s="155"/>
      <c r="AX884" s="155"/>
    </row>
    <row r="885" spans="4:50">
      <c r="D885" s="155"/>
      <c r="E885" s="155"/>
      <c r="F885" s="155"/>
      <c r="G885" s="155"/>
      <c r="H885" s="155"/>
      <c r="I885" s="155"/>
      <c r="J885" s="155"/>
      <c r="K885" s="155"/>
      <c r="L885" s="155"/>
      <c r="M885" s="155"/>
      <c r="N885" s="155"/>
      <c r="O885" s="155"/>
      <c r="P885" s="155"/>
      <c r="Q885" s="155"/>
      <c r="R885" s="155"/>
      <c r="S885" s="155"/>
      <c r="T885" s="155"/>
      <c r="U885" s="155"/>
      <c r="V885" s="155"/>
      <c r="W885" s="155"/>
      <c r="X885" s="155"/>
      <c r="Y885" s="155"/>
      <c r="Z885" s="155"/>
      <c r="AA885" s="155"/>
      <c r="AB885" s="155"/>
      <c r="AC885" s="155"/>
      <c r="AD885" s="155"/>
      <c r="AE885" s="155"/>
      <c r="AF885" s="155"/>
      <c r="AG885" s="155"/>
      <c r="AH885" s="155"/>
      <c r="AI885" s="155"/>
      <c r="AJ885" s="155"/>
      <c r="AK885" s="155"/>
      <c r="AL885" s="155"/>
      <c r="AM885" s="155"/>
      <c r="AN885" s="155"/>
      <c r="AO885" s="155"/>
      <c r="AP885" s="155"/>
      <c r="AQ885" s="155"/>
      <c r="AR885" s="155"/>
      <c r="AS885" s="155"/>
      <c r="AT885" s="155"/>
      <c r="AU885" s="155"/>
      <c r="AV885" s="155"/>
      <c r="AW885" s="155"/>
      <c r="AX885" s="155"/>
    </row>
    <row r="886" spans="4:50">
      <c r="D886" s="155"/>
      <c r="E886" s="155"/>
      <c r="F886" s="155"/>
      <c r="G886" s="155"/>
      <c r="H886" s="155"/>
      <c r="I886" s="155"/>
      <c r="J886" s="155"/>
      <c r="K886" s="155"/>
      <c r="L886" s="155"/>
      <c r="M886" s="155"/>
      <c r="N886" s="155"/>
      <c r="O886" s="155"/>
      <c r="P886" s="155"/>
      <c r="Q886" s="155"/>
      <c r="R886" s="155"/>
      <c r="S886" s="155"/>
      <c r="T886" s="155"/>
      <c r="U886" s="155"/>
      <c r="V886" s="155"/>
      <c r="W886" s="155"/>
      <c r="X886" s="155"/>
      <c r="Y886" s="155"/>
      <c r="Z886" s="155"/>
      <c r="AA886" s="155"/>
      <c r="AB886" s="155"/>
      <c r="AC886" s="155"/>
      <c r="AD886" s="155"/>
      <c r="AE886" s="155"/>
      <c r="AF886" s="155"/>
      <c r="AG886" s="155"/>
      <c r="AH886" s="155"/>
      <c r="AI886" s="155"/>
      <c r="AJ886" s="155"/>
      <c r="AK886" s="155"/>
      <c r="AL886" s="155"/>
      <c r="AM886" s="155"/>
      <c r="AN886" s="155"/>
      <c r="AO886" s="155"/>
      <c r="AP886" s="155"/>
      <c r="AQ886" s="155"/>
      <c r="AR886" s="155"/>
      <c r="AS886" s="155"/>
      <c r="AT886" s="155"/>
      <c r="AU886" s="155"/>
      <c r="AV886" s="155"/>
      <c r="AW886" s="155"/>
      <c r="AX886" s="155"/>
    </row>
    <row r="887" spans="4:50">
      <c r="D887" s="155"/>
      <c r="E887" s="155"/>
      <c r="F887" s="155"/>
      <c r="G887" s="155"/>
      <c r="H887" s="155"/>
      <c r="I887" s="155"/>
      <c r="J887" s="155"/>
      <c r="K887" s="155"/>
      <c r="L887" s="155"/>
      <c r="M887" s="155"/>
      <c r="N887" s="155"/>
      <c r="O887" s="155"/>
      <c r="P887" s="155"/>
      <c r="Q887" s="155"/>
      <c r="R887" s="155"/>
      <c r="S887" s="155"/>
      <c r="T887" s="155"/>
      <c r="U887" s="155"/>
      <c r="V887" s="155"/>
      <c r="W887" s="155"/>
      <c r="X887" s="155"/>
      <c r="Y887" s="155"/>
      <c r="Z887" s="155"/>
      <c r="AA887" s="155"/>
      <c r="AB887" s="155"/>
      <c r="AC887" s="155"/>
      <c r="AD887" s="155"/>
      <c r="AE887" s="155"/>
      <c r="AF887" s="155"/>
      <c r="AG887" s="155"/>
      <c r="AH887" s="155"/>
      <c r="AI887" s="155"/>
      <c r="AJ887" s="155"/>
      <c r="AK887" s="155"/>
      <c r="AL887" s="155"/>
      <c r="AM887" s="155"/>
      <c r="AN887" s="155"/>
      <c r="AO887" s="155"/>
      <c r="AP887" s="155"/>
      <c r="AQ887" s="155"/>
      <c r="AR887" s="155"/>
      <c r="AS887" s="155"/>
      <c r="AT887" s="155"/>
      <c r="AU887" s="155"/>
      <c r="AV887" s="155"/>
      <c r="AW887" s="155"/>
      <c r="AX887" s="155"/>
    </row>
    <row r="888" spans="4:50">
      <c r="D888" s="155"/>
      <c r="E888" s="155"/>
      <c r="F888" s="155"/>
      <c r="G888" s="155"/>
      <c r="H888" s="155"/>
      <c r="I888" s="155"/>
      <c r="J888" s="155"/>
      <c r="K888" s="155"/>
      <c r="L888" s="155"/>
      <c r="M888" s="155"/>
      <c r="N888" s="155"/>
      <c r="O888" s="155"/>
      <c r="P888" s="155"/>
      <c r="Q888" s="155"/>
      <c r="R888" s="155"/>
      <c r="S888" s="155"/>
      <c r="T888" s="155"/>
      <c r="U888" s="155"/>
      <c r="V888" s="155"/>
      <c r="W888" s="155"/>
      <c r="X888" s="155"/>
      <c r="Y888" s="155"/>
      <c r="Z888" s="155"/>
      <c r="AA888" s="155"/>
      <c r="AB888" s="155"/>
      <c r="AC888" s="155"/>
      <c r="AD888" s="155"/>
      <c r="AE888" s="155"/>
      <c r="AF888" s="155"/>
      <c r="AG888" s="155"/>
      <c r="AH888" s="155"/>
      <c r="AI888" s="155"/>
      <c r="AJ888" s="155"/>
      <c r="AK888" s="155"/>
      <c r="AL888" s="155"/>
      <c r="AM888" s="155"/>
      <c r="AN888" s="155"/>
      <c r="AO888" s="155"/>
      <c r="AP888" s="155"/>
      <c r="AQ888" s="155"/>
      <c r="AR888" s="155"/>
      <c r="AS888" s="155"/>
      <c r="AT888" s="155"/>
      <c r="AU888" s="155"/>
      <c r="AV888" s="155"/>
      <c r="AW888" s="155"/>
      <c r="AX888" s="155"/>
    </row>
    <row r="889" spans="4:50">
      <c r="D889" s="155"/>
      <c r="E889" s="155"/>
      <c r="F889" s="155"/>
      <c r="G889" s="155"/>
      <c r="H889" s="155"/>
      <c r="I889" s="155"/>
      <c r="J889" s="155"/>
      <c r="K889" s="155"/>
      <c r="L889" s="155"/>
      <c r="M889" s="155"/>
      <c r="N889" s="155"/>
      <c r="O889" s="155"/>
      <c r="P889" s="155"/>
      <c r="Q889" s="155"/>
      <c r="R889" s="155"/>
      <c r="S889" s="155"/>
      <c r="T889" s="155"/>
      <c r="U889" s="155"/>
      <c r="V889" s="155"/>
      <c r="W889" s="155"/>
      <c r="X889" s="155"/>
      <c r="Y889" s="155"/>
      <c r="Z889" s="155"/>
      <c r="AA889" s="155"/>
      <c r="AB889" s="155"/>
      <c r="AC889" s="155"/>
      <c r="AD889" s="155"/>
      <c r="AE889" s="155"/>
      <c r="AF889" s="155"/>
      <c r="AG889" s="155"/>
      <c r="AH889" s="155"/>
      <c r="AI889" s="155"/>
      <c r="AJ889" s="155"/>
      <c r="AK889" s="155"/>
      <c r="AL889" s="155"/>
      <c r="AM889" s="155"/>
      <c r="AN889" s="155"/>
      <c r="AO889" s="155"/>
      <c r="AP889" s="155"/>
      <c r="AQ889" s="155"/>
      <c r="AR889" s="155"/>
      <c r="AS889" s="155"/>
      <c r="AT889" s="155"/>
      <c r="AU889" s="155"/>
      <c r="AV889" s="155"/>
      <c r="AW889" s="155"/>
      <c r="AX889" s="155"/>
    </row>
    <row r="890" spans="4:50">
      <c r="D890" s="155"/>
      <c r="E890" s="155"/>
      <c r="F890" s="155"/>
      <c r="G890" s="155"/>
      <c r="H890" s="155"/>
      <c r="I890" s="155"/>
      <c r="J890" s="155"/>
      <c r="K890" s="155"/>
      <c r="L890" s="155"/>
      <c r="M890" s="155"/>
      <c r="N890" s="155"/>
      <c r="O890" s="155"/>
      <c r="P890" s="155"/>
      <c r="Q890" s="155"/>
      <c r="R890" s="155"/>
      <c r="S890" s="155"/>
      <c r="T890" s="155"/>
      <c r="U890" s="155"/>
      <c r="V890" s="155"/>
      <c r="W890" s="155"/>
      <c r="X890" s="155"/>
      <c r="Y890" s="155"/>
      <c r="Z890" s="155"/>
      <c r="AA890" s="155"/>
      <c r="AB890" s="155"/>
      <c r="AC890" s="155"/>
      <c r="AD890" s="155"/>
      <c r="AE890" s="155"/>
      <c r="AF890" s="155"/>
      <c r="AG890" s="155"/>
      <c r="AH890" s="155"/>
      <c r="AI890" s="155"/>
      <c r="AJ890" s="155"/>
      <c r="AK890" s="155"/>
      <c r="AL890" s="155"/>
      <c r="AM890" s="155"/>
      <c r="AN890" s="155"/>
      <c r="AO890" s="155"/>
      <c r="AP890" s="155"/>
      <c r="AQ890" s="155"/>
      <c r="AR890" s="155"/>
      <c r="AS890" s="155"/>
      <c r="AT890" s="155"/>
      <c r="AU890" s="155"/>
      <c r="AV890" s="155"/>
      <c r="AW890" s="155"/>
      <c r="AX890" s="155"/>
    </row>
    <row r="891" spans="4:50">
      <c r="D891" s="155"/>
      <c r="E891" s="155"/>
      <c r="F891" s="155"/>
      <c r="G891" s="155"/>
      <c r="H891" s="155"/>
      <c r="I891" s="155"/>
      <c r="J891" s="155"/>
      <c r="K891" s="155"/>
      <c r="L891" s="155"/>
      <c r="M891" s="155"/>
      <c r="N891" s="155"/>
      <c r="O891" s="155"/>
      <c r="P891" s="155"/>
      <c r="Q891" s="155"/>
      <c r="R891" s="155"/>
      <c r="S891" s="155"/>
      <c r="T891" s="155"/>
      <c r="U891" s="155"/>
      <c r="V891" s="155"/>
      <c r="W891" s="155"/>
      <c r="X891" s="155"/>
      <c r="Y891" s="155"/>
      <c r="Z891" s="155"/>
      <c r="AA891" s="155"/>
      <c r="AB891" s="155"/>
      <c r="AC891" s="155"/>
      <c r="AD891" s="155"/>
      <c r="AE891" s="155"/>
      <c r="AF891" s="155"/>
      <c r="AG891" s="155"/>
      <c r="AH891" s="155"/>
      <c r="AI891" s="155"/>
      <c r="AJ891" s="155"/>
      <c r="AK891" s="155"/>
      <c r="AL891" s="155"/>
      <c r="AM891" s="155"/>
      <c r="AN891" s="155"/>
      <c r="AO891" s="155"/>
      <c r="AP891" s="155"/>
      <c r="AQ891" s="155"/>
      <c r="AR891" s="155"/>
      <c r="AS891" s="155"/>
      <c r="AT891" s="155"/>
      <c r="AU891" s="155"/>
      <c r="AV891" s="155"/>
      <c r="AW891" s="155"/>
      <c r="AX891" s="155"/>
    </row>
    <row r="892" spans="4:50">
      <c r="D892" s="155"/>
      <c r="E892" s="155"/>
      <c r="F892" s="155"/>
      <c r="G892" s="155"/>
      <c r="H892" s="155"/>
      <c r="I892" s="155"/>
      <c r="J892" s="155"/>
      <c r="K892" s="155"/>
      <c r="L892" s="155"/>
      <c r="M892" s="155"/>
      <c r="N892" s="155"/>
      <c r="O892" s="155"/>
      <c r="P892" s="155"/>
      <c r="Q892" s="155"/>
      <c r="R892" s="155"/>
      <c r="S892" s="155"/>
      <c r="T892" s="155"/>
      <c r="U892" s="155"/>
      <c r="V892" s="155"/>
      <c r="W892" s="155"/>
      <c r="X892" s="155"/>
      <c r="Y892" s="155"/>
      <c r="Z892" s="155"/>
      <c r="AA892" s="155"/>
      <c r="AB892" s="155"/>
      <c r="AC892" s="155"/>
      <c r="AD892" s="155"/>
      <c r="AE892" s="155"/>
      <c r="AF892" s="155"/>
      <c r="AG892" s="155"/>
      <c r="AH892" s="155"/>
      <c r="AI892" s="155"/>
      <c r="AJ892" s="155"/>
      <c r="AK892" s="155"/>
      <c r="AL892" s="155"/>
      <c r="AM892" s="155"/>
      <c r="AN892" s="155"/>
      <c r="AO892" s="155"/>
      <c r="AP892" s="155"/>
      <c r="AQ892" s="155"/>
      <c r="AR892" s="155"/>
      <c r="AS892" s="155"/>
      <c r="AT892" s="155"/>
      <c r="AU892" s="155"/>
      <c r="AV892" s="155"/>
      <c r="AW892" s="155"/>
      <c r="AX892" s="155"/>
    </row>
    <row r="893" spans="4:50">
      <c r="D893" s="155"/>
      <c r="E893" s="155"/>
      <c r="F893" s="155"/>
      <c r="G893" s="155"/>
      <c r="H893" s="155"/>
      <c r="I893" s="155"/>
      <c r="J893" s="155"/>
      <c r="K893" s="155"/>
      <c r="L893" s="155"/>
      <c r="M893" s="155"/>
      <c r="N893" s="155"/>
      <c r="O893" s="155"/>
      <c r="P893" s="155"/>
      <c r="Q893" s="155"/>
      <c r="R893" s="155"/>
      <c r="S893" s="155"/>
      <c r="T893" s="155"/>
      <c r="U893" s="155"/>
      <c r="V893" s="155"/>
      <c r="W893" s="155"/>
      <c r="X893" s="155"/>
      <c r="Y893" s="155"/>
      <c r="Z893" s="155"/>
      <c r="AA893" s="155"/>
      <c r="AB893" s="155"/>
      <c r="AC893" s="155"/>
      <c r="AD893" s="155"/>
      <c r="AE893" s="155"/>
      <c r="AF893" s="155"/>
      <c r="AG893" s="155"/>
      <c r="AH893" s="155"/>
      <c r="AI893" s="155"/>
      <c r="AJ893" s="155"/>
      <c r="AK893" s="155"/>
      <c r="AL893" s="155"/>
      <c r="AM893" s="155"/>
      <c r="AN893" s="155"/>
      <c r="AO893" s="155"/>
      <c r="AP893" s="155"/>
      <c r="AQ893" s="155"/>
      <c r="AR893" s="155"/>
      <c r="AS893" s="155"/>
      <c r="AT893" s="155"/>
      <c r="AU893" s="155"/>
      <c r="AV893" s="155"/>
      <c r="AW893" s="155"/>
      <c r="AX893" s="155"/>
    </row>
    <row r="894" spans="4:50">
      <c r="D894" s="155"/>
      <c r="E894" s="155"/>
      <c r="F894" s="155"/>
      <c r="G894" s="155"/>
      <c r="H894" s="155"/>
      <c r="I894" s="155"/>
      <c r="J894" s="155"/>
      <c r="K894" s="155"/>
      <c r="L894" s="155"/>
      <c r="M894" s="155"/>
      <c r="N894" s="155"/>
      <c r="O894" s="155"/>
      <c r="P894" s="155"/>
      <c r="Q894" s="155"/>
      <c r="R894" s="155"/>
      <c r="S894" s="155"/>
      <c r="T894" s="155"/>
      <c r="U894" s="155"/>
      <c r="V894" s="155"/>
      <c r="W894" s="155"/>
      <c r="X894" s="155"/>
      <c r="Y894" s="155"/>
      <c r="Z894" s="155"/>
      <c r="AA894" s="155"/>
      <c r="AB894" s="155"/>
      <c r="AC894" s="155"/>
      <c r="AD894" s="155"/>
      <c r="AE894" s="155"/>
      <c r="AF894" s="155"/>
      <c r="AG894" s="155"/>
      <c r="AH894" s="155"/>
      <c r="AI894" s="155"/>
      <c r="AJ894" s="155"/>
      <c r="AK894" s="155"/>
      <c r="AL894" s="155"/>
      <c r="AM894" s="155"/>
      <c r="AN894" s="155"/>
      <c r="AO894" s="155"/>
      <c r="AP894" s="155"/>
      <c r="AQ894" s="155"/>
      <c r="AR894" s="155"/>
      <c r="AS894" s="155"/>
      <c r="AT894" s="155"/>
      <c r="AU894" s="155"/>
      <c r="AV894" s="155"/>
      <c r="AW894" s="155"/>
      <c r="AX894" s="155"/>
    </row>
    <row r="895" spans="4:50">
      <c r="D895" s="155"/>
      <c r="E895" s="155"/>
      <c r="F895" s="155"/>
      <c r="G895" s="155"/>
      <c r="H895" s="155"/>
      <c r="I895" s="155"/>
      <c r="J895" s="155"/>
      <c r="K895" s="155"/>
      <c r="L895" s="155"/>
      <c r="M895" s="155"/>
      <c r="N895" s="155"/>
      <c r="O895" s="155"/>
      <c r="P895" s="155"/>
      <c r="Q895" s="155"/>
      <c r="R895" s="155"/>
      <c r="S895" s="155"/>
      <c r="T895" s="155"/>
      <c r="U895" s="155"/>
      <c r="V895" s="155"/>
      <c r="W895" s="155"/>
      <c r="X895" s="155"/>
      <c r="Y895" s="155"/>
      <c r="Z895" s="155"/>
      <c r="AA895" s="155"/>
      <c r="AB895" s="155"/>
      <c r="AC895" s="155"/>
      <c r="AD895" s="155"/>
      <c r="AE895" s="155"/>
      <c r="AF895" s="155"/>
      <c r="AG895" s="155"/>
      <c r="AH895" s="155"/>
      <c r="AI895" s="155"/>
      <c r="AJ895" s="155"/>
      <c r="AK895" s="155"/>
      <c r="AL895" s="155"/>
      <c r="AM895" s="155"/>
      <c r="AN895" s="155"/>
      <c r="AO895" s="155"/>
      <c r="AP895" s="155"/>
      <c r="AQ895" s="155"/>
      <c r="AR895" s="155"/>
      <c r="AS895" s="155"/>
      <c r="AT895" s="155"/>
      <c r="AU895" s="155"/>
      <c r="AV895" s="155"/>
      <c r="AW895" s="155"/>
      <c r="AX895" s="155"/>
    </row>
    <row r="896" spans="4:50">
      <c r="D896" s="155"/>
      <c r="E896" s="155"/>
      <c r="F896" s="155"/>
      <c r="G896" s="155"/>
      <c r="H896" s="155"/>
      <c r="I896" s="155"/>
      <c r="J896" s="155"/>
      <c r="K896" s="155"/>
      <c r="L896" s="155"/>
      <c r="M896" s="155"/>
      <c r="N896" s="155"/>
      <c r="O896" s="155"/>
      <c r="P896" s="155"/>
      <c r="Q896" s="155"/>
      <c r="R896" s="155"/>
      <c r="S896" s="155"/>
      <c r="T896" s="155"/>
      <c r="U896" s="155"/>
      <c r="V896" s="155"/>
      <c r="W896" s="155"/>
      <c r="X896" s="155"/>
      <c r="Y896" s="155"/>
      <c r="Z896" s="155"/>
      <c r="AA896" s="155"/>
      <c r="AB896" s="155"/>
      <c r="AC896" s="155"/>
      <c r="AD896" s="155"/>
      <c r="AE896" s="155"/>
      <c r="AF896" s="155"/>
      <c r="AG896" s="155"/>
      <c r="AH896" s="155"/>
      <c r="AI896" s="155"/>
      <c r="AJ896" s="155"/>
      <c r="AK896" s="155"/>
      <c r="AL896" s="155"/>
      <c r="AM896" s="155"/>
      <c r="AN896" s="155"/>
      <c r="AO896" s="155"/>
      <c r="AP896" s="155"/>
      <c r="AQ896" s="155"/>
      <c r="AR896" s="155"/>
      <c r="AS896" s="155"/>
      <c r="AT896" s="155"/>
      <c r="AU896" s="155"/>
      <c r="AV896" s="155"/>
      <c r="AW896" s="155"/>
      <c r="AX896" s="155"/>
    </row>
    <row r="897" spans="4:50">
      <c r="D897" s="155"/>
      <c r="E897" s="155"/>
      <c r="F897" s="155"/>
      <c r="G897" s="155"/>
      <c r="H897" s="155"/>
      <c r="I897" s="155"/>
      <c r="J897" s="155"/>
      <c r="K897" s="155"/>
      <c r="L897" s="155"/>
      <c r="M897" s="155"/>
      <c r="N897" s="155"/>
      <c r="O897" s="155"/>
      <c r="P897" s="155"/>
      <c r="Q897" s="155"/>
      <c r="R897" s="155"/>
      <c r="S897" s="155"/>
      <c r="T897" s="155"/>
      <c r="U897" s="155"/>
      <c r="V897" s="155"/>
      <c r="W897" s="155"/>
      <c r="X897" s="155"/>
      <c r="Y897" s="155"/>
      <c r="Z897" s="155"/>
      <c r="AA897" s="155"/>
      <c r="AB897" s="155"/>
      <c r="AC897" s="155"/>
      <c r="AD897" s="155"/>
      <c r="AE897" s="155"/>
      <c r="AF897" s="155"/>
      <c r="AG897" s="155"/>
      <c r="AH897" s="155"/>
      <c r="AI897" s="155"/>
      <c r="AJ897" s="155"/>
      <c r="AK897" s="155"/>
      <c r="AL897" s="155"/>
      <c r="AM897" s="155"/>
      <c r="AN897" s="155"/>
      <c r="AO897" s="155"/>
      <c r="AP897" s="155"/>
      <c r="AQ897" s="155"/>
      <c r="AR897" s="155"/>
      <c r="AS897" s="155"/>
      <c r="AT897" s="155"/>
      <c r="AU897" s="155"/>
      <c r="AV897" s="155"/>
      <c r="AW897" s="155"/>
      <c r="AX897" s="155"/>
    </row>
    <row r="898" spans="4:50">
      <c r="D898" s="155"/>
      <c r="E898" s="155"/>
      <c r="F898" s="155"/>
      <c r="G898" s="155"/>
      <c r="H898" s="155"/>
      <c r="I898" s="155"/>
      <c r="J898" s="155"/>
      <c r="K898" s="155"/>
      <c r="L898" s="155"/>
      <c r="M898" s="155"/>
      <c r="N898" s="155"/>
      <c r="O898" s="155"/>
      <c r="P898" s="155"/>
      <c r="Q898" s="155"/>
      <c r="R898" s="155"/>
      <c r="S898" s="155"/>
      <c r="T898" s="155"/>
      <c r="U898" s="155"/>
      <c r="V898" s="155"/>
      <c r="W898" s="155"/>
      <c r="X898" s="155"/>
      <c r="Y898" s="155"/>
      <c r="Z898" s="155"/>
      <c r="AA898" s="155"/>
      <c r="AB898" s="155"/>
      <c r="AC898" s="155"/>
      <c r="AD898" s="155"/>
      <c r="AE898" s="155"/>
      <c r="AF898" s="155"/>
      <c r="AG898" s="155"/>
      <c r="AH898" s="155"/>
      <c r="AI898" s="155"/>
      <c r="AJ898" s="155"/>
      <c r="AK898" s="155"/>
      <c r="AL898" s="155"/>
      <c r="AM898" s="155"/>
      <c r="AN898" s="155"/>
      <c r="AO898" s="155"/>
      <c r="AP898" s="155"/>
      <c r="AQ898" s="155"/>
      <c r="AR898" s="155"/>
      <c r="AS898" s="155"/>
      <c r="AT898" s="155"/>
      <c r="AU898" s="155"/>
      <c r="AV898" s="155"/>
      <c r="AW898" s="155"/>
      <c r="AX898" s="155"/>
    </row>
    <row r="899" spans="4:50">
      <c r="D899" s="155"/>
      <c r="E899" s="155"/>
      <c r="F899" s="155"/>
      <c r="G899" s="155"/>
      <c r="H899" s="155"/>
      <c r="I899" s="155"/>
      <c r="J899" s="155"/>
      <c r="K899" s="155"/>
      <c r="L899" s="155"/>
      <c r="M899" s="155"/>
      <c r="N899" s="155"/>
      <c r="O899" s="155"/>
      <c r="P899" s="155"/>
      <c r="Q899" s="155"/>
      <c r="R899" s="155"/>
      <c r="S899" s="155"/>
      <c r="T899" s="155"/>
      <c r="U899" s="155"/>
      <c r="V899" s="155"/>
      <c r="W899" s="155"/>
      <c r="X899" s="155"/>
      <c r="Y899" s="155"/>
      <c r="Z899" s="155"/>
      <c r="AA899" s="155"/>
      <c r="AB899" s="155"/>
      <c r="AC899" s="155"/>
      <c r="AD899" s="155"/>
      <c r="AE899" s="155"/>
      <c r="AF899" s="155"/>
      <c r="AG899" s="155"/>
      <c r="AH899" s="155"/>
      <c r="AI899" s="155"/>
      <c r="AJ899" s="155"/>
      <c r="AK899" s="155"/>
      <c r="AL899" s="155"/>
      <c r="AM899" s="155"/>
      <c r="AN899" s="155"/>
      <c r="AO899" s="155"/>
      <c r="AP899" s="155"/>
      <c r="AQ899" s="155"/>
      <c r="AR899" s="155"/>
      <c r="AS899" s="155"/>
      <c r="AT899" s="155"/>
      <c r="AU899" s="155"/>
      <c r="AV899" s="155"/>
      <c r="AW899" s="155"/>
      <c r="AX899" s="155"/>
    </row>
    <row r="900" spans="4:50">
      <c r="D900" s="155"/>
      <c r="E900" s="155"/>
      <c r="F900" s="155"/>
      <c r="G900" s="155"/>
      <c r="H900" s="155"/>
      <c r="I900" s="155"/>
      <c r="J900" s="155"/>
      <c r="K900" s="155"/>
      <c r="L900" s="155"/>
      <c r="M900" s="155"/>
      <c r="N900" s="155"/>
      <c r="O900" s="155"/>
      <c r="P900" s="155"/>
      <c r="Q900" s="155"/>
      <c r="R900" s="155"/>
      <c r="S900" s="155"/>
      <c r="T900" s="155"/>
      <c r="U900" s="155"/>
      <c r="V900" s="155"/>
      <c r="W900" s="155"/>
      <c r="X900" s="155"/>
      <c r="Y900" s="155"/>
      <c r="Z900" s="155"/>
      <c r="AA900" s="155"/>
      <c r="AB900" s="155"/>
      <c r="AC900" s="155"/>
      <c r="AD900" s="155"/>
      <c r="AE900" s="155"/>
      <c r="AF900" s="155"/>
      <c r="AG900" s="155"/>
      <c r="AH900" s="155"/>
      <c r="AI900" s="155"/>
      <c r="AJ900" s="155"/>
      <c r="AK900" s="155"/>
      <c r="AL900" s="155"/>
      <c r="AM900" s="155"/>
      <c r="AN900" s="155"/>
      <c r="AO900" s="155"/>
      <c r="AP900" s="155"/>
      <c r="AQ900" s="155"/>
      <c r="AR900" s="155"/>
      <c r="AS900" s="155"/>
      <c r="AT900" s="155"/>
      <c r="AU900" s="155"/>
      <c r="AV900" s="155"/>
      <c r="AW900" s="155"/>
      <c r="AX900" s="155"/>
    </row>
    <row r="901" spans="4:50">
      <c r="D901" s="155"/>
      <c r="E901" s="155"/>
      <c r="F901" s="155"/>
      <c r="G901" s="155"/>
      <c r="H901" s="155"/>
      <c r="I901" s="155"/>
      <c r="J901" s="155"/>
      <c r="K901" s="155"/>
      <c r="L901" s="155"/>
      <c r="M901" s="155"/>
      <c r="N901" s="155"/>
      <c r="O901" s="155"/>
      <c r="P901" s="155"/>
      <c r="Q901" s="155"/>
      <c r="R901" s="155"/>
      <c r="S901" s="155"/>
      <c r="T901" s="155"/>
      <c r="U901" s="155"/>
      <c r="V901" s="155"/>
      <c r="W901" s="155"/>
      <c r="X901" s="155"/>
      <c r="Y901" s="155"/>
      <c r="Z901" s="155"/>
      <c r="AA901" s="155"/>
      <c r="AB901" s="155"/>
      <c r="AC901" s="155"/>
      <c r="AD901" s="155"/>
      <c r="AE901" s="155"/>
      <c r="AF901" s="155"/>
      <c r="AG901" s="155"/>
      <c r="AH901" s="155"/>
      <c r="AI901" s="155"/>
      <c r="AJ901" s="155"/>
      <c r="AK901" s="155"/>
      <c r="AL901" s="155"/>
      <c r="AM901" s="155"/>
      <c r="AN901" s="155"/>
      <c r="AO901" s="155"/>
      <c r="AP901" s="155"/>
      <c r="AQ901" s="155"/>
      <c r="AR901" s="155"/>
      <c r="AS901" s="155"/>
      <c r="AT901" s="155"/>
      <c r="AU901" s="155"/>
      <c r="AV901" s="155"/>
      <c r="AW901" s="155"/>
      <c r="AX901" s="155"/>
    </row>
    <row r="902" spans="4:50">
      <c r="D902" s="155"/>
      <c r="E902" s="155"/>
      <c r="F902" s="155"/>
      <c r="G902" s="155"/>
      <c r="H902" s="155"/>
      <c r="I902" s="155"/>
      <c r="J902" s="155"/>
      <c r="K902" s="155"/>
      <c r="L902" s="155"/>
      <c r="M902" s="155"/>
      <c r="N902" s="155"/>
      <c r="O902" s="155"/>
      <c r="P902" s="155"/>
      <c r="Q902" s="155"/>
      <c r="R902" s="155"/>
      <c r="S902" s="155"/>
      <c r="T902" s="155"/>
      <c r="U902" s="155"/>
      <c r="V902" s="155"/>
      <c r="W902" s="155"/>
      <c r="X902" s="155"/>
      <c r="Y902" s="155"/>
      <c r="Z902" s="155"/>
      <c r="AA902" s="155"/>
      <c r="AB902" s="155"/>
      <c r="AC902" s="155"/>
      <c r="AD902" s="155"/>
      <c r="AE902" s="155"/>
      <c r="AF902" s="155"/>
      <c r="AG902" s="155"/>
      <c r="AH902" s="155"/>
      <c r="AI902" s="155"/>
      <c r="AJ902" s="155"/>
      <c r="AK902" s="155"/>
      <c r="AL902" s="155"/>
      <c r="AM902" s="155"/>
      <c r="AN902" s="155"/>
      <c r="AO902" s="155"/>
      <c r="AP902" s="155"/>
      <c r="AQ902" s="155"/>
      <c r="AR902" s="155"/>
      <c r="AS902" s="155"/>
      <c r="AT902" s="155"/>
      <c r="AU902" s="155"/>
      <c r="AV902" s="155"/>
      <c r="AW902" s="155"/>
      <c r="AX902" s="155"/>
    </row>
    <row r="903" spans="4:50">
      <c r="D903" s="155"/>
      <c r="E903" s="155"/>
      <c r="F903" s="155"/>
      <c r="G903" s="155"/>
      <c r="H903" s="155"/>
      <c r="I903" s="155"/>
      <c r="J903" s="155"/>
      <c r="K903" s="155"/>
      <c r="L903" s="155"/>
      <c r="M903" s="155"/>
      <c r="N903" s="155"/>
      <c r="O903" s="155"/>
      <c r="P903" s="155"/>
      <c r="Q903" s="155"/>
      <c r="R903" s="155"/>
      <c r="S903" s="155"/>
      <c r="T903" s="155"/>
      <c r="U903" s="155"/>
      <c r="V903" s="155"/>
      <c r="W903" s="155"/>
      <c r="X903" s="155"/>
      <c r="Y903" s="155"/>
      <c r="Z903" s="155"/>
      <c r="AA903" s="155"/>
      <c r="AB903" s="155"/>
      <c r="AC903" s="155"/>
      <c r="AD903" s="155"/>
      <c r="AE903" s="155"/>
      <c r="AF903" s="155"/>
      <c r="AG903" s="155"/>
      <c r="AH903" s="155"/>
      <c r="AI903" s="155"/>
      <c r="AJ903" s="155"/>
      <c r="AK903" s="155"/>
      <c r="AL903" s="155"/>
      <c r="AM903" s="155"/>
      <c r="AN903" s="155"/>
      <c r="AO903" s="155"/>
      <c r="AP903" s="155"/>
      <c r="AQ903" s="155"/>
      <c r="AR903" s="155"/>
      <c r="AS903" s="155"/>
      <c r="AT903" s="155"/>
      <c r="AU903" s="155"/>
      <c r="AV903" s="155"/>
      <c r="AW903" s="155"/>
      <c r="AX903" s="155"/>
    </row>
    <row r="904" spans="4:50">
      <c r="D904" s="155"/>
      <c r="E904" s="155"/>
      <c r="F904" s="155"/>
      <c r="G904" s="155"/>
      <c r="H904" s="155"/>
      <c r="I904" s="155"/>
      <c r="J904" s="155"/>
      <c r="K904" s="155"/>
      <c r="L904" s="155"/>
      <c r="M904" s="155"/>
      <c r="N904" s="155"/>
      <c r="O904" s="155"/>
      <c r="P904" s="155"/>
      <c r="Q904" s="155"/>
      <c r="R904" s="155"/>
      <c r="S904" s="155"/>
      <c r="T904" s="155"/>
      <c r="U904" s="155"/>
      <c r="V904" s="155"/>
      <c r="W904" s="155"/>
      <c r="X904" s="155"/>
      <c r="Y904" s="155"/>
      <c r="Z904" s="155"/>
      <c r="AA904" s="155"/>
      <c r="AB904" s="155"/>
      <c r="AC904" s="155"/>
      <c r="AD904" s="155"/>
      <c r="AE904" s="155"/>
      <c r="AF904" s="155"/>
      <c r="AG904" s="155"/>
      <c r="AH904" s="155"/>
      <c r="AI904" s="155"/>
      <c r="AJ904" s="155"/>
      <c r="AK904" s="155"/>
      <c r="AL904" s="155"/>
      <c r="AM904" s="155"/>
      <c r="AN904" s="155"/>
      <c r="AO904" s="155"/>
      <c r="AP904" s="155"/>
      <c r="AQ904" s="155"/>
      <c r="AR904" s="155"/>
      <c r="AS904" s="155"/>
      <c r="AT904" s="155"/>
      <c r="AU904" s="155"/>
      <c r="AV904" s="155"/>
      <c r="AW904" s="155"/>
      <c r="AX904" s="155"/>
    </row>
    <row r="905" spans="4:50">
      <c r="D905" s="155"/>
      <c r="E905" s="155"/>
      <c r="F905" s="155"/>
      <c r="G905" s="155"/>
      <c r="H905" s="155"/>
      <c r="I905" s="155"/>
      <c r="J905" s="155"/>
      <c r="K905" s="155"/>
      <c r="L905" s="155"/>
      <c r="M905" s="155"/>
      <c r="N905" s="155"/>
      <c r="O905" s="155"/>
      <c r="P905" s="155"/>
      <c r="Q905" s="155"/>
      <c r="R905" s="155"/>
      <c r="S905" s="155"/>
      <c r="T905" s="155"/>
      <c r="U905" s="155"/>
      <c r="V905" s="155"/>
      <c r="W905" s="155"/>
      <c r="X905" s="155"/>
      <c r="Y905" s="155"/>
      <c r="Z905" s="155"/>
      <c r="AA905" s="155"/>
      <c r="AB905" s="155"/>
      <c r="AC905" s="155"/>
      <c r="AD905" s="155"/>
      <c r="AE905" s="155"/>
      <c r="AF905" s="155"/>
      <c r="AG905" s="155"/>
      <c r="AH905" s="155"/>
      <c r="AI905" s="155"/>
      <c r="AJ905" s="155"/>
      <c r="AK905" s="155"/>
      <c r="AL905" s="155"/>
      <c r="AM905" s="155"/>
      <c r="AN905" s="155"/>
      <c r="AO905" s="155"/>
      <c r="AP905" s="155"/>
      <c r="AQ905" s="155"/>
      <c r="AR905" s="155"/>
      <c r="AS905" s="155"/>
      <c r="AT905" s="155"/>
      <c r="AU905" s="155"/>
      <c r="AV905" s="155"/>
      <c r="AW905" s="155"/>
      <c r="AX905" s="155"/>
    </row>
    <row r="906" spans="4:50">
      <c r="D906" s="155"/>
      <c r="E906" s="155"/>
      <c r="F906" s="155"/>
      <c r="G906" s="155"/>
      <c r="H906" s="155"/>
      <c r="I906" s="155"/>
      <c r="J906" s="155"/>
      <c r="K906" s="155"/>
      <c r="L906" s="155"/>
      <c r="M906" s="155"/>
      <c r="N906" s="155"/>
      <c r="O906" s="155"/>
      <c r="P906" s="155"/>
      <c r="Q906" s="155"/>
      <c r="R906" s="155"/>
      <c r="S906" s="155"/>
      <c r="T906" s="155"/>
      <c r="U906" s="155"/>
      <c r="V906" s="155"/>
      <c r="W906" s="155"/>
      <c r="X906" s="155"/>
      <c r="Y906" s="155"/>
      <c r="Z906" s="155"/>
      <c r="AA906" s="155"/>
      <c r="AB906" s="155"/>
      <c r="AC906" s="155"/>
      <c r="AD906" s="155"/>
      <c r="AE906" s="155"/>
      <c r="AF906" s="155"/>
      <c r="AG906" s="155"/>
      <c r="AH906" s="155"/>
      <c r="AI906" s="155"/>
      <c r="AJ906" s="155"/>
      <c r="AK906" s="155"/>
      <c r="AL906" s="155"/>
      <c r="AM906" s="155"/>
      <c r="AN906" s="155"/>
      <c r="AO906" s="155"/>
      <c r="AP906" s="155"/>
      <c r="AQ906" s="155"/>
      <c r="AR906" s="155"/>
      <c r="AS906" s="155"/>
      <c r="AT906" s="155"/>
      <c r="AU906" s="155"/>
      <c r="AV906" s="155"/>
      <c r="AW906" s="155"/>
      <c r="AX906" s="155"/>
    </row>
    <row r="907" spans="4:50">
      <c r="D907" s="155"/>
      <c r="E907" s="155"/>
      <c r="F907" s="155"/>
      <c r="G907" s="155"/>
      <c r="H907" s="155"/>
      <c r="I907" s="155"/>
      <c r="J907" s="155"/>
      <c r="K907" s="155"/>
      <c r="L907" s="155"/>
      <c r="M907" s="155"/>
      <c r="N907" s="155"/>
      <c r="O907" s="155"/>
      <c r="P907" s="155"/>
      <c r="Q907" s="155"/>
      <c r="R907" s="155"/>
      <c r="S907" s="155"/>
      <c r="T907" s="155"/>
      <c r="U907" s="155"/>
      <c r="V907" s="155"/>
      <c r="W907" s="155"/>
      <c r="X907" s="155"/>
      <c r="Y907" s="155"/>
      <c r="Z907" s="155"/>
      <c r="AA907" s="155"/>
      <c r="AB907" s="155"/>
      <c r="AC907" s="155"/>
      <c r="AD907" s="155"/>
      <c r="AE907" s="155"/>
      <c r="AF907" s="155"/>
      <c r="AG907" s="155"/>
      <c r="AH907" s="155"/>
      <c r="AI907" s="155"/>
      <c r="AJ907" s="155"/>
      <c r="AK907" s="155"/>
      <c r="AL907" s="155"/>
      <c r="AM907" s="155"/>
      <c r="AN907" s="155"/>
      <c r="AO907" s="155"/>
      <c r="AP907" s="155"/>
      <c r="AQ907" s="155"/>
      <c r="AR907" s="155"/>
      <c r="AS907" s="155"/>
      <c r="AT907" s="155"/>
      <c r="AU907" s="155"/>
      <c r="AV907" s="155"/>
      <c r="AW907" s="155"/>
      <c r="AX907" s="155"/>
    </row>
    <row r="908" spans="4:50">
      <c r="D908" s="155"/>
      <c r="E908" s="155"/>
      <c r="F908" s="155"/>
      <c r="G908" s="155"/>
      <c r="H908" s="155"/>
      <c r="I908" s="155"/>
      <c r="J908" s="155"/>
      <c r="K908" s="155"/>
      <c r="L908" s="155"/>
      <c r="M908" s="155"/>
      <c r="N908" s="155"/>
      <c r="O908" s="155"/>
      <c r="P908" s="155"/>
      <c r="Q908" s="155"/>
      <c r="R908" s="155"/>
      <c r="S908" s="155"/>
      <c r="T908" s="155"/>
      <c r="U908" s="155"/>
      <c r="V908" s="155"/>
      <c r="W908" s="155"/>
      <c r="X908" s="155"/>
      <c r="Y908" s="155"/>
      <c r="Z908" s="155"/>
      <c r="AA908" s="155"/>
      <c r="AB908" s="155"/>
      <c r="AC908" s="155"/>
      <c r="AD908" s="155"/>
      <c r="AE908" s="155"/>
      <c r="AF908" s="155"/>
      <c r="AG908" s="155"/>
      <c r="AH908" s="155"/>
      <c r="AI908" s="155"/>
      <c r="AJ908" s="155"/>
      <c r="AK908" s="155"/>
      <c r="AL908" s="155"/>
      <c r="AM908" s="155"/>
      <c r="AN908" s="155"/>
      <c r="AO908" s="155"/>
      <c r="AP908" s="155"/>
      <c r="AQ908" s="155"/>
      <c r="AR908" s="155"/>
      <c r="AS908" s="155"/>
      <c r="AT908" s="155"/>
      <c r="AU908" s="155"/>
      <c r="AV908" s="155"/>
      <c r="AW908" s="155"/>
      <c r="AX908" s="155"/>
    </row>
    <row r="909" spans="4:50">
      <c r="D909" s="155"/>
      <c r="E909" s="155"/>
      <c r="F909" s="155"/>
      <c r="G909" s="155"/>
      <c r="H909" s="155"/>
      <c r="I909" s="155"/>
      <c r="J909" s="155"/>
      <c r="K909" s="155"/>
      <c r="L909" s="155"/>
      <c r="M909" s="155"/>
      <c r="N909" s="155"/>
      <c r="O909" s="155"/>
      <c r="P909" s="155"/>
      <c r="Q909" s="155"/>
      <c r="R909" s="155"/>
      <c r="S909" s="155"/>
      <c r="T909" s="155"/>
      <c r="U909" s="155"/>
      <c r="V909" s="155"/>
      <c r="W909" s="155"/>
      <c r="X909" s="155"/>
      <c r="Y909" s="155"/>
      <c r="Z909" s="155"/>
      <c r="AA909" s="155"/>
      <c r="AB909" s="155"/>
      <c r="AC909" s="155"/>
      <c r="AD909" s="155"/>
      <c r="AE909" s="155"/>
      <c r="AF909" s="155"/>
      <c r="AG909" s="155"/>
      <c r="AH909" s="155"/>
      <c r="AI909" s="155"/>
      <c r="AJ909" s="155"/>
      <c r="AK909" s="155"/>
      <c r="AL909" s="155"/>
      <c r="AM909" s="155"/>
      <c r="AN909" s="155"/>
      <c r="AO909" s="155"/>
      <c r="AP909" s="155"/>
      <c r="AQ909" s="155"/>
      <c r="AR909" s="155"/>
      <c r="AS909" s="155"/>
      <c r="AT909" s="155"/>
      <c r="AU909" s="155"/>
      <c r="AV909" s="155"/>
      <c r="AW909" s="155"/>
      <c r="AX909" s="155"/>
    </row>
    <row r="910" spans="4:50">
      <c r="D910" s="155"/>
      <c r="E910" s="155"/>
      <c r="F910" s="155"/>
      <c r="G910" s="155"/>
      <c r="H910" s="155"/>
      <c r="I910" s="155"/>
      <c r="J910" s="155"/>
      <c r="K910" s="155"/>
      <c r="L910" s="155"/>
      <c r="M910" s="155"/>
      <c r="N910" s="155"/>
      <c r="O910" s="155"/>
      <c r="P910" s="155"/>
      <c r="Q910" s="155"/>
      <c r="R910" s="155"/>
      <c r="S910" s="155"/>
      <c r="T910" s="155"/>
      <c r="U910" s="155"/>
      <c r="V910" s="155"/>
      <c r="W910" s="155"/>
      <c r="X910" s="155"/>
      <c r="Y910" s="155"/>
      <c r="Z910" s="155"/>
      <c r="AA910" s="155"/>
      <c r="AB910" s="155"/>
      <c r="AC910" s="155"/>
      <c r="AD910" s="155"/>
      <c r="AE910" s="155"/>
      <c r="AF910" s="155"/>
      <c r="AG910" s="155"/>
      <c r="AH910" s="155"/>
      <c r="AI910" s="155"/>
      <c r="AJ910" s="155"/>
      <c r="AK910" s="155"/>
      <c r="AL910" s="155"/>
      <c r="AM910" s="155"/>
      <c r="AN910" s="155"/>
      <c r="AO910" s="155"/>
      <c r="AP910" s="155"/>
      <c r="AQ910" s="155"/>
      <c r="AR910" s="155"/>
      <c r="AS910" s="155"/>
      <c r="AT910" s="155"/>
      <c r="AU910" s="155"/>
      <c r="AV910" s="155"/>
      <c r="AW910" s="155"/>
      <c r="AX910" s="155"/>
    </row>
    <row r="911" spans="4:50">
      <c r="D911" s="155"/>
      <c r="E911" s="155"/>
      <c r="F911" s="155"/>
      <c r="G911" s="155"/>
      <c r="H911" s="155"/>
      <c r="I911" s="155"/>
      <c r="J911" s="155"/>
      <c r="K911" s="155"/>
      <c r="L911" s="155"/>
      <c r="M911" s="155"/>
      <c r="N911" s="155"/>
      <c r="O911" s="155"/>
      <c r="P911" s="155"/>
      <c r="Q911" s="155"/>
      <c r="R911" s="155"/>
      <c r="S911" s="155"/>
      <c r="T911" s="155"/>
      <c r="U911" s="155"/>
      <c r="V911" s="155"/>
      <c r="W911" s="155"/>
      <c r="X911" s="155"/>
      <c r="Y911" s="155"/>
      <c r="Z911" s="155"/>
      <c r="AA911" s="155"/>
      <c r="AB911" s="155"/>
      <c r="AC911" s="155"/>
      <c r="AD911" s="155"/>
      <c r="AE911" s="155"/>
      <c r="AF911" s="155"/>
      <c r="AG911" s="155"/>
      <c r="AH911" s="155"/>
      <c r="AI911" s="155"/>
      <c r="AJ911" s="155"/>
      <c r="AK911" s="155"/>
      <c r="AL911" s="155"/>
      <c r="AM911" s="155"/>
      <c r="AN911" s="155"/>
      <c r="AO911" s="155"/>
      <c r="AP911" s="155"/>
      <c r="AQ911" s="155"/>
      <c r="AR911" s="155"/>
      <c r="AS911" s="155"/>
      <c r="AT911" s="155"/>
      <c r="AU911" s="155"/>
      <c r="AV911" s="155"/>
      <c r="AW911" s="155"/>
      <c r="AX911" s="155"/>
    </row>
    <row r="912" spans="4:50">
      <c r="D912" s="155"/>
      <c r="E912" s="155"/>
      <c r="F912" s="155"/>
      <c r="G912" s="155"/>
      <c r="H912" s="155"/>
      <c r="I912" s="155"/>
      <c r="J912" s="155"/>
      <c r="K912" s="155"/>
      <c r="L912" s="155"/>
      <c r="M912" s="155"/>
      <c r="N912" s="155"/>
      <c r="O912" s="155"/>
      <c r="P912" s="155"/>
      <c r="Q912" s="155"/>
      <c r="R912" s="155"/>
      <c r="S912" s="155"/>
      <c r="T912" s="155"/>
      <c r="U912" s="155"/>
      <c r="V912" s="155"/>
      <c r="W912" s="155"/>
      <c r="X912" s="155"/>
      <c r="Y912" s="155"/>
      <c r="Z912" s="155"/>
      <c r="AA912" s="155"/>
      <c r="AB912" s="155"/>
      <c r="AC912" s="155"/>
      <c r="AD912" s="155"/>
      <c r="AE912" s="155"/>
      <c r="AF912" s="155"/>
      <c r="AG912" s="155"/>
      <c r="AH912" s="155"/>
      <c r="AI912" s="155"/>
      <c r="AJ912" s="155"/>
      <c r="AK912" s="155"/>
      <c r="AL912" s="155"/>
      <c r="AM912" s="155"/>
      <c r="AN912" s="155"/>
      <c r="AO912" s="155"/>
      <c r="AP912" s="155"/>
      <c r="AQ912" s="155"/>
      <c r="AR912" s="155"/>
      <c r="AS912" s="155"/>
      <c r="AT912" s="155"/>
      <c r="AU912" s="155"/>
      <c r="AV912" s="155"/>
      <c r="AW912" s="155"/>
      <c r="AX912" s="155"/>
    </row>
    <row r="913" spans="4:50">
      <c r="D913" s="155"/>
      <c r="E913" s="155"/>
      <c r="F913" s="155"/>
      <c r="G913" s="155"/>
      <c r="H913" s="155"/>
      <c r="I913" s="155"/>
      <c r="J913" s="155"/>
      <c r="K913" s="155"/>
      <c r="L913" s="155"/>
      <c r="M913" s="155"/>
      <c r="N913" s="155"/>
      <c r="O913" s="155"/>
      <c r="P913" s="155"/>
      <c r="Q913" s="155"/>
      <c r="R913" s="155"/>
      <c r="S913" s="155"/>
      <c r="T913" s="155"/>
      <c r="U913" s="155"/>
      <c r="V913" s="155"/>
      <c r="W913" s="155"/>
      <c r="X913" s="155"/>
      <c r="Y913" s="155"/>
      <c r="Z913" s="155"/>
      <c r="AA913" s="155"/>
      <c r="AB913" s="155"/>
      <c r="AC913" s="155"/>
      <c r="AD913" s="155"/>
      <c r="AE913" s="155"/>
      <c r="AF913" s="155"/>
      <c r="AG913" s="155"/>
      <c r="AH913" s="155"/>
      <c r="AI913" s="155"/>
      <c r="AJ913" s="155"/>
      <c r="AK913" s="155"/>
      <c r="AL913" s="155"/>
      <c r="AM913" s="155"/>
      <c r="AN913" s="155"/>
      <c r="AO913" s="155"/>
      <c r="AP913" s="155"/>
      <c r="AQ913" s="155"/>
      <c r="AR913" s="155"/>
      <c r="AS913" s="155"/>
      <c r="AT913" s="155"/>
      <c r="AU913" s="155"/>
      <c r="AV913" s="155"/>
      <c r="AW913" s="155"/>
      <c r="AX913" s="155"/>
    </row>
    <row r="914" spans="4:50">
      <c r="D914" s="155"/>
      <c r="E914" s="155"/>
      <c r="F914" s="155"/>
      <c r="G914" s="155"/>
      <c r="H914" s="155"/>
      <c r="I914" s="155"/>
      <c r="J914" s="155"/>
      <c r="K914" s="155"/>
      <c r="L914" s="155"/>
      <c r="M914" s="155"/>
      <c r="N914" s="155"/>
      <c r="O914" s="155"/>
      <c r="P914" s="155"/>
      <c r="Q914" s="155"/>
      <c r="R914" s="155"/>
      <c r="S914" s="155"/>
      <c r="T914" s="155"/>
      <c r="U914" s="155"/>
      <c r="V914" s="155"/>
      <c r="W914" s="155"/>
      <c r="X914" s="155"/>
      <c r="Y914" s="155"/>
      <c r="Z914" s="155"/>
      <c r="AA914" s="155"/>
      <c r="AB914" s="155"/>
      <c r="AC914" s="155"/>
      <c r="AD914" s="155"/>
      <c r="AE914" s="155"/>
      <c r="AF914" s="155"/>
      <c r="AG914" s="155"/>
      <c r="AH914" s="155"/>
      <c r="AI914" s="155"/>
      <c r="AJ914" s="155"/>
      <c r="AK914" s="155"/>
      <c r="AL914" s="155"/>
      <c r="AM914" s="155"/>
      <c r="AN914" s="155"/>
      <c r="AO914" s="155"/>
      <c r="AP914" s="155"/>
      <c r="AQ914" s="155"/>
      <c r="AR914" s="155"/>
      <c r="AS914" s="155"/>
      <c r="AT914" s="155"/>
      <c r="AU914" s="155"/>
      <c r="AV914" s="155"/>
      <c r="AW914" s="155"/>
      <c r="AX914" s="155"/>
    </row>
    <row r="915" spans="4:50">
      <c r="D915" s="155"/>
      <c r="E915" s="155"/>
      <c r="F915" s="155"/>
      <c r="G915" s="155"/>
      <c r="H915" s="155"/>
      <c r="I915" s="155"/>
      <c r="J915" s="155"/>
      <c r="K915" s="155"/>
      <c r="L915" s="155"/>
      <c r="M915" s="155"/>
      <c r="N915" s="155"/>
      <c r="O915" s="155"/>
      <c r="P915" s="155"/>
      <c r="Q915" s="155"/>
      <c r="R915" s="155"/>
      <c r="S915" s="155"/>
      <c r="T915" s="155"/>
      <c r="U915" s="155"/>
      <c r="V915" s="155"/>
      <c r="W915" s="155"/>
      <c r="X915" s="155"/>
      <c r="Y915" s="155"/>
      <c r="Z915" s="155"/>
      <c r="AA915" s="155"/>
      <c r="AB915" s="155"/>
      <c r="AC915" s="155"/>
      <c r="AD915" s="155"/>
      <c r="AE915" s="155"/>
      <c r="AF915" s="155"/>
      <c r="AG915" s="155"/>
      <c r="AH915" s="155"/>
      <c r="AI915" s="155"/>
      <c r="AJ915" s="155"/>
      <c r="AK915" s="155"/>
      <c r="AL915" s="155"/>
      <c r="AM915" s="155"/>
      <c r="AN915" s="155"/>
      <c r="AO915" s="155"/>
      <c r="AP915" s="155"/>
      <c r="AQ915" s="155"/>
      <c r="AR915" s="155"/>
      <c r="AS915" s="155"/>
      <c r="AT915" s="155"/>
      <c r="AU915" s="155"/>
      <c r="AV915" s="155"/>
      <c r="AW915" s="155"/>
      <c r="AX915" s="155"/>
    </row>
    <row r="916" spans="4:50">
      <c r="D916" s="155"/>
      <c r="E916" s="155"/>
      <c r="F916" s="155"/>
      <c r="G916" s="155"/>
      <c r="H916" s="155"/>
      <c r="I916" s="155"/>
      <c r="J916" s="155"/>
      <c r="K916" s="155"/>
      <c r="L916" s="155"/>
      <c r="M916" s="155"/>
      <c r="N916" s="155"/>
      <c r="O916" s="155"/>
      <c r="P916" s="155"/>
      <c r="Q916" s="155"/>
      <c r="R916" s="155"/>
      <c r="S916" s="155"/>
      <c r="T916" s="155"/>
      <c r="U916" s="155"/>
      <c r="V916" s="155"/>
      <c r="W916" s="155"/>
      <c r="X916" s="155"/>
      <c r="Y916" s="155"/>
      <c r="Z916" s="155"/>
      <c r="AA916" s="155"/>
      <c r="AB916" s="155"/>
      <c r="AC916" s="155"/>
      <c r="AD916" s="155"/>
      <c r="AE916" s="155"/>
      <c r="AF916" s="155"/>
      <c r="AG916" s="155"/>
      <c r="AH916" s="155"/>
      <c r="AI916" s="155"/>
      <c r="AJ916" s="155"/>
      <c r="AK916" s="155"/>
      <c r="AL916" s="155"/>
      <c r="AM916" s="155"/>
      <c r="AN916" s="155"/>
      <c r="AO916" s="155"/>
      <c r="AP916" s="155"/>
      <c r="AQ916" s="155"/>
      <c r="AR916" s="155"/>
      <c r="AS916" s="155"/>
      <c r="AT916" s="155"/>
      <c r="AU916" s="155"/>
      <c r="AV916" s="155"/>
      <c r="AW916" s="155"/>
      <c r="AX916" s="155"/>
    </row>
    <row r="917" spans="4:50">
      <c r="D917" s="155"/>
      <c r="E917" s="155"/>
      <c r="F917" s="155"/>
      <c r="G917" s="155"/>
      <c r="H917" s="155"/>
      <c r="I917" s="155"/>
      <c r="J917" s="155"/>
      <c r="K917" s="155"/>
      <c r="L917" s="155"/>
      <c r="M917" s="155"/>
      <c r="N917" s="155"/>
      <c r="O917" s="155"/>
      <c r="P917" s="155"/>
      <c r="Q917" s="155"/>
      <c r="R917" s="155"/>
      <c r="S917" s="155"/>
      <c r="T917" s="155"/>
      <c r="U917" s="155"/>
      <c r="V917" s="155"/>
      <c r="W917" s="155"/>
      <c r="X917" s="155"/>
      <c r="Y917" s="155"/>
      <c r="Z917" s="155"/>
      <c r="AA917" s="155"/>
      <c r="AB917" s="155"/>
      <c r="AC917" s="155"/>
      <c r="AD917" s="155"/>
      <c r="AE917" s="155"/>
      <c r="AF917" s="155"/>
      <c r="AG917" s="155"/>
      <c r="AH917" s="155"/>
      <c r="AI917" s="155"/>
      <c r="AJ917" s="155"/>
      <c r="AK917" s="155"/>
      <c r="AL917" s="155"/>
      <c r="AM917" s="155"/>
      <c r="AN917" s="155"/>
      <c r="AO917" s="155"/>
      <c r="AP917" s="155"/>
      <c r="AQ917" s="155"/>
      <c r="AR917" s="155"/>
      <c r="AS917" s="155"/>
      <c r="AT917" s="155"/>
      <c r="AU917" s="155"/>
      <c r="AV917" s="155"/>
      <c r="AW917" s="155"/>
      <c r="AX917" s="155"/>
    </row>
    <row r="918" spans="4:50">
      <c r="D918" s="155"/>
      <c r="E918" s="155"/>
      <c r="F918" s="155"/>
      <c r="G918" s="155"/>
      <c r="H918" s="155"/>
      <c r="I918" s="155"/>
      <c r="J918" s="155"/>
      <c r="K918" s="155"/>
      <c r="L918" s="155"/>
      <c r="M918" s="155"/>
      <c r="N918" s="155"/>
      <c r="O918" s="155"/>
      <c r="P918" s="155"/>
      <c r="Q918" s="155"/>
      <c r="R918" s="155"/>
      <c r="S918" s="155"/>
      <c r="T918" s="155"/>
      <c r="U918" s="155"/>
      <c r="V918" s="155"/>
      <c r="W918" s="155"/>
      <c r="X918" s="155"/>
      <c r="Y918" s="155"/>
      <c r="Z918" s="155"/>
      <c r="AA918" s="155"/>
      <c r="AB918" s="155"/>
      <c r="AC918" s="155"/>
      <c r="AD918" s="155"/>
      <c r="AE918" s="155"/>
      <c r="AF918" s="155"/>
      <c r="AG918" s="155"/>
      <c r="AH918" s="155"/>
      <c r="AI918" s="155"/>
      <c r="AJ918" s="155"/>
      <c r="AK918" s="155"/>
      <c r="AL918" s="155"/>
      <c r="AM918" s="155"/>
      <c r="AN918" s="155"/>
      <c r="AO918" s="155"/>
      <c r="AP918" s="155"/>
      <c r="AQ918" s="155"/>
      <c r="AR918" s="155"/>
      <c r="AS918" s="155"/>
      <c r="AT918" s="155"/>
      <c r="AU918" s="155"/>
      <c r="AV918" s="155"/>
      <c r="AW918" s="155"/>
      <c r="AX918" s="155"/>
    </row>
    <row r="919" spans="4:50">
      <c r="D919" s="155"/>
      <c r="E919" s="155"/>
      <c r="F919" s="155"/>
      <c r="G919" s="155"/>
      <c r="H919" s="155"/>
      <c r="I919" s="155"/>
      <c r="J919" s="155"/>
      <c r="K919" s="155"/>
      <c r="L919" s="155"/>
      <c r="M919" s="155"/>
      <c r="N919" s="155"/>
      <c r="O919" s="155"/>
      <c r="P919" s="155"/>
      <c r="Q919" s="155"/>
      <c r="R919" s="155"/>
      <c r="S919" s="155"/>
      <c r="T919" s="155"/>
      <c r="U919" s="155"/>
      <c r="V919" s="155"/>
      <c r="W919" s="155"/>
      <c r="X919" s="155"/>
      <c r="Y919" s="155"/>
      <c r="Z919" s="155"/>
      <c r="AA919" s="155"/>
      <c r="AB919" s="155"/>
      <c r="AC919" s="155"/>
      <c r="AD919" s="155"/>
      <c r="AE919" s="155"/>
      <c r="AF919" s="155"/>
      <c r="AG919" s="155"/>
      <c r="AH919" s="155"/>
      <c r="AI919" s="155"/>
      <c r="AJ919" s="155"/>
      <c r="AK919" s="155"/>
      <c r="AL919" s="155"/>
      <c r="AM919" s="155"/>
      <c r="AN919" s="155"/>
      <c r="AO919" s="155"/>
      <c r="AP919" s="155"/>
      <c r="AQ919" s="155"/>
      <c r="AR919" s="155"/>
      <c r="AS919" s="155"/>
      <c r="AT919" s="155"/>
      <c r="AU919" s="155"/>
      <c r="AV919" s="155"/>
      <c r="AW919" s="155"/>
      <c r="AX919" s="155"/>
    </row>
    <row r="920" spans="4:50">
      <c r="D920" s="155"/>
      <c r="E920" s="155"/>
      <c r="F920" s="155"/>
      <c r="G920" s="155"/>
      <c r="H920" s="155"/>
      <c r="I920" s="155"/>
      <c r="J920" s="155"/>
      <c r="K920" s="155"/>
      <c r="L920" s="155"/>
      <c r="M920" s="155"/>
      <c r="N920" s="155"/>
      <c r="O920" s="155"/>
      <c r="P920" s="155"/>
      <c r="Q920" s="155"/>
      <c r="R920" s="155"/>
      <c r="S920" s="155"/>
      <c r="T920" s="155"/>
      <c r="U920" s="155"/>
      <c r="V920" s="155"/>
      <c r="W920" s="155"/>
      <c r="X920" s="155"/>
      <c r="Y920" s="155"/>
      <c r="Z920" s="155"/>
      <c r="AA920" s="155"/>
      <c r="AB920" s="155"/>
      <c r="AC920" s="155"/>
      <c r="AD920" s="155"/>
      <c r="AE920" s="155"/>
      <c r="AF920" s="155"/>
      <c r="AG920" s="155"/>
      <c r="AH920" s="155"/>
      <c r="AI920" s="155"/>
      <c r="AJ920" s="155"/>
      <c r="AK920" s="155"/>
      <c r="AL920" s="155"/>
      <c r="AM920" s="155"/>
      <c r="AN920" s="155"/>
      <c r="AO920" s="155"/>
      <c r="AP920" s="155"/>
      <c r="AQ920" s="155"/>
      <c r="AR920" s="155"/>
      <c r="AS920" s="155"/>
      <c r="AT920" s="155"/>
      <c r="AU920" s="155"/>
      <c r="AV920" s="155"/>
      <c r="AW920" s="155"/>
      <c r="AX920" s="155"/>
    </row>
    <row r="921" spans="4:50">
      <c r="D921" s="155"/>
      <c r="E921" s="155"/>
      <c r="F921" s="155"/>
      <c r="G921" s="155"/>
      <c r="H921" s="155"/>
      <c r="I921" s="155"/>
      <c r="J921" s="155"/>
      <c r="K921" s="155"/>
      <c r="L921" s="155"/>
      <c r="M921" s="155"/>
      <c r="N921" s="155"/>
      <c r="O921" s="155"/>
      <c r="P921" s="155"/>
      <c r="Q921" s="155"/>
      <c r="R921" s="155"/>
      <c r="S921" s="155"/>
      <c r="T921" s="155"/>
      <c r="U921" s="155"/>
      <c r="V921" s="155"/>
      <c r="W921" s="155"/>
      <c r="X921" s="155"/>
      <c r="Y921" s="155"/>
      <c r="Z921" s="155"/>
      <c r="AA921" s="155"/>
      <c r="AB921" s="155"/>
      <c r="AC921" s="155"/>
      <c r="AD921" s="155"/>
      <c r="AE921" s="155"/>
      <c r="AF921" s="155"/>
      <c r="AG921" s="155"/>
      <c r="AH921" s="155"/>
      <c r="AI921" s="155"/>
      <c r="AJ921" s="155"/>
      <c r="AK921" s="155"/>
      <c r="AL921" s="155"/>
      <c r="AM921" s="155"/>
      <c r="AN921" s="155"/>
      <c r="AO921" s="155"/>
      <c r="AP921" s="155"/>
      <c r="AQ921" s="155"/>
      <c r="AR921" s="155"/>
      <c r="AS921" s="155"/>
      <c r="AT921" s="155"/>
      <c r="AU921" s="155"/>
      <c r="AV921" s="155"/>
      <c r="AW921" s="155"/>
      <c r="AX921" s="155"/>
    </row>
    <row r="922" spans="4:50">
      <c r="D922" s="155"/>
      <c r="E922" s="155"/>
      <c r="F922" s="155"/>
      <c r="G922" s="155"/>
      <c r="H922" s="155"/>
      <c r="I922" s="155"/>
      <c r="J922" s="155"/>
      <c r="K922" s="155"/>
      <c r="L922" s="155"/>
      <c r="M922" s="155"/>
      <c r="N922" s="155"/>
      <c r="O922" s="155"/>
      <c r="P922" s="155"/>
      <c r="Q922" s="155"/>
      <c r="R922" s="155"/>
      <c r="S922" s="155"/>
      <c r="T922" s="155"/>
      <c r="U922" s="155"/>
      <c r="V922" s="155"/>
      <c r="W922" s="155"/>
      <c r="X922" s="155"/>
      <c r="Y922" s="155"/>
      <c r="Z922" s="155"/>
      <c r="AA922" s="155"/>
      <c r="AB922" s="155"/>
      <c r="AC922" s="155"/>
      <c r="AD922" s="155"/>
      <c r="AE922" s="155"/>
      <c r="AF922" s="155"/>
      <c r="AG922" s="155"/>
      <c r="AH922" s="155"/>
      <c r="AI922" s="155"/>
      <c r="AJ922" s="155"/>
      <c r="AK922" s="155"/>
      <c r="AL922" s="155"/>
      <c r="AM922" s="155"/>
      <c r="AN922" s="155"/>
      <c r="AO922" s="155"/>
      <c r="AP922" s="155"/>
      <c r="AQ922" s="155"/>
      <c r="AR922" s="155"/>
      <c r="AS922" s="155"/>
      <c r="AT922" s="155"/>
      <c r="AU922" s="155"/>
      <c r="AV922" s="155"/>
      <c r="AW922" s="155"/>
      <c r="AX922" s="155"/>
    </row>
    <row r="923" spans="4:50">
      <c r="D923" s="155"/>
      <c r="E923" s="155"/>
      <c r="F923" s="155"/>
      <c r="G923" s="155"/>
      <c r="H923" s="155"/>
      <c r="I923" s="155"/>
      <c r="J923" s="155"/>
      <c r="K923" s="155"/>
      <c r="L923" s="155"/>
      <c r="M923" s="155"/>
      <c r="N923" s="155"/>
      <c r="O923" s="155"/>
      <c r="P923" s="155"/>
      <c r="Q923" s="155"/>
      <c r="R923" s="155"/>
      <c r="S923" s="155"/>
      <c r="T923" s="155"/>
      <c r="U923" s="155"/>
      <c r="V923" s="155"/>
      <c r="W923" s="155"/>
      <c r="X923" s="155"/>
      <c r="Y923" s="155"/>
      <c r="Z923" s="155"/>
      <c r="AA923" s="155"/>
      <c r="AB923" s="155"/>
      <c r="AC923" s="155"/>
      <c r="AD923" s="155"/>
      <c r="AE923" s="155"/>
      <c r="AF923" s="155"/>
      <c r="AG923" s="155"/>
      <c r="AH923" s="155"/>
      <c r="AI923" s="155"/>
      <c r="AJ923" s="155"/>
      <c r="AK923" s="155"/>
      <c r="AL923" s="155"/>
      <c r="AM923" s="155"/>
      <c r="AN923" s="155"/>
      <c r="AO923" s="155"/>
      <c r="AP923" s="155"/>
      <c r="AQ923" s="155"/>
      <c r="AR923" s="155"/>
      <c r="AS923" s="155"/>
      <c r="AT923" s="155"/>
      <c r="AU923" s="155"/>
      <c r="AV923" s="155"/>
      <c r="AW923" s="155"/>
      <c r="AX923" s="155"/>
    </row>
    <row r="924" spans="4:50">
      <c r="D924" s="155"/>
      <c r="E924" s="155"/>
      <c r="F924" s="155"/>
      <c r="G924" s="155"/>
      <c r="H924" s="155"/>
      <c r="I924" s="155"/>
      <c r="J924" s="155"/>
      <c r="K924" s="155"/>
      <c r="L924" s="155"/>
      <c r="M924" s="155"/>
      <c r="N924" s="155"/>
      <c r="O924" s="155"/>
      <c r="P924" s="155"/>
      <c r="Q924" s="155"/>
      <c r="R924" s="155"/>
      <c r="S924" s="155"/>
      <c r="T924" s="155"/>
      <c r="U924" s="155"/>
      <c r="V924" s="155"/>
      <c r="W924" s="155"/>
      <c r="X924" s="155"/>
      <c r="Y924" s="155"/>
      <c r="Z924" s="155"/>
      <c r="AA924" s="155"/>
      <c r="AB924" s="155"/>
      <c r="AC924" s="155"/>
      <c r="AD924" s="155"/>
      <c r="AE924" s="155"/>
      <c r="AF924" s="155"/>
      <c r="AG924" s="155"/>
      <c r="AH924" s="155"/>
      <c r="AI924" s="155"/>
      <c r="AJ924" s="155"/>
      <c r="AK924" s="155"/>
      <c r="AL924" s="155"/>
      <c r="AM924" s="155"/>
      <c r="AN924" s="155"/>
      <c r="AO924" s="155"/>
      <c r="AP924" s="155"/>
      <c r="AQ924" s="155"/>
      <c r="AR924" s="155"/>
      <c r="AS924" s="155"/>
      <c r="AT924" s="155"/>
      <c r="AU924" s="155"/>
      <c r="AV924" s="155"/>
      <c r="AW924" s="155"/>
      <c r="AX924" s="155"/>
    </row>
    <row r="925" spans="4:50">
      <c r="D925" s="155"/>
      <c r="E925" s="155"/>
      <c r="F925" s="155"/>
      <c r="G925" s="155"/>
      <c r="H925" s="155"/>
      <c r="I925" s="155"/>
      <c r="J925" s="155"/>
      <c r="K925" s="155"/>
      <c r="L925" s="155"/>
      <c r="M925" s="155"/>
      <c r="N925" s="155"/>
      <c r="O925" s="155"/>
      <c r="P925" s="155"/>
      <c r="Q925" s="155"/>
      <c r="R925" s="155"/>
      <c r="S925" s="155"/>
      <c r="T925" s="155"/>
      <c r="U925" s="155"/>
      <c r="V925" s="155"/>
      <c r="W925" s="155"/>
      <c r="X925" s="155"/>
      <c r="Y925" s="155"/>
      <c r="Z925" s="155"/>
      <c r="AA925" s="155"/>
      <c r="AB925" s="155"/>
      <c r="AC925" s="155"/>
      <c r="AD925" s="155"/>
      <c r="AE925" s="155"/>
      <c r="AF925" s="155"/>
      <c r="AG925" s="155"/>
      <c r="AH925" s="155"/>
      <c r="AI925" s="155"/>
      <c r="AJ925" s="155"/>
      <c r="AK925" s="155"/>
      <c r="AL925" s="155"/>
      <c r="AM925" s="155"/>
      <c r="AN925" s="155"/>
      <c r="AO925" s="155"/>
      <c r="AP925" s="155"/>
      <c r="AQ925" s="155"/>
      <c r="AR925" s="155"/>
      <c r="AS925" s="155"/>
      <c r="AT925" s="155"/>
      <c r="AU925" s="155"/>
      <c r="AV925" s="155"/>
      <c r="AW925" s="155"/>
      <c r="AX925" s="155"/>
    </row>
    <row r="926" spans="4:50">
      <c r="D926" s="155"/>
      <c r="E926" s="155"/>
      <c r="F926" s="155"/>
      <c r="G926" s="155"/>
      <c r="H926" s="155"/>
      <c r="I926" s="155"/>
      <c r="J926" s="155"/>
      <c r="K926" s="155"/>
      <c r="L926" s="155"/>
      <c r="M926" s="155"/>
      <c r="N926" s="155"/>
      <c r="O926" s="155"/>
      <c r="P926" s="155"/>
      <c r="Q926" s="155"/>
      <c r="R926" s="155"/>
      <c r="S926" s="155"/>
      <c r="T926" s="155"/>
      <c r="U926" s="155"/>
      <c r="V926" s="155"/>
      <c r="W926" s="155"/>
      <c r="X926" s="155"/>
      <c r="Y926" s="155"/>
      <c r="Z926" s="155"/>
      <c r="AA926" s="155"/>
      <c r="AB926" s="155"/>
      <c r="AC926" s="155"/>
      <c r="AD926" s="155"/>
      <c r="AE926" s="155"/>
      <c r="AF926" s="155"/>
      <c r="AG926" s="155"/>
      <c r="AH926" s="155"/>
      <c r="AI926" s="155"/>
      <c r="AJ926" s="155"/>
      <c r="AK926" s="155"/>
      <c r="AL926" s="155"/>
      <c r="AM926" s="155"/>
      <c r="AN926" s="155"/>
      <c r="AO926" s="155"/>
      <c r="AP926" s="155"/>
      <c r="AQ926" s="155"/>
      <c r="AR926" s="155"/>
      <c r="AS926" s="155"/>
      <c r="AT926" s="155"/>
      <c r="AU926" s="155"/>
      <c r="AV926" s="155"/>
      <c r="AW926" s="155"/>
      <c r="AX926" s="155"/>
    </row>
    <row r="927" spans="4:50">
      <c r="D927" s="155"/>
      <c r="E927" s="155"/>
      <c r="F927" s="155"/>
      <c r="G927" s="155"/>
      <c r="H927" s="155"/>
      <c r="I927" s="155"/>
      <c r="J927" s="155"/>
      <c r="K927" s="155"/>
      <c r="L927" s="155"/>
      <c r="M927" s="155"/>
      <c r="N927" s="155"/>
      <c r="O927" s="155"/>
      <c r="P927" s="155"/>
      <c r="Q927" s="155"/>
      <c r="R927" s="155"/>
      <c r="S927" s="155"/>
      <c r="T927" s="155"/>
      <c r="U927" s="155"/>
      <c r="V927" s="155"/>
      <c r="W927" s="155"/>
      <c r="X927" s="155"/>
      <c r="Y927" s="155"/>
      <c r="Z927" s="155"/>
      <c r="AA927" s="155"/>
      <c r="AB927" s="155"/>
      <c r="AC927" s="155"/>
      <c r="AD927" s="155"/>
      <c r="AE927" s="155"/>
      <c r="AF927" s="155"/>
      <c r="AG927" s="155"/>
      <c r="AH927" s="155"/>
      <c r="AI927" s="155"/>
      <c r="AJ927" s="155"/>
      <c r="AK927" s="155"/>
      <c r="AL927" s="155"/>
      <c r="AM927" s="155"/>
      <c r="AN927" s="155"/>
      <c r="AO927" s="155"/>
      <c r="AP927" s="155"/>
      <c r="AQ927" s="155"/>
      <c r="AR927" s="155"/>
      <c r="AS927" s="155"/>
      <c r="AT927" s="155"/>
      <c r="AU927" s="155"/>
      <c r="AV927" s="155"/>
      <c r="AW927" s="155"/>
      <c r="AX927" s="155"/>
    </row>
    <row r="928" spans="4:50">
      <c r="D928" s="155"/>
      <c r="E928" s="155"/>
      <c r="F928" s="155"/>
      <c r="G928" s="155"/>
      <c r="H928" s="155"/>
      <c r="I928" s="155"/>
      <c r="J928" s="155"/>
      <c r="K928" s="155"/>
      <c r="L928" s="155"/>
      <c r="M928" s="155"/>
      <c r="N928" s="155"/>
      <c r="O928" s="155"/>
      <c r="P928" s="155"/>
      <c r="Q928" s="155"/>
      <c r="R928" s="155"/>
      <c r="S928" s="155"/>
      <c r="T928" s="155"/>
      <c r="U928" s="155"/>
      <c r="V928" s="155"/>
      <c r="W928" s="155"/>
      <c r="X928" s="155"/>
      <c r="Y928" s="155"/>
      <c r="Z928" s="155"/>
      <c r="AA928" s="155"/>
      <c r="AB928" s="155"/>
      <c r="AC928" s="155"/>
      <c r="AD928" s="155"/>
      <c r="AE928" s="155"/>
      <c r="AF928" s="155"/>
      <c r="AG928" s="155"/>
      <c r="AH928" s="155"/>
      <c r="AI928" s="155"/>
      <c r="AJ928" s="155"/>
      <c r="AK928" s="155"/>
      <c r="AL928" s="155"/>
      <c r="AM928" s="155"/>
      <c r="AN928" s="155"/>
      <c r="AO928" s="155"/>
      <c r="AP928" s="155"/>
      <c r="AQ928" s="155"/>
      <c r="AR928" s="155"/>
      <c r="AS928" s="155"/>
      <c r="AT928" s="155"/>
      <c r="AU928" s="155"/>
      <c r="AV928" s="155"/>
      <c r="AW928" s="155"/>
      <c r="AX928" s="155"/>
    </row>
    <row r="929" spans="4:50">
      <c r="D929" s="155"/>
      <c r="E929" s="155"/>
      <c r="F929" s="155"/>
      <c r="G929" s="155"/>
      <c r="H929" s="155"/>
      <c r="I929" s="155"/>
      <c r="J929" s="155"/>
      <c r="K929" s="155"/>
      <c r="L929" s="155"/>
      <c r="M929" s="155"/>
      <c r="N929" s="155"/>
      <c r="O929" s="155"/>
      <c r="P929" s="155"/>
      <c r="Q929" s="155"/>
      <c r="R929" s="155"/>
      <c r="S929" s="155"/>
      <c r="T929" s="155"/>
      <c r="U929" s="155"/>
      <c r="V929" s="155"/>
      <c r="W929" s="155"/>
      <c r="X929" s="155"/>
      <c r="Y929" s="155"/>
      <c r="Z929" s="155"/>
      <c r="AA929" s="155"/>
      <c r="AB929" s="155"/>
      <c r="AC929" s="155"/>
      <c r="AD929" s="155"/>
      <c r="AE929" s="155"/>
      <c r="AF929" s="155"/>
      <c r="AG929" s="155"/>
      <c r="AH929" s="155"/>
      <c r="AI929" s="155"/>
      <c r="AJ929" s="155"/>
      <c r="AK929" s="155"/>
      <c r="AL929" s="155"/>
      <c r="AM929" s="155"/>
      <c r="AN929" s="155"/>
      <c r="AO929" s="155"/>
      <c r="AP929" s="155"/>
      <c r="AQ929" s="155"/>
      <c r="AR929" s="155"/>
      <c r="AS929" s="155"/>
      <c r="AT929" s="155"/>
      <c r="AU929" s="155"/>
      <c r="AV929" s="155"/>
      <c r="AW929" s="155"/>
      <c r="AX929" s="155"/>
    </row>
    <row r="930" spans="4:50">
      <c r="D930" s="155"/>
      <c r="E930" s="155"/>
      <c r="F930" s="155"/>
      <c r="G930" s="155"/>
      <c r="H930" s="155"/>
      <c r="I930" s="155"/>
      <c r="J930" s="155"/>
      <c r="K930" s="155"/>
      <c r="L930" s="155"/>
      <c r="M930" s="155"/>
      <c r="N930" s="155"/>
      <c r="O930" s="155"/>
      <c r="P930" s="155"/>
      <c r="Q930" s="155"/>
      <c r="R930" s="155"/>
      <c r="S930" s="155"/>
      <c r="T930" s="155"/>
      <c r="U930" s="155"/>
      <c r="V930" s="155"/>
      <c r="W930" s="155"/>
      <c r="X930" s="155"/>
      <c r="Y930" s="155"/>
      <c r="Z930" s="155"/>
      <c r="AA930" s="155"/>
      <c r="AB930" s="155"/>
      <c r="AC930" s="155"/>
      <c r="AD930" s="155"/>
      <c r="AE930" s="155"/>
      <c r="AF930" s="155"/>
      <c r="AG930" s="155"/>
      <c r="AH930" s="155"/>
      <c r="AI930" s="155"/>
      <c r="AJ930" s="155"/>
      <c r="AK930" s="155"/>
      <c r="AL930" s="155"/>
      <c r="AM930" s="155"/>
      <c r="AN930" s="155"/>
      <c r="AO930" s="155"/>
      <c r="AP930" s="155"/>
      <c r="AQ930" s="155"/>
      <c r="AR930" s="155"/>
      <c r="AS930" s="155"/>
      <c r="AT930" s="155"/>
      <c r="AU930" s="155"/>
      <c r="AV930" s="155"/>
      <c r="AW930" s="155"/>
      <c r="AX930" s="155"/>
    </row>
    <row r="931" spans="4:50">
      <c r="D931" s="155"/>
      <c r="E931" s="155"/>
      <c r="F931" s="155"/>
      <c r="G931" s="155"/>
      <c r="H931" s="155"/>
      <c r="I931" s="155"/>
      <c r="J931" s="155"/>
      <c r="K931" s="155"/>
      <c r="L931" s="155"/>
      <c r="M931" s="155"/>
      <c r="N931" s="155"/>
      <c r="O931" s="155"/>
      <c r="P931" s="155"/>
      <c r="Q931" s="155"/>
      <c r="R931" s="155"/>
      <c r="S931" s="155"/>
      <c r="T931" s="155"/>
      <c r="U931" s="155"/>
      <c r="V931" s="155"/>
      <c r="W931" s="155"/>
      <c r="X931" s="155"/>
      <c r="Y931" s="155"/>
      <c r="Z931" s="155"/>
      <c r="AA931" s="155"/>
      <c r="AB931" s="155"/>
      <c r="AC931" s="155"/>
      <c r="AD931" s="155"/>
      <c r="AE931" s="155"/>
      <c r="AF931" s="155"/>
      <c r="AG931" s="155"/>
      <c r="AH931" s="155"/>
      <c r="AI931" s="155"/>
      <c r="AJ931" s="155"/>
      <c r="AK931" s="155"/>
      <c r="AL931" s="155"/>
      <c r="AM931" s="155"/>
      <c r="AN931" s="155"/>
      <c r="AO931" s="155"/>
      <c r="AP931" s="155"/>
      <c r="AQ931" s="155"/>
      <c r="AR931" s="155"/>
      <c r="AS931" s="155"/>
      <c r="AT931" s="155"/>
      <c r="AU931" s="155"/>
      <c r="AV931" s="155"/>
      <c r="AW931" s="155"/>
      <c r="AX931" s="155"/>
    </row>
    <row r="932" spans="4:50">
      <c r="D932" s="155"/>
      <c r="E932" s="155"/>
      <c r="F932" s="155"/>
      <c r="G932" s="155"/>
      <c r="H932" s="155"/>
      <c r="I932" s="155"/>
      <c r="J932" s="155"/>
      <c r="K932" s="155"/>
      <c r="L932" s="155"/>
      <c r="M932" s="155"/>
      <c r="N932" s="155"/>
      <c r="O932" s="155"/>
      <c r="P932" s="155"/>
      <c r="Q932" s="155"/>
      <c r="R932" s="155"/>
      <c r="S932" s="155"/>
      <c r="T932" s="155"/>
      <c r="U932" s="155"/>
      <c r="V932" s="155"/>
      <c r="W932" s="155"/>
      <c r="X932" s="155"/>
      <c r="Y932" s="155"/>
      <c r="Z932" s="155"/>
      <c r="AA932" s="155"/>
      <c r="AB932" s="155"/>
      <c r="AC932" s="155"/>
      <c r="AD932" s="155"/>
      <c r="AE932" s="155"/>
      <c r="AF932" s="155"/>
      <c r="AG932" s="155"/>
      <c r="AH932" s="155"/>
      <c r="AI932" s="155"/>
      <c r="AJ932" s="155"/>
      <c r="AK932" s="155"/>
      <c r="AL932" s="155"/>
      <c r="AM932" s="155"/>
      <c r="AN932" s="155"/>
      <c r="AO932" s="155"/>
      <c r="AP932" s="155"/>
      <c r="AQ932" s="155"/>
      <c r="AR932" s="155"/>
      <c r="AS932" s="155"/>
      <c r="AT932" s="155"/>
      <c r="AU932" s="155"/>
      <c r="AV932" s="155"/>
      <c r="AW932" s="155"/>
      <c r="AX932" s="155"/>
    </row>
    <row r="933" spans="4:50">
      <c r="D933" s="155"/>
      <c r="E933" s="155"/>
      <c r="F933" s="155"/>
      <c r="G933" s="155"/>
      <c r="H933" s="155"/>
      <c r="I933" s="155"/>
      <c r="J933" s="155"/>
      <c r="K933" s="155"/>
      <c r="L933" s="155"/>
      <c r="M933" s="155"/>
      <c r="N933" s="155"/>
      <c r="O933" s="155"/>
      <c r="P933" s="155"/>
      <c r="Q933" s="155"/>
      <c r="R933" s="155"/>
      <c r="S933" s="155"/>
      <c r="T933" s="155"/>
      <c r="U933" s="155"/>
      <c r="V933" s="155"/>
      <c r="W933" s="155"/>
      <c r="X933" s="155"/>
      <c r="Y933" s="155"/>
      <c r="Z933" s="155"/>
      <c r="AA933" s="155"/>
      <c r="AB933" s="155"/>
      <c r="AC933" s="155"/>
      <c r="AD933" s="155"/>
      <c r="AE933" s="155"/>
      <c r="AF933" s="155"/>
      <c r="AG933" s="155"/>
      <c r="AH933" s="155"/>
      <c r="AI933" s="155"/>
      <c r="AJ933" s="155"/>
      <c r="AK933" s="155"/>
      <c r="AL933" s="155"/>
      <c r="AM933" s="155"/>
      <c r="AN933" s="155"/>
      <c r="AO933" s="155"/>
      <c r="AP933" s="155"/>
      <c r="AQ933" s="155"/>
      <c r="AR933" s="155"/>
      <c r="AS933" s="155"/>
      <c r="AT933" s="155"/>
      <c r="AU933" s="155"/>
      <c r="AV933" s="155"/>
      <c r="AW933" s="155"/>
      <c r="AX933" s="155"/>
    </row>
    <row r="934" spans="4:50">
      <c r="D934" s="155"/>
      <c r="E934" s="155"/>
      <c r="F934" s="155"/>
      <c r="G934" s="155"/>
      <c r="H934" s="155"/>
      <c r="I934" s="155"/>
      <c r="J934" s="155"/>
      <c r="K934" s="155"/>
      <c r="L934" s="155"/>
      <c r="M934" s="155"/>
      <c r="N934" s="155"/>
      <c r="O934" s="155"/>
      <c r="P934" s="155"/>
      <c r="Q934" s="155"/>
      <c r="R934" s="155"/>
      <c r="S934" s="155"/>
      <c r="T934" s="155"/>
      <c r="U934" s="155"/>
      <c r="V934" s="155"/>
      <c r="W934" s="155"/>
      <c r="X934" s="155"/>
      <c r="Y934" s="155"/>
      <c r="Z934" s="155"/>
      <c r="AA934" s="155"/>
      <c r="AB934" s="155"/>
      <c r="AC934" s="155"/>
      <c r="AD934" s="155"/>
      <c r="AE934" s="155"/>
      <c r="AF934" s="155"/>
      <c r="AG934" s="155"/>
      <c r="AH934" s="155"/>
      <c r="AI934" s="155"/>
      <c r="AJ934" s="155"/>
      <c r="AK934" s="155"/>
      <c r="AL934" s="155"/>
      <c r="AM934" s="155"/>
      <c r="AN934" s="155"/>
      <c r="AO934" s="155"/>
      <c r="AP934" s="155"/>
      <c r="AQ934" s="155"/>
      <c r="AR934" s="155"/>
      <c r="AS934" s="155"/>
      <c r="AT934" s="155"/>
      <c r="AU934" s="155"/>
      <c r="AV934" s="155"/>
      <c r="AW934" s="155"/>
      <c r="AX934" s="155"/>
    </row>
    <row r="935" spans="4:50">
      <c r="D935" s="155"/>
      <c r="E935" s="155"/>
      <c r="F935" s="155"/>
      <c r="G935" s="155"/>
      <c r="H935" s="155"/>
      <c r="I935" s="155"/>
      <c r="J935" s="155"/>
      <c r="K935" s="155"/>
      <c r="L935" s="155"/>
      <c r="M935" s="155"/>
      <c r="N935" s="155"/>
      <c r="O935" s="155"/>
      <c r="P935" s="155"/>
      <c r="Q935" s="155"/>
      <c r="R935" s="155"/>
      <c r="S935" s="155"/>
      <c r="T935" s="155"/>
      <c r="U935" s="155"/>
      <c r="V935" s="155"/>
      <c r="W935" s="155"/>
      <c r="X935" s="155"/>
      <c r="Y935" s="155"/>
      <c r="Z935" s="155"/>
      <c r="AA935" s="155"/>
      <c r="AB935" s="155"/>
      <c r="AC935" s="155"/>
      <c r="AD935" s="155"/>
      <c r="AE935" s="155"/>
      <c r="AF935" s="155"/>
      <c r="AG935" s="155"/>
      <c r="AH935" s="155"/>
      <c r="AI935" s="155"/>
      <c r="AJ935" s="155"/>
      <c r="AK935" s="155"/>
      <c r="AL935" s="155"/>
      <c r="AM935" s="155"/>
      <c r="AN935" s="155"/>
      <c r="AO935" s="155"/>
      <c r="AP935" s="155"/>
      <c r="AQ935" s="155"/>
      <c r="AR935" s="155"/>
      <c r="AS935" s="155"/>
      <c r="AT935" s="155"/>
      <c r="AU935" s="155"/>
      <c r="AV935" s="155"/>
      <c r="AW935" s="155"/>
      <c r="AX935" s="155"/>
    </row>
    <row r="936" spans="4:50">
      <c r="D936" s="155"/>
      <c r="E936" s="155"/>
      <c r="F936" s="155"/>
      <c r="G936" s="155"/>
      <c r="H936" s="155"/>
      <c r="I936" s="155"/>
      <c r="J936" s="155"/>
      <c r="K936" s="155"/>
      <c r="L936" s="155"/>
      <c r="M936" s="155"/>
      <c r="N936" s="155"/>
      <c r="O936" s="155"/>
      <c r="P936" s="155"/>
      <c r="Q936" s="155"/>
      <c r="R936" s="155"/>
      <c r="S936" s="155"/>
      <c r="T936" s="155"/>
      <c r="U936" s="155"/>
      <c r="V936" s="155"/>
      <c r="W936" s="155"/>
      <c r="X936" s="155"/>
      <c r="Y936" s="155"/>
      <c r="Z936" s="155"/>
      <c r="AA936" s="155"/>
      <c r="AB936" s="155"/>
      <c r="AC936" s="155"/>
      <c r="AD936" s="155"/>
      <c r="AE936" s="155"/>
      <c r="AF936" s="155"/>
      <c r="AG936" s="155"/>
      <c r="AH936" s="155"/>
      <c r="AI936" s="155"/>
      <c r="AJ936" s="155"/>
      <c r="AK936" s="155"/>
      <c r="AL936" s="155"/>
      <c r="AM936" s="155"/>
      <c r="AN936" s="155"/>
      <c r="AO936" s="155"/>
      <c r="AP936" s="155"/>
      <c r="AQ936" s="155"/>
      <c r="AR936" s="155"/>
      <c r="AS936" s="155"/>
      <c r="AT936" s="155"/>
      <c r="AU936" s="155"/>
      <c r="AV936" s="155"/>
      <c r="AW936" s="155"/>
      <c r="AX936" s="155"/>
    </row>
    <row r="937" spans="4:50">
      <c r="D937" s="155"/>
      <c r="E937" s="155"/>
      <c r="F937" s="155"/>
      <c r="G937" s="155"/>
      <c r="H937" s="155"/>
      <c r="I937" s="155"/>
      <c r="J937" s="155"/>
      <c r="K937" s="155"/>
      <c r="L937" s="155"/>
      <c r="M937" s="155"/>
      <c r="N937" s="155"/>
      <c r="O937" s="155"/>
      <c r="P937" s="155"/>
      <c r="Q937" s="155"/>
      <c r="R937" s="155"/>
      <c r="S937" s="155"/>
      <c r="T937" s="155"/>
      <c r="U937" s="155"/>
      <c r="V937" s="155"/>
      <c r="W937" s="155"/>
      <c r="X937" s="155"/>
      <c r="Y937" s="155"/>
      <c r="Z937" s="155"/>
      <c r="AA937" s="155"/>
      <c r="AB937" s="155"/>
      <c r="AC937" s="155"/>
      <c r="AD937" s="155"/>
      <c r="AE937" s="155"/>
      <c r="AF937" s="155"/>
      <c r="AG937" s="155"/>
      <c r="AH937" s="155"/>
      <c r="AI937" s="155"/>
      <c r="AJ937" s="155"/>
      <c r="AK937" s="155"/>
      <c r="AL937" s="155"/>
      <c r="AM937" s="155"/>
      <c r="AN937" s="155"/>
      <c r="AO937" s="155"/>
      <c r="AP937" s="155"/>
      <c r="AQ937" s="155"/>
      <c r="AR937" s="155"/>
      <c r="AS937" s="155"/>
      <c r="AT937" s="155"/>
      <c r="AU937" s="155"/>
      <c r="AV937" s="155"/>
      <c r="AW937" s="155"/>
      <c r="AX937" s="155"/>
    </row>
    <row r="938" spans="4:50">
      <c r="D938" s="155"/>
      <c r="E938" s="155"/>
      <c r="F938" s="155"/>
      <c r="G938" s="155"/>
      <c r="H938" s="155"/>
      <c r="I938" s="155"/>
      <c r="J938" s="155"/>
      <c r="K938" s="155"/>
      <c r="L938" s="155"/>
      <c r="M938" s="155"/>
      <c r="N938" s="155"/>
      <c r="O938" s="155"/>
      <c r="P938" s="155"/>
      <c r="Q938" s="155"/>
      <c r="R938" s="155"/>
      <c r="S938" s="155"/>
      <c r="T938" s="155"/>
      <c r="U938" s="155"/>
      <c r="V938" s="155"/>
      <c r="W938" s="155"/>
      <c r="X938" s="155"/>
      <c r="Y938" s="155"/>
      <c r="Z938" s="155"/>
      <c r="AA938" s="155"/>
      <c r="AB938" s="155"/>
      <c r="AC938" s="155"/>
      <c r="AD938" s="155"/>
      <c r="AE938" s="155"/>
      <c r="AF938" s="155"/>
      <c r="AG938" s="155"/>
      <c r="AH938" s="155"/>
      <c r="AI938" s="155"/>
      <c r="AJ938" s="155"/>
      <c r="AK938" s="155"/>
      <c r="AL938" s="155"/>
      <c r="AM938" s="155"/>
      <c r="AN938" s="155"/>
      <c r="AO938" s="155"/>
      <c r="AP938" s="155"/>
      <c r="AQ938" s="155"/>
      <c r="AR938" s="155"/>
      <c r="AS938" s="155"/>
      <c r="AT938" s="155"/>
      <c r="AU938" s="155"/>
      <c r="AV938" s="155"/>
      <c r="AW938" s="155"/>
      <c r="AX938" s="155"/>
    </row>
    <row r="939" spans="4:50">
      <c r="D939" s="155"/>
      <c r="E939" s="155"/>
      <c r="F939" s="155"/>
      <c r="G939" s="155"/>
      <c r="H939" s="155"/>
      <c r="I939" s="155"/>
      <c r="J939" s="155"/>
      <c r="K939" s="155"/>
      <c r="L939" s="155"/>
      <c r="M939" s="155"/>
      <c r="N939" s="155"/>
      <c r="O939" s="155"/>
      <c r="P939" s="155"/>
      <c r="Q939" s="155"/>
      <c r="R939" s="155"/>
      <c r="S939" s="155"/>
      <c r="T939" s="155"/>
      <c r="U939" s="155"/>
      <c r="V939" s="155"/>
      <c r="W939" s="155"/>
      <c r="X939" s="155"/>
      <c r="Y939" s="155"/>
      <c r="Z939" s="155"/>
      <c r="AA939" s="155"/>
      <c r="AB939" s="155"/>
      <c r="AC939" s="155"/>
      <c r="AD939" s="155"/>
      <c r="AE939" s="155"/>
      <c r="AF939" s="155"/>
      <c r="AG939" s="155"/>
      <c r="AH939" s="155"/>
      <c r="AI939" s="155"/>
      <c r="AJ939" s="155"/>
      <c r="AK939" s="155"/>
      <c r="AL939" s="155"/>
      <c r="AM939" s="155"/>
      <c r="AN939" s="155"/>
      <c r="AO939" s="155"/>
      <c r="AP939" s="155"/>
      <c r="AQ939" s="155"/>
      <c r="AR939" s="155"/>
      <c r="AS939" s="155"/>
      <c r="AT939" s="155"/>
      <c r="AU939" s="155"/>
      <c r="AV939" s="155"/>
      <c r="AW939" s="155"/>
      <c r="AX939" s="155"/>
    </row>
    <row r="940" spans="4:50">
      <c r="D940" s="155"/>
      <c r="E940" s="155"/>
      <c r="F940" s="155"/>
      <c r="G940" s="155"/>
      <c r="H940" s="155"/>
      <c r="I940" s="155"/>
      <c r="J940" s="155"/>
      <c r="K940" s="155"/>
      <c r="L940" s="155"/>
      <c r="M940" s="155"/>
      <c r="N940" s="155"/>
      <c r="O940" s="155"/>
      <c r="P940" s="155"/>
      <c r="Q940" s="155"/>
      <c r="R940" s="155"/>
      <c r="S940" s="155"/>
      <c r="T940" s="155"/>
      <c r="U940" s="155"/>
      <c r="V940" s="155"/>
      <c r="W940" s="155"/>
      <c r="X940" s="155"/>
      <c r="Y940" s="155"/>
      <c r="Z940" s="155"/>
      <c r="AA940" s="155"/>
      <c r="AB940" s="155"/>
      <c r="AC940" s="155"/>
      <c r="AD940" s="155"/>
      <c r="AE940" s="155"/>
      <c r="AF940" s="155"/>
      <c r="AG940" s="155"/>
      <c r="AH940" s="155"/>
      <c r="AI940" s="155"/>
      <c r="AJ940" s="155"/>
      <c r="AK940" s="155"/>
      <c r="AL940" s="155"/>
      <c r="AM940" s="155"/>
      <c r="AN940" s="155"/>
      <c r="AO940" s="155"/>
      <c r="AP940" s="155"/>
      <c r="AQ940" s="155"/>
      <c r="AR940" s="155"/>
      <c r="AS940" s="155"/>
      <c r="AT940" s="155"/>
      <c r="AU940" s="155"/>
      <c r="AV940" s="155"/>
      <c r="AW940" s="155"/>
      <c r="AX940" s="155"/>
    </row>
    <row r="941" spans="4:50">
      <c r="D941" s="155"/>
      <c r="E941" s="155"/>
      <c r="F941" s="155"/>
      <c r="G941" s="155"/>
      <c r="H941" s="155"/>
      <c r="I941" s="155"/>
      <c r="J941" s="155"/>
      <c r="K941" s="155"/>
      <c r="L941" s="155"/>
      <c r="M941" s="155"/>
      <c r="N941" s="155"/>
      <c r="O941" s="155"/>
      <c r="P941" s="155"/>
      <c r="Q941" s="155"/>
      <c r="R941" s="155"/>
      <c r="S941" s="155"/>
      <c r="T941" s="155"/>
      <c r="U941" s="155"/>
      <c r="V941" s="155"/>
      <c r="W941" s="155"/>
      <c r="X941" s="155"/>
      <c r="Y941" s="155"/>
      <c r="Z941" s="155"/>
      <c r="AA941" s="155"/>
      <c r="AB941" s="155"/>
      <c r="AC941" s="155"/>
      <c r="AD941" s="155"/>
      <c r="AE941" s="155"/>
      <c r="AF941" s="155"/>
      <c r="AG941" s="155"/>
      <c r="AH941" s="155"/>
      <c r="AI941" s="155"/>
      <c r="AJ941" s="155"/>
      <c r="AK941" s="155"/>
      <c r="AL941" s="155"/>
      <c r="AM941" s="155"/>
      <c r="AN941" s="155"/>
      <c r="AO941" s="155"/>
      <c r="AP941" s="155"/>
      <c r="AQ941" s="155"/>
      <c r="AR941" s="155"/>
      <c r="AS941" s="155"/>
      <c r="AT941" s="155"/>
      <c r="AU941" s="155"/>
      <c r="AV941" s="155"/>
      <c r="AW941" s="155"/>
      <c r="AX941" s="155"/>
    </row>
    <row r="942" spans="4:50">
      <c r="D942" s="155"/>
      <c r="E942" s="155"/>
      <c r="F942" s="155"/>
      <c r="G942" s="155"/>
      <c r="H942" s="155"/>
      <c r="I942" s="155"/>
      <c r="J942" s="155"/>
      <c r="K942" s="155"/>
      <c r="L942" s="155"/>
      <c r="M942" s="155"/>
      <c r="N942" s="155"/>
      <c r="O942" s="155"/>
      <c r="P942" s="155"/>
      <c r="Q942" s="155"/>
      <c r="R942" s="155"/>
      <c r="S942" s="155"/>
      <c r="T942" s="155"/>
      <c r="U942" s="155"/>
      <c r="V942" s="155"/>
      <c r="W942" s="155"/>
      <c r="X942" s="155"/>
      <c r="Y942" s="155"/>
      <c r="Z942" s="155"/>
      <c r="AA942" s="155"/>
      <c r="AB942" s="155"/>
      <c r="AC942" s="155"/>
      <c r="AD942" s="155"/>
      <c r="AE942" s="155"/>
      <c r="AF942" s="155"/>
      <c r="AG942" s="155"/>
      <c r="AH942" s="155"/>
      <c r="AI942" s="155"/>
      <c r="AJ942" s="155"/>
      <c r="AK942" s="155"/>
      <c r="AL942" s="155"/>
      <c r="AM942" s="155"/>
      <c r="AN942" s="155"/>
      <c r="AO942" s="155"/>
      <c r="AP942" s="155"/>
      <c r="AQ942" s="155"/>
      <c r="AR942" s="155"/>
      <c r="AS942" s="155"/>
      <c r="AT942" s="155"/>
      <c r="AU942" s="155"/>
      <c r="AV942" s="155"/>
      <c r="AW942" s="155"/>
      <c r="AX942" s="155"/>
    </row>
    <row r="943" spans="4:50">
      <c r="D943" s="155"/>
      <c r="E943" s="155"/>
      <c r="F943" s="155"/>
      <c r="G943" s="155"/>
      <c r="H943" s="155"/>
      <c r="I943" s="155"/>
      <c r="J943" s="155"/>
      <c r="K943" s="155"/>
      <c r="L943" s="155"/>
      <c r="M943" s="155"/>
      <c r="N943" s="155"/>
      <c r="O943" s="155"/>
      <c r="P943" s="155"/>
      <c r="Q943" s="155"/>
      <c r="R943" s="155"/>
      <c r="S943" s="155"/>
      <c r="T943" s="155"/>
      <c r="U943" s="155"/>
      <c r="V943" s="155"/>
      <c r="W943" s="155"/>
      <c r="X943" s="155"/>
      <c r="Y943" s="155"/>
      <c r="Z943" s="155"/>
      <c r="AA943" s="155"/>
      <c r="AB943" s="155"/>
      <c r="AC943" s="155"/>
      <c r="AD943" s="155"/>
      <c r="AE943" s="155"/>
      <c r="AF943" s="155"/>
      <c r="AG943" s="155"/>
      <c r="AH943" s="155"/>
      <c r="AI943" s="155"/>
      <c r="AJ943" s="155"/>
      <c r="AK943" s="155"/>
      <c r="AL943" s="155"/>
      <c r="AM943" s="155"/>
      <c r="AN943" s="155"/>
      <c r="AO943" s="155"/>
      <c r="AP943" s="155"/>
      <c r="AQ943" s="155"/>
      <c r="AR943" s="155"/>
      <c r="AS943" s="155"/>
      <c r="AT943" s="155"/>
      <c r="AU943" s="155"/>
      <c r="AV943" s="155"/>
      <c r="AW943" s="155"/>
      <c r="AX943" s="155"/>
    </row>
    <row r="944" spans="4:50">
      <c r="D944" s="155"/>
      <c r="E944" s="155"/>
      <c r="F944" s="155"/>
      <c r="G944" s="155"/>
      <c r="H944" s="155"/>
      <c r="I944" s="155"/>
      <c r="J944" s="155"/>
      <c r="K944" s="155"/>
      <c r="L944" s="155"/>
      <c r="M944" s="155"/>
      <c r="N944" s="155"/>
      <c r="O944" s="155"/>
      <c r="P944" s="155"/>
      <c r="Q944" s="155"/>
      <c r="R944" s="155"/>
      <c r="S944" s="155"/>
      <c r="T944" s="155"/>
      <c r="U944" s="155"/>
      <c r="V944" s="155"/>
      <c r="W944" s="155"/>
      <c r="X944" s="155"/>
      <c r="Y944" s="155"/>
      <c r="Z944" s="155"/>
      <c r="AA944" s="155"/>
      <c r="AB944" s="155"/>
      <c r="AC944" s="155"/>
      <c r="AD944" s="155"/>
      <c r="AE944" s="155"/>
      <c r="AF944" s="155"/>
      <c r="AG944" s="155"/>
      <c r="AH944" s="155"/>
      <c r="AI944" s="155"/>
      <c r="AJ944" s="155"/>
      <c r="AK944" s="155"/>
      <c r="AL944" s="155"/>
      <c r="AM944" s="155"/>
      <c r="AN944" s="155"/>
      <c r="AO944" s="155"/>
      <c r="AP944" s="155"/>
      <c r="AQ944" s="155"/>
      <c r="AR944" s="155"/>
      <c r="AS944" s="155"/>
      <c r="AT944" s="155"/>
      <c r="AU944" s="155"/>
      <c r="AV944" s="155"/>
      <c r="AW944" s="155"/>
      <c r="AX944" s="155"/>
    </row>
    <row r="945" spans="4:50">
      <c r="D945" s="155"/>
      <c r="E945" s="155"/>
      <c r="F945" s="155"/>
      <c r="G945" s="155"/>
      <c r="H945" s="155"/>
      <c r="I945" s="155"/>
      <c r="J945" s="155"/>
      <c r="K945" s="155"/>
      <c r="L945" s="155"/>
      <c r="M945" s="155"/>
      <c r="N945" s="155"/>
      <c r="O945" s="155"/>
      <c r="P945" s="155"/>
      <c r="Q945" s="155"/>
      <c r="R945" s="155"/>
      <c r="S945" s="155"/>
      <c r="T945" s="155"/>
      <c r="U945" s="155"/>
      <c r="V945" s="155"/>
      <c r="W945" s="155"/>
      <c r="X945" s="155"/>
      <c r="Y945" s="155"/>
      <c r="Z945" s="155"/>
      <c r="AA945" s="155"/>
      <c r="AB945" s="155"/>
      <c r="AC945" s="155"/>
      <c r="AD945" s="155"/>
      <c r="AE945" s="155"/>
      <c r="AF945" s="155"/>
      <c r="AG945" s="155"/>
      <c r="AH945" s="155"/>
      <c r="AI945" s="155"/>
      <c r="AJ945" s="155"/>
      <c r="AK945" s="155"/>
      <c r="AL945" s="155"/>
      <c r="AM945" s="155"/>
      <c r="AN945" s="155"/>
      <c r="AO945" s="155"/>
      <c r="AP945" s="155"/>
      <c r="AQ945" s="155"/>
      <c r="AR945" s="155"/>
      <c r="AS945" s="155"/>
      <c r="AT945" s="155"/>
      <c r="AU945" s="155"/>
      <c r="AV945" s="155"/>
      <c r="AW945" s="155"/>
      <c r="AX945" s="155"/>
    </row>
    <row r="946" spans="4:50">
      <c r="D946" s="155"/>
      <c r="E946" s="155"/>
      <c r="F946" s="155"/>
      <c r="G946" s="155"/>
      <c r="H946" s="155"/>
      <c r="I946" s="155"/>
      <c r="J946" s="155"/>
      <c r="K946" s="155"/>
      <c r="L946" s="155"/>
      <c r="M946" s="155"/>
      <c r="N946" s="155"/>
      <c r="O946" s="155"/>
      <c r="P946" s="155"/>
      <c r="Q946" s="155"/>
      <c r="R946" s="155"/>
      <c r="S946" s="155"/>
      <c r="T946" s="155"/>
      <c r="U946" s="155"/>
      <c r="V946" s="155"/>
      <c r="W946" s="155"/>
      <c r="X946" s="155"/>
      <c r="Y946" s="155"/>
      <c r="Z946" s="155"/>
      <c r="AA946" s="155"/>
      <c r="AB946" s="155"/>
      <c r="AC946" s="155"/>
      <c r="AD946" s="155"/>
      <c r="AE946" s="155"/>
      <c r="AF946" s="155"/>
      <c r="AG946" s="155"/>
      <c r="AH946" s="155"/>
      <c r="AI946" s="155"/>
      <c r="AJ946" s="155"/>
      <c r="AK946" s="155"/>
      <c r="AL946" s="155"/>
      <c r="AM946" s="155"/>
      <c r="AN946" s="155"/>
      <c r="AO946" s="155"/>
      <c r="AP946" s="155"/>
      <c r="AQ946" s="155"/>
      <c r="AR946" s="155"/>
      <c r="AS946" s="155"/>
      <c r="AT946" s="155"/>
      <c r="AU946" s="155"/>
      <c r="AV946" s="155"/>
      <c r="AW946" s="155"/>
      <c r="AX946" s="155"/>
    </row>
    <row r="947" spans="4:50">
      <c r="D947" s="155"/>
      <c r="E947" s="155"/>
      <c r="F947" s="155"/>
      <c r="G947" s="155"/>
      <c r="H947" s="155"/>
      <c r="I947" s="155"/>
      <c r="J947" s="155"/>
      <c r="K947" s="155"/>
      <c r="L947" s="155"/>
      <c r="M947" s="155"/>
      <c r="N947" s="155"/>
      <c r="O947" s="155"/>
      <c r="P947" s="155"/>
      <c r="Q947" s="155"/>
      <c r="R947" s="155"/>
      <c r="S947" s="155"/>
      <c r="T947" s="155"/>
      <c r="U947" s="155"/>
      <c r="V947" s="155"/>
      <c r="W947" s="155"/>
      <c r="X947" s="155"/>
      <c r="Y947" s="155"/>
      <c r="Z947" s="155"/>
      <c r="AA947" s="155"/>
      <c r="AB947" s="155"/>
      <c r="AC947" s="155"/>
      <c r="AD947" s="155"/>
      <c r="AE947" s="155"/>
      <c r="AF947" s="155"/>
      <c r="AG947" s="155"/>
      <c r="AH947" s="155"/>
      <c r="AI947" s="155"/>
      <c r="AJ947" s="155"/>
      <c r="AK947" s="155"/>
      <c r="AL947" s="155"/>
      <c r="AM947" s="155"/>
      <c r="AN947" s="155"/>
      <c r="AO947" s="155"/>
      <c r="AP947" s="155"/>
      <c r="AQ947" s="155"/>
      <c r="AR947" s="155"/>
      <c r="AS947" s="155"/>
      <c r="AT947" s="155"/>
      <c r="AU947" s="155"/>
      <c r="AV947" s="155"/>
      <c r="AW947" s="155"/>
      <c r="AX947" s="155"/>
    </row>
    <row r="948" spans="4:50">
      <c r="D948" s="155"/>
      <c r="E948" s="155"/>
      <c r="F948" s="155"/>
      <c r="G948" s="155"/>
      <c r="H948" s="155"/>
      <c r="I948" s="155"/>
      <c r="J948" s="155"/>
      <c r="K948" s="155"/>
      <c r="L948" s="155"/>
      <c r="M948" s="155"/>
      <c r="N948" s="155"/>
      <c r="O948" s="155"/>
      <c r="P948" s="155"/>
      <c r="Q948" s="155"/>
      <c r="R948" s="155"/>
      <c r="S948" s="155"/>
      <c r="T948" s="155"/>
      <c r="U948" s="155"/>
      <c r="V948" s="155"/>
      <c r="W948" s="155"/>
      <c r="X948" s="155"/>
      <c r="Y948" s="155"/>
      <c r="Z948" s="155"/>
      <c r="AA948" s="155"/>
      <c r="AB948" s="155"/>
      <c r="AC948" s="155"/>
      <c r="AD948" s="155"/>
      <c r="AE948" s="155"/>
      <c r="AF948" s="155"/>
      <c r="AG948" s="155"/>
      <c r="AH948" s="155"/>
      <c r="AI948" s="155"/>
      <c r="AJ948" s="155"/>
      <c r="AK948" s="155"/>
      <c r="AL948" s="155"/>
      <c r="AM948" s="155"/>
      <c r="AN948" s="155"/>
      <c r="AO948" s="155"/>
      <c r="AP948" s="155"/>
      <c r="AQ948" s="155"/>
      <c r="AR948" s="155"/>
      <c r="AS948" s="155"/>
      <c r="AT948" s="155"/>
      <c r="AU948" s="155"/>
      <c r="AV948" s="155"/>
      <c r="AW948" s="155"/>
      <c r="AX948" s="155"/>
    </row>
    <row r="949" spans="4:50">
      <c r="D949" s="155"/>
      <c r="E949" s="155"/>
      <c r="F949" s="155"/>
      <c r="G949" s="155"/>
      <c r="H949" s="155"/>
      <c r="I949" s="155"/>
      <c r="J949" s="155"/>
      <c r="K949" s="155"/>
      <c r="L949" s="155"/>
      <c r="M949" s="155"/>
      <c r="N949" s="155"/>
      <c r="O949" s="155"/>
      <c r="P949" s="155"/>
      <c r="Q949" s="155"/>
      <c r="R949" s="155"/>
      <c r="S949" s="155"/>
      <c r="T949" s="155"/>
      <c r="U949" s="155"/>
      <c r="V949" s="155"/>
      <c r="W949" s="155"/>
      <c r="X949" s="155"/>
      <c r="Y949" s="155"/>
      <c r="Z949" s="155"/>
      <c r="AA949" s="155"/>
      <c r="AB949" s="155"/>
      <c r="AC949" s="155"/>
      <c r="AD949" s="155"/>
      <c r="AE949" s="155"/>
      <c r="AF949" s="155"/>
      <c r="AG949" s="155"/>
      <c r="AH949" s="155"/>
      <c r="AI949" s="155"/>
      <c r="AJ949" s="155"/>
      <c r="AK949" s="155"/>
      <c r="AL949" s="155"/>
      <c r="AM949" s="155"/>
      <c r="AN949" s="155"/>
      <c r="AO949" s="155"/>
      <c r="AP949" s="155"/>
      <c r="AQ949" s="155"/>
      <c r="AR949" s="155"/>
      <c r="AS949" s="155"/>
      <c r="AT949" s="155"/>
      <c r="AU949" s="155"/>
      <c r="AV949" s="155"/>
      <c r="AW949" s="155"/>
      <c r="AX949" s="155"/>
    </row>
    <row r="950" spans="4:50">
      <c r="D950" s="155"/>
      <c r="E950" s="155"/>
      <c r="F950" s="155"/>
      <c r="G950" s="155"/>
      <c r="H950" s="155"/>
      <c r="I950" s="155"/>
      <c r="J950" s="155"/>
      <c r="K950" s="155"/>
      <c r="L950" s="155"/>
      <c r="M950" s="155"/>
      <c r="N950" s="155"/>
      <c r="O950" s="155"/>
      <c r="P950" s="155"/>
      <c r="Q950" s="155"/>
      <c r="R950" s="155"/>
      <c r="S950" s="155"/>
      <c r="T950" s="155"/>
      <c r="U950" s="155"/>
      <c r="V950" s="155"/>
      <c r="W950" s="155"/>
      <c r="X950" s="155"/>
      <c r="Y950" s="155"/>
      <c r="Z950" s="155"/>
      <c r="AA950" s="155"/>
      <c r="AB950" s="155"/>
      <c r="AC950" s="155"/>
      <c r="AD950" s="155"/>
      <c r="AE950" s="155"/>
      <c r="AF950" s="155"/>
      <c r="AG950" s="155"/>
      <c r="AH950" s="155"/>
      <c r="AI950" s="155"/>
      <c r="AJ950" s="155"/>
      <c r="AK950" s="155"/>
      <c r="AL950" s="155"/>
      <c r="AM950" s="155"/>
      <c r="AN950" s="155"/>
      <c r="AO950" s="155"/>
      <c r="AP950" s="155"/>
      <c r="AQ950" s="155"/>
      <c r="AR950" s="155"/>
      <c r="AS950" s="155"/>
      <c r="AT950" s="155"/>
      <c r="AU950" s="155"/>
      <c r="AV950" s="155"/>
      <c r="AW950" s="155"/>
      <c r="AX950" s="155"/>
    </row>
    <row r="951" spans="4:50">
      <c r="D951" s="155"/>
      <c r="E951" s="155"/>
      <c r="F951" s="155"/>
      <c r="G951" s="155"/>
      <c r="H951" s="155"/>
      <c r="I951" s="155"/>
      <c r="J951" s="155"/>
      <c r="K951" s="155"/>
      <c r="L951" s="155"/>
      <c r="M951" s="155"/>
      <c r="N951" s="155"/>
      <c r="O951" s="155"/>
      <c r="P951" s="155"/>
      <c r="Q951" s="155"/>
      <c r="R951" s="155"/>
      <c r="S951" s="155"/>
      <c r="T951" s="155"/>
      <c r="U951" s="155"/>
      <c r="V951" s="155"/>
      <c r="W951" s="155"/>
      <c r="X951" s="155"/>
      <c r="Y951" s="155"/>
      <c r="Z951" s="155"/>
      <c r="AA951" s="155"/>
      <c r="AB951" s="155"/>
      <c r="AC951" s="155"/>
      <c r="AD951" s="155"/>
      <c r="AE951" s="155"/>
      <c r="AF951" s="155"/>
      <c r="AG951" s="155"/>
      <c r="AH951" s="155"/>
      <c r="AI951" s="155"/>
      <c r="AJ951" s="155"/>
      <c r="AK951" s="155"/>
      <c r="AL951" s="155"/>
      <c r="AM951" s="155"/>
      <c r="AN951" s="155"/>
      <c r="AO951" s="155"/>
      <c r="AP951" s="155"/>
      <c r="AQ951" s="155"/>
      <c r="AR951" s="155"/>
      <c r="AS951" s="155"/>
      <c r="AT951" s="155"/>
      <c r="AU951" s="155"/>
      <c r="AV951" s="155"/>
      <c r="AW951" s="155"/>
      <c r="AX951" s="155"/>
    </row>
    <row r="952" spans="4:50">
      <c r="D952" s="155"/>
      <c r="E952" s="155"/>
      <c r="F952" s="155"/>
      <c r="G952" s="155"/>
      <c r="H952" s="155"/>
      <c r="I952" s="155"/>
      <c r="J952" s="155"/>
      <c r="K952" s="155"/>
      <c r="L952" s="155"/>
      <c r="M952" s="155"/>
      <c r="N952" s="155"/>
      <c r="O952" s="155"/>
      <c r="P952" s="155"/>
      <c r="Q952" s="155"/>
      <c r="R952" s="155"/>
      <c r="S952" s="155"/>
      <c r="T952" s="155"/>
      <c r="U952" s="155"/>
      <c r="V952" s="155"/>
      <c r="W952" s="155"/>
      <c r="X952" s="155"/>
      <c r="Y952" s="155"/>
      <c r="Z952" s="155"/>
      <c r="AA952" s="155"/>
      <c r="AB952" s="155"/>
      <c r="AC952" s="155"/>
      <c r="AD952" s="155"/>
      <c r="AE952" s="155"/>
      <c r="AF952" s="155"/>
      <c r="AG952" s="155"/>
      <c r="AH952" s="155"/>
      <c r="AI952" s="155"/>
      <c r="AJ952" s="155"/>
      <c r="AK952" s="155"/>
      <c r="AL952" s="155"/>
      <c r="AM952" s="155"/>
      <c r="AN952" s="155"/>
      <c r="AO952" s="155"/>
      <c r="AP952" s="155"/>
      <c r="AQ952" s="155"/>
      <c r="AR952" s="155"/>
      <c r="AS952" s="155"/>
      <c r="AT952" s="155"/>
      <c r="AU952" s="155"/>
      <c r="AV952" s="155"/>
      <c r="AW952" s="155"/>
      <c r="AX952" s="155"/>
    </row>
    <row r="953" spans="4:50">
      <c r="D953" s="155"/>
      <c r="E953" s="155"/>
      <c r="F953" s="155"/>
      <c r="G953" s="155"/>
      <c r="H953" s="155"/>
      <c r="I953" s="155"/>
      <c r="J953" s="155"/>
      <c r="K953" s="155"/>
      <c r="L953" s="155"/>
      <c r="M953" s="155"/>
      <c r="N953" s="155"/>
      <c r="O953" s="155"/>
      <c r="P953" s="155"/>
      <c r="Q953" s="155"/>
      <c r="R953" s="155"/>
      <c r="S953" s="155"/>
      <c r="T953" s="155"/>
      <c r="U953" s="155"/>
      <c r="V953" s="155"/>
      <c r="W953" s="155"/>
      <c r="X953" s="155"/>
      <c r="Y953" s="155"/>
      <c r="Z953" s="155"/>
      <c r="AA953" s="155"/>
      <c r="AB953" s="155"/>
      <c r="AC953" s="155"/>
      <c r="AD953" s="155"/>
      <c r="AE953" s="155"/>
      <c r="AF953" s="155"/>
      <c r="AG953" s="155"/>
      <c r="AH953" s="155"/>
      <c r="AI953" s="155"/>
      <c r="AJ953" s="155"/>
      <c r="AK953" s="155"/>
      <c r="AL953" s="155"/>
      <c r="AM953" s="155"/>
      <c r="AN953" s="155"/>
      <c r="AO953" s="155"/>
      <c r="AP953" s="155"/>
      <c r="AQ953" s="155"/>
      <c r="AR953" s="155"/>
      <c r="AS953" s="155"/>
      <c r="AT953" s="155"/>
      <c r="AU953" s="155"/>
      <c r="AV953" s="155"/>
      <c r="AW953" s="155"/>
      <c r="AX953" s="155"/>
    </row>
    <row r="954" spans="4:50">
      <c r="D954" s="155"/>
      <c r="E954" s="155"/>
      <c r="F954" s="155"/>
      <c r="G954" s="155"/>
      <c r="H954" s="155"/>
      <c r="I954" s="155"/>
      <c r="J954" s="155"/>
      <c r="K954" s="155"/>
      <c r="L954" s="155"/>
      <c r="M954" s="155"/>
      <c r="N954" s="155"/>
      <c r="O954" s="155"/>
      <c r="P954" s="155"/>
      <c r="Q954" s="155"/>
      <c r="R954" s="155"/>
      <c r="S954" s="155"/>
      <c r="T954" s="155"/>
      <c r="U954" s="155"/>
      <c r="V954" s="155"/>
      <c r="W954" s="155"/>
      <c r="X954" s="155"/>
      <c r="Y954" s="155"/>
      <c r="Z954" s="155"/>
      <c r="AA954" s="155"/>
      <c r="AB954" s="155"/>
      <c r="AC954" s="155"/>
      <c r="AD954" s="155"/>
      <c r="AE954" s="155"/>
      <c r="AF954" s="155"/>
      <c r="AG954" s="155"/>
      <c r="AH954" s="155"/>
      <c r="AI954" s="155"/>
      <c r="AJ954" s="155"/>
      <c r="AK954" s="155"/>
      <c r="AL954" s="155"/>
      <c r="AM954" s="155"/>
      <c r="AN954" s="155"/>
      <c r="AO954" s="155"/>
      <c r="AP954" s="155"/>
      <c r="AQ954" s="155"/>
      <c r="AR954" s="155"/>
      <c r="AS954" s="155"/>
      <c r="AT954" s="155"/>
      <c r="AU954" s="155"/>
      <c r="AV954" s="155"/>
      <c r="AW954" s="155"/>
      <c r="AX954" s="155"/>
    </row>
    <row r="955" spans="4:50">
      <c r="D955" s="155"/>
      <c r="E955" s="155"/>
      <c r="F955" s="155"/>
      <c r="G955" s="155"/>
      <c r="H955" s="155"/>
      <c r="I955" s="155"/>
      <c r="J955" s="155"/>
      <c r="K955" s="155"/>
      <c r="L955" s="155"/>
      <c r="M955" s="155"/>
      <c r="N955" s="155"/>
      <c r="O955" s="155"/>
      <c r="P955" s="155"/>
      <c r="Q955" s="155"/>
      <c r="R955" s="155"/>
      <c r="S955" s="155"/>
      <c r="T955" s="155"/>
      <c r="U955" s="155"/>
      <c r="V955" s="155"/>
      <c r="W955" s="155"/>
      <c r="X955" s="155"/>
      <c r="Y955" s="155"/>
      <c r="Z955" s="155"/>
      <c r="AA955" s="155"/>
      <c r="AB955" s="155"/>
      <c r="AC955" s="155"/>
      <c r="AD955" s="155"/>
      <c r="AE955" s="155"/>
      <c r="AF955" s="155"/>
      <c r="AG955" s="155"/>
      <c r="AH955" s="155"/>
      <c r="AI955" s="155"/>
      <c r="AJ955" s="155"/>
      <c r="AK955" s="155"/>
      <c r="AL955" s="155"/>
      <c r="AM955" s="155"/>
      <c r="AN955" s="155"/>
      <c r="AO955" s="155"/>
      <c r="AP955" s="155"/>
      <c r="AQ955" s="155"/>
      <c r="AR955" s="155"/>
      <c r="AS955" s="155"/>
      <c r="AT955" s="155"/>
      <c r="AU955" s="155"/>
      <c r="AV955" s="155"/>
      <c r="AW955" s="155"/>
      <c r="AX955" s="155"/>
    </row>
    <row r="956" spans="4:50">
      <c r="D956" s="155"/>
      <c r="E956" s="155"/>
      <c r="F956" s="155"/>
      <c r="G956" s="155"/>
      <c r="H956" s="155"/>
      <c r="I956" s="155"/>
      <c r="J956" s="155"/>
      <c r="K956" s="155"/>
      <c r="L956" s="155"/>
      <c r="M956" s="155"/>
      <c r="N956" s="155"/>
      <c r="O956" s="155"/>
      <c r="P956" s="155"/>
      <c r="Q956" s="155"/>
      <c r="R956" s="155"/>
      <c r="S956" s="155"/>
      <c r="T956" s="155"/>
      <c r="U956" s="155"/>
      <c r="V956" s="155"/>
      <c r="W956" s="155"/>
      <c r="X956" s="155"/>
      <c r="Y956" s="155"/>
      <c r="Z956" s="155"/>
      <c r="AA956" s="155"/>
      <c r="AB956" s="155"/>
      <c r="AC956" s="155"/>
      <c r="AD956" s="155"/>
      <c r="AE956" s="155"/>
      <c r="AF956" s="155"/>
      <c r="AG956" s="155"/>
      <c r="AH956" s="155"/>
      <c r="AI956" s="155"/>
      <c r="AJ956" s="155"/>
      <c r="AK956" s="155"/>
      <c r="AL956" s="155"/>
      <c r="AM956" s="155"/>
      <c r="AN956" s="155"/>
      <c r="AO956" s="155"/>
      <c r="AP956" s="155"/>
      <c r="AQ956" s="155"/>
      <c r="AR956" s="155"/>
      <c r="AS956" s="155"/>
      <c r="AT956" s="155"/>
      <c r="AU956" s="155"/>
      <c r="AV956" s="155"/>
      <c r="AW956" s="155"/>
      <c r="AX956" s="155"/>
    </row>
    <row r="957" spans="4:50">
      <c r="D957" s="155"/>
      <c r="E957" s="155"/>
      <c r="F957" s="155"/>
      <c r="G957" s="155"/>
      <c r="H957" s="155"/>
      <c r="I957" s="155"/>
      <c r="J957" s="155"/>
      <c r="K957" s="155"/>
      <c r="L957" s="155"/>
      <c r="M957" s="155"/>
      <c r="N957" s="155"/>
      <c r="O957" s="155"/>
      <c r="P957" s="155"/>
      <c r="Q957" s="155"/>
      <c r="R957" s="155"/>
      <c r="S957" s="155"/>
      <c r="T957" s="155"/>
      <c r="U957" s="155"/>
      <c r="V957" s="155"/>
      <c r="W957" s="155"/>
      <c r="X957" s="155"/>
      <c r="Y957" s="155"/>
      <c r="Z957" s="155"/>
      <c r="AA957" s="155"/>
      <c r="AB957" s="155"/>
      <c r="AC957" s="155"/>
      <c r="AD957" s="155"/>
      <c r="AE957" s="155"/>
      <c r="AF957" s="155"/>
      <c r="AG957" s="155"/>
      <c r="AH957" s="155"/>
      <c r="AI957" s="155"/>
      <c r="AJ957" s="155"/>
      <c r="AK957" s="155"/>
      <c r="AL957" s="155"/>
      <c r="AM957" s="155"/>
      <c r="AN957" s="155"/>
      <c r="AO957" s="155"/>
      <c r="AP957" s="155"/>
      <c r="AQ957" s="155"/>
      <c r="AR957" s="155"/>
      <c r="AS957" s="155"/>
      <c r="AT957" s="155"/>
      <c r="AU957" s="155"/>
      <c r="AV957" s="155"/>
      <c r="AW957" s="155"/>
      <c r="AX957" s="155"/>
    </row>
    <row r="958" spans="4:50">
      <c r="D958" s="155"/>
      <c r="E958" s="155"/>
      <c r="F958" s="155"/>
      <c r="G958" s="155"/>
      <c r="H958" s="155"/>
      <c r="I958" s="155"/>
      <c r="J958" s="155"/>
      <c r="K958" s="155"/>
      <c r="L958" s="155"/>
      <c r="M958" s="155"/>
      <c r="N958" s="155"/>
      <c r="O958" s="155"/>
      <c r="P958" s="155"/>
      <c r="Q958" s="155"/>
      <c r="R958" s="155"/>
      <c r="S958" s="155"/>
      <c r="T958" s="155"/>
      <c r="U958" s="155"/>
      <c r="V958" s="155"/>
      <c r="W958" s="155"/>
      <c r="X958" s="155"/>
      <c r="Y958" s="155"/>
      <c r="Z958" s="155"/>
      <c r="AA958" s="155"/>
      <c r="AB958" s="155"/>
      <c r="AC958" s="155"/>
      <c r="AD958" s="155"/>
      <c r="AE958" s="155"/>
      <c r="AF958" s="155"/>
      <c r="AG958" s="155"/>
      <c r="AH958" s="155"/>
      <c r="AI958" s="155"/>
      <c r="AJ958" s="155"/>
      <c r="AK958" s="155"/>
      <c r="AL958" s="155"/>
      <c r="AM958" s="155"/>
      <c r="AN958" s="155"/>
      <c r="AO958" s="155"/>
      <c r="AP958" s="155"/>
      <c r="AQ958" s="155"/>
      <c r="AR958" s="155"/>
      <c r="AS958" s="155"/>
      <c r="AT958" s="155"/>
      <c r="AU958" s="155"/>
      <c r="AV958" s="155"/>
      <c r="AW958" s="155"/>
      <c r="AX958" s="155"/>
    </row>
    <row r="959" spans="4:50">
      <c r="D959" s="155"/>
      <c r="E959" s="155"/>
      <c r="F959" s="155"/>
      <c r="G959" s="155"/>
      <c r="H959" s="155"/>
      <c r="I959" s="155"/>
      <c r="J959" s="155"/>
      <c r="K959" s="155"/>
      <c r="L959" s="155"/>
      <c r="M959" s="155"/>
      <c r="N959" s="155"/>
      <c r="O959" s="155"/>
      <c r="P959" s="155"/>
      <c r="Q959" s="155"/>
      <c r="R959" s="155"/>
      <c r="S959" s="155"/>
      <c r="T959" s="155"/>
      <c r="U959" s="155"/>
      <c r="V959" s="155"/>
      <c r="W959" s="155"/>
      <c r="X959" s="155"/>
      <c r="Y959" s="155"/>
      <c r="Z959" s="155"/>
      <c r="AA959" s="155"/>
      <c r="AB959" s="155"/>
      <c r="AC959" s="155"/>
      <c r="AD959" s="155"/>
      <c r="AE959" s="155"/>
      <c r="AF959" s="155"/>
      <c r="AG959" s="155"/>
      <c r="AH959" s="155"/>
      <c r="AI959" s="155"/>
      <c r="AJ959" s="155"/>
      <c r="AK959" s="155"/>
      <c r="AL959" s="155"/>
      <c r="AM959" s="155"/>
      <c r="AN959" s="155"/>
      <c r="AO959" s="155"/>
      <c r="AP959" s="155"/>
      <c r="AQ959" s="155"/>
      <c r="AR959" s="155"/>
      <c r="AS959" s="155"/>
      <c r="AT959" s="155"/>
      <c r="AU959" s="155"/>
      <c r="AV959" s="155"/>
      <c r="AW959" s="155"/>
      <c r="AX959" s="155"/>
    </row>
    <row r="960" spans="4:50">
      <c r="D960" s="155"/>
      <c r="E960" s="155"/>
      <c r="F960" s="155"/>
      <c r="G960" s="155"/>
      <c r="H960" s="155"/>
      <c r="I960" s="155"/>
      <c r="J960" s="155"/>
      <c r="K960" s="155"/>
      <c r="L960" s="155"/>
      <c r="M960" s="155"/>
      <c r="N960" s="155"/>
      <c r="O960" s="155"/>
      <c r="P960" s="155"/>
      <c r="Q960" s="155"/>
      <c r="R960" s="155"/>
      <c r="S960" s="155"/>
      <c r="T960" s="155"/>
      <c r="U960" s="155"/>
      <c r="V960" s="155"/>
      <c r="W960" s="155"/>
      <c r="X960" s="155"/>
      <c r="Y960" s="155"/>
      <c r="Z960" s="155"/>
      <c r="AA960" s="155"/>
      <c r="AB960" s="155"/>
      <c r="AC960" s="155"/>
      <c r="AD960" s="155"/>
      <c r="AE960" s="155"/>
      <c r="AF960" s="155"/>
      <c r="AG960" s="155"/>
      <c r="AH960" s="155"/>
      <c r="AI960" s="155"/>
      <c r="AJ960" s="155"/>
      <c r="AK960" s="155"/>
      <c r="AL960" s="155"/>
      <c r="AM960" s="155"/>
      <c r="AN960" s="155"/>
      <c r="AO960" s="155"/>
      <c r="AP960" s="155"/>
      <c r="AQ960" s="155"/>
      <c r="AR960" s="155"/>
      <c r="AS960" s="155"/>
      <c r="AT960" s="155"/>
      <c r="AU960" s="155"/>
      <c r="AV960" s="155"/>
      <c r="AW960" s="155"/>
      <c r="AX960" s="155"/>
    </row>
    <row r="961" spans="4:50">
      <c r="D961" s="155"/>
      <c r="E961" s="155"/>
      <c r="F961" s="155"/>
      <c r="G961" s="155"/>
      <c r="H961" s="155"/>
      <c r="I961" s="155"/>
      <c r="J961" s="155"/>
      <c r="K961" s="155"/>
      <c r="L961" s="155"/>
      <c r="M961" s="155"/>
      <c r="N961" s="155"/>
      <c r="O961" s="155"/>
      <c r="P961" s="155"/>
      <c r="Q961" s="155"/>
      <c r="R961" s="155"/>
      <c r="S961" s="155"/>
      <c r="T961" s="155"/>
      <c r="U961" s="155"/>
      <c r="V961" s="155"/>
      <c r="W961" s="155"/>
      <c r="X961" s="155"/>
      <c r="Y961" s="155"/>
      <c r="Z961" s="155"/>
      <c r="AA961" s="155"/>
      <c r="AB961" s="155"/>
      <c r="AC961" s="155"/>
      <c r="AD961" s="155"/>
      <c r="AE961" s="155"/>
      <c r="AF961" s="155"/>
      <c r="AG961" s="155"/>
      <c r="AH961" s="155"/>
      <c r="AI961" s="155"/>
      <c r="AJ961" s="155"/>
      <c r="AK961" s="155"/>
      <c r="AL961" s="155"/>
      <c r="AM961" s="155"/>
      <c r="AN961" s="155"/>
      <c r="AO961" s="155"/>
      <c r="AP961" s="155"/>
      <c r="AQ961" s="155"/>
      <c r="AR961" s="155"/>
      <c r="AS961" s="155"/>
      <c r="AT961" s="155"/>
      <c r="AU961" s="155"/>
      <c r="AV961" s="155"/>
      <c r="AW961" s="155"/>
      <c r="AX961" s="155"/>
    </row>
    <row r="962" spans="4:50">
      <c r="D962" s="155"/>
      <c r="E962" s="155"/>
      <c r="F962" s="155"/>
      <c r="G962" s="155"/>
      <c r="H962" s="155"/>
      <c r="I962" s="155"/>
      <c r="J962" s="155"/>
      <c r="K962" s="155"/>
      <c r="L962" s="155"/>
      <c r="M962" s="155"/>
      <c r="N962" s="155"/>
      <c r="O962" s="155"/>
      <c r="P962" s="155"/>
      <c r="Q962" s="155"/>
      <c r="R962" s="155"/>
      <c r="S962" s="155"/>
      <c r="T962" s="155"/>
      <c r="U962" s="155"/>
      <c r="V962" s="155"/>
      <c r="W962" s="155"/>
      <c r="X962" s="155"/>
      <c r="Y962" s="155"/>
      <c r="Z962" s="155"/>
      <c r="AA962" s="155"/>
      <c r="AB962" s="155"/>
      <c r="AC962" s="155"/>
      <c r="AD962" s="155"/>
      <c r="AE962" s="155"/>
      <c r="AF962" s="155"/>
      <c r="AG962" s="155"/>
      <c r="AH962" s="155"/>
      <c r="AI962" s="155"/>
      <c r="AJ962" s="155"/>
      <c r="AK962" s="155"/>
      <c r="AL962" s="155"/>
      <c r="AM962" s="155"/>
      <c r="AN962" s="155"/>
      <c r="AO962" s="155"/>
      <c r="AP962" s="155"/>
      <c r="AQ962" s="155"/>
      <c r="AR962" s="155"/>
      <c r="AS962" s="155"/>
      <c r="AT962" s="155"/>
      <c r="AU962" s="155"/>
      <c r="AV962" s="155"/>
      <c r="AW962" s="155"/>
      <c r="AX962" s="155"/>
    </row>
    <row r="963" spans="4:50">
      <c r="D963" s="155"/>
      <c r="E963" s="155"/>
      <c r="F963" s="155"/>
      <c r="G963" s="155"/>
      <c r="H963" s="155"/>
      <c r="I963" s="155"/>
      <c r="J963" s="155"/>
      <c r="K963" s="155"/>
      <c r="L963" s="155"/>
      <c r="M963" s="155"/>
      <c r="N963" s="155"/>
      <c r="O963" s="155"/>
      <c r="P963" s="155"/>
      <c r="Q963" s="155"/>
      <c r="R963" s="155"/>
      <c r="S963" s="155"/>
      <c r="T963" s="155"/>
      <c r="U963" s="155"/>
      <c r="V963" s="155"/>
      <c r="W963" s="155"/>
      <c r="X963" s="155"/>
      <c r="Y963" s="155"/>
      <c r="Z963" s="155"/>
      <c r="AA963" s="155"/>
      <c r="AB963" s="155"/>
      <c r="AC963" s="155"/>
      <c r="AD963" s="155"/>
      <c r="AE963" s="155"/>
      <c r="AF963" s="155"/>
      <c r="AG963" s="155"/>
      <c r="AH963" s="155"/>
      <c r="AI963" s="155"/>
      <c r="AJ963" s="155"/>
      <c r="AK963" s="155"/>
      <c r="AL963" s="155"/>
      <c r="AM963" s="155"/>
      <c r="AN963" s="155"/>
      <c r="AO963" s="155"/>
      <c r="AP963" s="155"/>
      <c r="AQ963" s="155"/>
      <c r="AR963" s="155"/>
      <c r="AS963" s="155"/>
      <c r="AT963" s="155"/>
      <c r="AU963" s="155"/>
      <c r="AV963" s="155"/>
      <c r="AW963" s="155"/>
      <c r="AX963" s="155"/>
    </row>
    <row r="964" spans="4:50">
      <c r="D964" s="155"/>
      <c r="E964" s="155"/>
      <c r="F964" s="155"/>
      <c r="G964" s="155"/>
      <c r="H964" s="155"/>
      <c r="I964" s="155"/>
      <c r="J964" s="155"/>
      <c r="K964" s="155"/>
      <c r="L964" s="155"/>
      <c r="M964" s="155"/>
      <c r="N964" s="155"/>
      <c r="O964" s="155"/>
      <c r="P964" s="155"/>
      <c r="Q964" s="155"/>
      <c r="R964" s="155"/>
      <c r="S964" s="155"/>
      <c r="T964" s="155"/>
      <c r="U964" s="155"/>
      <c r="V964" s="155"/>
      <c r="W964" s="155"/>
      <c r="X964" s="155"/>
      <c r="Y964" s="155"/>
      <c r="Z964" s="155"/>
      <c r="AA964" s="155"/>
      <c r="AB964" s="155"/>
      <c r="AC964" s="155"/>
      <c r="AD964" s="155"/>
      <c r="AE964" s="155"/>
      <c r="AF964" s="155"/>
      <c r="AG964" s="155"/>
      <c r="AH964" s="155"/>
      <c r="AI964" s="155"/>
      <c r="AJ964" s="155"/>
      <c r="AK964" s="155"/>
      <c r="AL964" s="155"/>
      <c r="AM964" s="155"/>
      <c r="AN964" s="155"/>
      <c r="AO964" s="155"/>
      <c r="AP964" s="155"/>
      <c r="AQ964" s="155"/>
      <c r="AR964" s="155"/>
      <c r="AS964" s="155"/>
      <c r="AT964" s="155"/>
      <c r="AU964" s="155"/>
      <c r="AV964" s="155"/>
      <c r="AW964" s="155"/>
      <c r="AX964" s="155"/>
    </row>
    <row r="965" spans="4:50">
      <c r="D965" s="155"/>
      <c r="E965" s="155"/>
      <c r="F965" s="155"/>
      <c r="G965" s="155"/>
      <c r="H965" s="155"/>
      <c r="I965" s="155"/>
      <c r="J965" s="155"/>
      <c r="K965" s="155"/>
      <c r="L965" s="155"/>
      <c r="M965" s="155"/>
      <c r="N965" s="155"/>
      <c r="O965" s="155"/>
      <c r="P965" s="155"/>
      <c r="Q965" s="155"/>
      <c r="R965" s="155"/>
      <c r="S965" s="155"/>
      <c r="T965" s="155"/>
      <c r="U965" s="155"/>
      <c r="V965" s="155"/>
      <c r="W965" s="155"/>
      <c r="X965" s="155"/>
      <c r="Y965" s="155"/>
      <c r="Z965" s="155"/>
      <c r="AA965" s="155"/>
      <c r="AB965" s="155"/>
      <c r="AC965" s="155"/>
      <c r="AD965" s="155"/>
      <c r="AE965" s="155"/>
      <c r="AF965" s="155"/>
      <c r="AG965" s="155"/>
      <c r="AH965" s="155"/>
      <c r="AI965" s="155"/>
      <c r="AJ965" s="155"/>
      <c r="AK965" s="155"/>
      <c r="AL965" s="155"/>
      <c r="AM965" s="155"/>
      <c r="AN965" s="155"/>
      <c r="AO965" s="155"/>
      <c r="AP965" s="155"/>
      <c r="AQ965" s="155"/>
      <c r="AR965" s="155"/>
      <c r="AS965" s="155"/>
      <c r="AT965" s="155"/>
      <c r="AU965" s="155"/>
      <c r="AV965" s="155"/>
      <c r="AW965" s="155"/>
      <c r="AX965" s="155"/>
    </row>
    <row r="966" spans="4:50">
      <c r="D966" s="155"/>
      <c r="E966" s="155"/>
      <c r="F966" s="155"/>
      <c r="G966" s="155"/>
      <c r="H966" s="155"/>
      <c r="I966" s="155"/>
      <c r="J966" s="155"/>
      <c r="K966" s="155"/>
      <c r="L966" s="155"/>
      <c r="M966" s="155"/>
      <c r="N966" s="155"/>
      <c r="O966" s="155"/>
      <c r="P966" s="155"/>
      <c r="Q966" s="155"/>
      <c r="R966" s="155"/>
      <c r="S966" s="155"/>
      <c r="T966" s="155"/>
      <c r="U966" s="155"/>
      <c r="V966" s="155"/>
      <c r="W966" s="155"/>
      <c r="X966" s="155"/>
      <c r="Y966" s="155"/>
      <c r="Z966" s="155"/>
      <c r="AA966" s="155"/>
      <c r="AB966" s="155"/>
      <c r="AC966" s="155"/>
      <c r="AD966" s="155"/>
      <c r="AE966" s="155"/>
      <c r="AF966" s="155"/>
      <c r="AG966" s="155"/>
      <c r="AH966" s="155"/>
      <c r="AI966" s="155"/>
      <c r="AJ966" s="155"/>
      <c r="AK966" s="155"/>
      <c r="AL966" s="155"/>
      <c r="AM966" s="155"/>
      <c r="AN966" s="155"/>
      <c r="AO966" s="155"/>
      <c r="AP966" s="155"/>
      <c r="AQ966" s="155"/>
      <c r="AR966" s="155"/>
      <c r="AS966" s="155"/>
      <c r="AT966" s="155"/>
      <c r="AU966" s="155"/>
      <c r="AV966" s="155"/>
      <c r="AW966" s="155"/>
      <c r="AX966" s="155"/>
    </row>
    <row r="967" spans="4:50">
      <c r="D967" s="155"/>
      <c r="E967" s="155"/>
      <c r="F967" s="155"/>
      <c r="G967" s="155"/>
      <c r="H967" s="155"/>
      <c r="I967" s="155"/>
      <c r="J967" s="155"/>
      <c r="K967" s="155"/>
      <c r="L967" s="155"/>
      <c r="M967" s="155"/>
      <c r="N967" s="155"/>
      <c r="O967" s="155"/>
      <c r="P967" s="155"/>
      <c r="Q967" s="155"/>
      <c r="R967" s="155"/>
      <c r="S967" s="155"/>
      <c r="T967" s="155"/>
      <c r="U967" s="155"/>
      <c r="V967" s="155"/>
      <c r="W967" s="155"/>
      <c r="X967" s="155"/>
      <c r="Y967" s="155"/>
      <c r="Z967" s="155"/>
      <c r="AA967" s="155"/>
      <c r="AB967" s="155"/>
      <c r="AC967" s="155"/>
      <c r="AD967" s="155"/>
      <c r="AE967" s="155"/>
      <c r="AF967" s="155"/>
      <c r="AG967" s="155"/>
      <c r="AH967" s="155"/>
      <c r="AI967" s="155"/>
      <c r="AJ967" s="155"/>
      <c r="AK967" s="155"/>
      <c r="AL967" s="155"/>
      <c r="AM967" s="155"/>
      <c r="AN967" s="155"/>
      <c r="AO967" s="155"/>
      <c r="AP967" s="155"/>
      <c r="AQ967" s="155"/>
      <c r="AR967" s="155"/>
      <c r="AS967" s="155"/>
      <c r="AT967" s="155"/>
      <c r="AU967" s="155"/>
      <c r="AV967" s="155"/>
      <c r="AW967" s="155"/>
      <c r="AX967" s="155"/>
    </row>
    <row r="968" spans="4:50">
      <c r="D968" s="155"/>
      <c r="E968" s="155"/>
      <c r="F968" s="155"/>
      <c r="G968" s="155"/>
      <c r="H968" s="155"/>
      <c r="I968" s="155"/>
      <c r="J968" s="155"/>
      <c r="K968" s="155"/>
      <c r="L968" s="155"/>
      <c r="M968" s="155"/>
      <c r="N968" s="155"/>
      <c r="O968" s="155"/>
      <c r="P968" s="155"/>
      <c r="Q968" s="155"/>
      <c r="R968" s="155"/>
      <c r="S968" s="155"/>
      <c r="T968" s="155"/>
      <c r="U968" s="155"/>
      <c r="V968" s="155"/>
      <c r="W968" s="155"/>
      <c r="X968" s="155"/>
      <c r="Y968" s="155"/>
      <c r="Z968" s="155"/>
      <c r="AA968" s="155"/>
      <c r="AB968" s="155"/>
      <c r="AC968" s="155"/>
      <c r="AD968" s="155"/>
      <c r="AE968" s="155"/>
      <c r="AF968" s="155"/>
      <c r="AG968" s="155"/>
      <c r="AH968" s="155"/>
      <c r="AI968" s="155"/>
      <c r="AJ968" s="155"/>
      <c r="AK968" s="155"/>
      <c r="AL968" s="155"/>
      <c r="AM968" s="155"/>
      <c r="AN968" s="155"/>
      <c r="AO968" s="155"/>
      <c r="AP968" s="155"/>
      <c r="AQ968" s="155"/>
      <c r="AR968" s="155"/>
      <c r="AS968" s="155"/>
      <c r="AT968" s="155"/>
      <c r="AU968" s="155"/>
      <c r="AV968" s="155"/>
      <c r="AW968" s="155"/>
      <c r="AX968" s="155"/>
    </row>
    <row r="969" spans="4:50">
      <c r="D969" s="155"/>
      <c r="E969" s="155"/>
      <c r="F969" s="155"/>
      <c r="G969" s="155"/>
      <c r="H969" s="155"/>
      <c r="I969" s="155"/>
      <c r="J969" s="155"/>
      <c r="K969" s="155"/>
      <c r="L969" s="155"/>
      <c r="M969" s="155"/>
      <c r="N969" s="155"/>
      <c r="O969" s="155"/>
      <c r="P969" s="155"/>
      <c r="Q969" s="155"/>
      <c r="R969" s="155"/>
      <c r="S969" s="155"/>
      <c r="T969" s="155"/>
      <c r="U969" s="155"/>
      <c r="V969" s="155"/>
      <c r="W969" s="155"/>
      <c r="X969" s="155"/>
      <c r="Y969" s="155"/>
      <c r="Z969" s="155"/>
      <c r="AA969" s="155"/>
      <c r="AB969" s="155"/>
      <c r="AC969" s="155"/>
      <c r="AD969" s="155"/>
      <c r="AE969" s="155"/>
      <c r="AF969" s="155"/>
      <c r="AG969" s="155"/>
      <c r="AH969" s="155"/>
      <c r="AI969" s="155"/>
      <c r="AJ969" s="155"/>
      <c r="AK969" s="155"/>
      <c r="AL969" s="155"/>
      <c r="AM969" s="155"/>
      <c r="AN969" s="155"/>
      <c r="AO969" s="155"/>
      <c r="AP969" s="155"/>
      <c r="AQ969" s="155"/>
      <c r="AR969" s="155"/>
      <c r="AS969" s="155"/>
      <c r="AT969" s="155"/>
      <c r="AU969" s="155"/>
      <c r="AV969" s="155"/>
      <c r="AW969" s="155"/>
      <c r="AX969" s="155"/>
    </row>
    <row r="970" spans="4:50">
      <c r="D970" s="155"/>
      <c r="E970" s="155"/>
      <c r="F970" s="155"/>
      <c r="G970" s="155"/>
      <c r="H970" s="155"/>
      <c r="I970" s="155"/>
      <c r="J970" s="155"/>
      <c r="K970" s="155"/>
      <c r="L970" s="155"/>
      <c r="M970" s="155"/>
      <c r="N970" s="155"/>
      <c r="O970" s="155"/>
      <c r="P970" s="155"/>
      <c r="Q970" s="155"/>
      <c r="R970" s="155"/>
      <c r="S970" s="155"/>
      <c r="T970" s="155"/>
      <c r="U970" s="155"/>
      <c r="V970" s="155"/>
      <c r="W970" s="155"/>
      <c r="X970" s="155"/>
      <c r="Y970" s="155"/>
      <c r="Z970" s="155"/>
      <c r="AA970" s="155"/>
      <c r="AB970" s="155"/>
      <c r="AC970" s="155"/>
      <c r="AD970" s="155"/>
      <c r="AE970" s="155"/>
      <c r="AF970" s="155"/>
      <c r="AG970" s="155"/>
      <c r="AH970" s="155"/>
      <c r="AI970" s="155"/>
      <c r="AJ970" s="155"/>
      <c r="AK970" s="155"/>
      <c r="AL970" s="155"/>
      <c r="AM970" s="155"/>
      <c r="AN970" s="155"/>
      <c r="AO970" s="155"/>
      <c r="AP970" s="155"/>
      <c r="AQ970" s="155"/>
      <c r="AR970" s="155"/>
      <c r="AS970" s="155"/>
      <c r="AT970" s="155"/>
      <c r="AU970" s="155"/>
      <c r="AV970" s="155"/>
      <c r="AW970" s="155"/>
      <c r="AX970" s="155"/>
    </row>
    <row r="971" spans="4:50">
      <c r="D971" s="155"/>
      <c r="E971" s="155"/>
      <c r="F971" s="155"/>
      <c r="G971" s="155"/>
      <c r="H971" s="155"/>
      <c r="I971" s="155"/>
      <c r="J971" s="155"/>
      <c r="K971" s="155"/>
      <c r="L971" s="155"/>
      <c r="M971" s="155"/>
      <c r="N971" s="155"/>
      <c r="O971" s="155"/>
      <c r="P971" s="155"/>
      <c r="Q971" s="155"/>
      <c r="R971" s="155"/>
      <c r="S971" s="155"/>
      <c r="T971" s="155"/>
      <c r="U971" s="155"/>
      <c r="V971" s="155"/>
      <c r="W971" s="155"/>
      <c r="X971" s="155"/>
      <c r="Y971" s="155"/>
      <c r="Z971" s="155"/>
      <c r="AA971" s="155"/>
      <c r="AB971" s="155"/>
      <c r="AC971" s="155"/>
      <c r="AD971" s="155"/>
      <c r="AE971" s="155"/>
      <c r="AF971" s="155"/>
      <c r="AG971" s="155"/>
      <c r="AH971" s="155"/>
      <c r="AI971" s="155"/>
      <c r="AJ971" s="155"/>
      <c r="AK971" s="155"/>
      <c r="AL971" s="155"/>
      <c r="AM971" s="155"/>
      <c r="AN971" s="155"/>
      <c r="AO971" s="155"/>
      <c r="AP971" s="155"/>
      <c r="AQ971" s="155"/>
      <c r="AR971" s="155"/>
      <c r="AS971" s="155"/>
      <c r="AT971" s="155"/>
      <c r="AU971" s="155"/>
      <c r="AV971" s="155"/>
      <c r="AW971" s="155"/>
      <c r="AX971" s="155"/>
    </row>
    <row r="972" spans="4:50">
      <c r="D972" s="155"/>
      <c r="E972" s="155"/>
      <c r="F972" s="155"/>
      <c r="G972" s="155"/>
      <c r="H972" s="155"/>
      <c r="I972" s="155"/>
      <c r="J972" s="155"/>
      <c r="K972" s="155"/>
      <c r="L972" s="155"/>
      <c r="M972" s="155"/>
      <c r="N972" s="155"/>
      <c r="O972" s="155"/>
      <c r="P972" s="155"/>
      <c r="Q972" s="155"/>
      <c r="R972" s="155"/>
      <c r="S972" s="155"/>
      <c r="T972" s="155"/>
      <c r="U972" s="155"/>
      <c r="V972" s="155"/>
      <c r="W972" s="155"/>
      <c r="X972" s="155"/>
      <c r="Y972" s="155"/>
      <c r="Z972" s="155"/>
      <c r="AA972" s="155"/>
      <c r="AB972" s="155"/>
      <c r="AC972" s="155"/>
      <c r="AD972" s="155"/>
      <c r="AE972" s="155"/>
      <c r="AF972" s="155"/>
      <c r="AG972" s="155"/>
      <c r="AH972" s="155"/>
      <c r="AI972" s="155"/>
      <c r="AJ972" s="155"/>
      <c r="AK972" s="155"/>
      <c r="AL972" s="155"/>
      <c r="AM972" s="155"/>
      <c r="AN972" s="155"/>
      <c r="AO972" s="155"/>
      <c r="AP972" s="155"/>
      <c r="AQ972" s="155"/>
      <c r="AR972" s="155"/>
      <c r="AS972" s="155"/>
      <c r="AT972" s="155"/>
      <c r="AU972" s="155"/>
      <c r="AV972" s="155"/>
      <c r="AW972" s="155"/>
      <c r="AX972" s="155"/>
    </row>
    <row r="973" spans="4:50">
      <c r="D973" s="155"/>
      <c r="E973" s="155"/>
      <c r="F973" s="155"/>
      <c r="G973" s="155"/>
      <c r="H973" s="155"/>
      <c r="I973" s="155"/>
      <c r="J973" s="155"/>
      <c r="K973" s="155"/>
      <c r="L973" s="155"/>
      <c r="M973" s="155"/>
      <c r="N973" s="155"/>
      <c r="O973" s="155"/>
      <c r="P973" s="155"/>
      <c r="Q973" s="155"/>
      <c r="R973" s="155"/>
      <c r="S973" s="155"/>
      <c r="T973" s="155"/>
      <c r="U973" s="155"/>
      <c r="V973" s="155"/>
      <c r="W973" s="155"/>
      <c r="X973" s="155"/>
      <c r="Y973" s="155"/>
      <c r="Z973" s="155"/>
      <c r="AA973" s="155"/>
      <c r="AB973" s="155"/>
      <c r="AC973" s="155"/>
      <c r="AD973" s="155"/>
      <c r="AE973" s="155"/>
      <c r="AF973" s="155"/>
      <c r="AG973" s="155"/>
      <c r="AH973" s="155"/>
      <c r="AI973" s="155"/>
      <c r="AJ973" s="155"/>
      <c r="AK973" s="155"/>
      <c r="AL973" s="155"/>
      <c r="AM973" s="155"/>
      <c r="AN973" s="155"/>
      <c r="AO973" s="155"/>
      <c r="AP973" s="155"/>
      <c r="AQ973" s="155"/>
      <c r="AR973" s="155"/>
      <c r="AS973" s="155"/>
      <c r="AT973" s="155"/>
      <c r="AU973" s="155"/>
      <c r="AV973" s="155"/>
      <c r="AW973" s="155"/>
      <c r="AX973" s="155"/>
    </row>
    <row r="974" spans="4:50">
      <c r="D974" s="155"/>
      <c r="E974" s="155"/>
      <c r="F974" s="155"/>
      <c r="G974" s="155"/>
      <c r="H974" s="155"/>
      <c r="I974" s="155"/>
      <c r="J974" s="155"/>
      <c r="K974" s="155"/>
      <c r="L974" s="155"/>
      <c r="M974" s="155"/>
      <c r="N974" s="155"/>
      <c r="O974" s="155"/>
      <c r="P974" s="155"/>
      <c r="Q974" s="155"/>
      <c r="R974" s="155"/>
      <c r="S974" s="155"/>
      <c r="T974" s="155"/>
      <c r="U974" s="155"/>
      <c r="V974" s="155"/>
      <c r="W974" s="155"/>
      <c r="X974" s="155"/>
      <c r="Y974" s="155"/>
      <c r="Z974" s="155"/>
      <c r="AA974" s="155"/>
      <c r="AB974" s="155"/>
      <c r="AC974" s="155"/>
      <c r="AD974" s="155"/>
      <c r="AE974" s="155"/>
      <c r="AF974" s="155"/>
      <c r="AG974" s="155"/>
      <c r="AH974" s="155"/>
      <c r="AI974" s="155"/>
      <c r="AJ974" s="155"/>
      <c r="AK974" s="155"/>
      <c r="AL974" s="155"/>
      <c r="AM974" s="155"/>
      <c r="AN974" s="155"/>
      <c r="AO974" s="155"/>
      <c r="AP974" s="155"/>
      <c r="AQ974" s="155"/>
      <c r="AR974" s="155"/>
      <c r="AS974" s="155"/>
      <c r="AT974" s="155"/>
      <c r="AU974" s="155"/>
      <c r="AV974" s="155"/>
      <c r="AW974" s="155"/>
      <c r="AX974" s="155"/>
    </row>
    <row r="975" spans="4:50">
      <c r="D975" s="155"/>
      <c r="E975" s="155"/>
      <c r="F975" s="155"/>
      <c r="G975" s="155"/>
      <c r="H975" s="155"/>
      <c r="I975" s="155"/>
      <c r="J975" s="155"/>
      <c r="K975" s="155"/>
      <c r="L975" s="155"/>
      <c r="M975" s="155"/>
      <c r="N975" s="155"/>
      <c r="O975" s="155"/>
      <c r="P975" s="155"/>
      <c r="Q975" s="155"/>
      <c r="R975" s="155"/>
      <c r="S975" s="155"/>
      <c r="T975" s="155"/>
      <c r="U975" s="155"/>
      <c r="V975" s="155"/>
      <c r="W975" s="155"/>
      <c r="X975" s="155"/>
      <c r="Y975" s="155"/>
      <c r="Z975" s="155"/>
      <c r="AA975" s="155"/>
      <c r="AB975" s="155"/>
      <c r="AC975" s="155"/>
      <c r="AD975" s="155"/>
      <c r="AE975" s="155"/>
      <c r="AF975" s="155"/>
      <c r="AG975" s="155"/>
      <c r="AH975" s="155"/>
      <c r="AI975" s="155"/>
      <c r="AJ975" s="155"/>
      <c r="AK975" s="155"/>
      <c r="AL975" s="155"/>
      <c r="AM975" s="155"/>
      <c r="AN975" s="155"/>
      <c r="AO975" s="155"/>
      <c r="AP975" s="155"/>
      <c r="AQ975" s="155"/>
      <c r="AR975" s="155"/>
      <c r="AS975" s="155"/>
      <c r="AT975" s="155"/>
      <c r="AU975" s="155"/>
      <c r="AV975" s="155"/>
      <c r="AW975" s="155"/>
      <c r="AX975" s="155"/>
    </row>
    <row r="976" spans="4:50">
      <c r="D976" s="155"/>
      <c r="E976" s="155"/>
      <c r="F976" s="155"/>
      <c r="G976" s="155"/>
      <c r="H976" s="155"/>
      <c r="I976" s="155"/>
      <c r="J976" s="155"/>
      <c r="K976" s="155"/>
      <c r="L976" s="155"/>
      <c r="M976" s="155"/>
      <c r="N976" s="155"/>
      <c r="O976" s="155"/>
      <c r="P976" s="155"/>
      <c r="Q976" s="155"/>
      <c r="R976" s="155"/>
      <c r="S976" s="155"/>
      <c r="T976" s="155"/>
      <c r="U976" s="155"/>
      <c r="V976" s="155"/>
      <c r="W976" s="155"/>
      <c r="X976" s="155"/>
      <c r="Y976" s="155"/>
      <c r="Z976" s="155"/>
      <c r="AA976" s="155"/>
      <c r="AB976" s="155"/>
      <c r="AC976" s="155"/>
      <c r="AD976" s="155"/>
      <c r="AE976" s="155"/>
      <c r="AF976" s="155"/>
      <c r="AG976" s="155"/>
      <c r="AH976" s="155"/>
      <c r="AI976" s="155"/>
      <c r="AJ976" s="155"/>
      <c r="AK976" s="155"/>
      <c r="AL976" s="155"/>
      <c r="AM976" s="155"/>
      <c r="AN976" s="155"/>
      <c r="AO976" s="155"/>
      <c r="AP976" s="155"/>
      <c r="AQ976" s="155"/>
      <c r="AR976" s="155"/>
      <c r="AS976" s="155"/>
      <c r="AT976" s="155"/>
      <c r="AU976" s="155"/>
      <c r="AV976" s="155"/>
      <c r="AW976" s="155"/>
      <c r="AX976" s="155"/>
    </row>
    <row r="977" spans="4:50">
      <c r="D977" s="155"/>
      <c r="E977" s="155"/>
      <c r="F977" s="155"/>
      <c r="G977" s="155"/>
      <c r="H977" s="155"/>
      <c r="I977" s="155"/>
      <c r="J977" s="155"/>
      <c r="K977" s="155"/>
      <c r="L977" s="155"/>
      <c r="M977" s="155"/>
      <c r="N977" s="155"/>
      <c r="O977" s="155"/>
      <c r="P977" s="155"/>
      <c r="Q977" s="155"/>
      <c r="R977" s="155"/>
      <c r="S977" s="155"/>
      <c r="T977" s="155"/>
      <c r="U977" s="155"/>
      <c r="V977" s="155"/>
      <c r="W977" s="155"/>
      <c r="X977" s="155"/>
      <c r="Y977" s="155"/>
      <c r="Z977" s="155"/>
      <c r="AA977" s="155"/>
      <c r="AB977" s="155"/>
      <c r="AC977" s="155"/>
      <c r="AD977" s="155"/>
      <c r="AE977" s="155"/>
      <c r="AF977" s="155"/>
      <c r="AG977" s="155"/>
      <c r="AH977" s="155"/>
      <c r="AI977" s="155"/>
      <c r="AJ977" s="155"/>
      <c r="AK977" s="155"/>
      <c r="AL977" s="155"/>
      <c r="AM977" s="155"/>
      <c r="AN977" s="155"/>
      <c r="AO977" s="155"/>
      <c r="AP977" s="155"/>
      <c r="AQ977" s="155"/>
      <c r="AR977" s="155"/>
      <c r="AS977" s="155"/>
      <c r="AT977" s="155"/>
      <c r="AU977" s="155"/>
      <c r="AV977" s="155"/>
      <c r="AW977" s="155"/>
      <c r="AX977" s="155"/>
    </row>
    <row r="978" spans="4:50">
      <c r="D978" s="155"/>
      <c r="E978" s="155"/>
      <c r="F978" s="155"/>
      <c r="G978" s="155"/>
      <c r="H978" s="155"/>
      <c r="I978" s="155"/>
      <c r="J978" s="155"/>
      <c r="K978" s="155"/>
      <c r="L978" s="155"/>
      <c r="M978" s="155"/>
      <c r="N978" s="155"/>
      <c r="O978" s="155"/>
      <c r="P978" s="155"/>
      <c r="Q978" s="155"/>
      <c r="R978" s="155"/>
      <c r="S978" s="155"/>
      <c r="T978" s="155"/>
      <c r="U978" s="155"/>
      <c r="V978" s="155"/>
      <c r="W978" s="155"/>
      <c r="X978" s="155"/>
      <c r="Y978" s="155"/>
      <c r="Z978" s="155"/>
      <c r="AA978" s="155"/>
      <c r="AB978" s="155"/>
      <c r="AC978" s="155"/>
      <c r="AD978" s="155"/>
      <c r="AE978" s="155"/>
      <c r="AF978" s="155"/>
      <c r="AG978" s="155"/>
      <c r="AH978" s="155"/>
      <c r="AI978" s="155"/>
      <c r="AJ978" s="155"/>
      <c r="AK978" s="155"/>
      <c r="AL978" s="155"/>
      <c r="AM978" s="155"/>
      <c r="AN978" s="155"/>
      <c r="AO978" s="155"/>
      <c r="AP978" s="155"/>
      <c r="AQ978" s="155"/>
      <c r="AR978" s="155"/>
      <c r="AS978" s="155"/>
      <c r="AT978" s="155"/>
      <c r="AU978" s="155"/>
      <c r="AV978" s="155"/>
      <c r="AW978" s="155"/>
      <c r="AX978" s="155"/>
    </row>
    <row r="979" spans="4:50">
      <c r="D979" s="155"/>
      <c r="E979" s="155"/>
      <c r="F979" s="155"/>
      <c r="G979" s="155"/>
      <c r="H979" s="155"/>
      <c r="I979" s="155"/>
      <c r="J979" s="155"/>
      <c r="K979" s="155"/>
      <c r="L979" s="155"/>
      <c r="M979" s="155"/>
      <c r="N979" s="155"/>
      <c r="O979" s="155"/>
      <c r="P979" s="155"/>
      <c r="Q979" s="155"/>
      <c r="R979" s="155"/>
      <c r="S979" s="155"/>
      <c r="T979" s="155"/>
      <c r="U979" s="155"/>
      <c r="V979" s="155"/>
      <c r="W979" s="155"/>
      <c r="X979" s="155"/>
      <c r="Y979" s="155"/>
      <c r="Z979" s="155"/>
      <c r="AA979" s="155"/>
      <c r="AB979" s="155"/>
      <c r="AC979" s="155"/>
      <c r="AD979" s="155"/>
      <c r="AE979" s="155"/>
      <c r="AF979" s="155"/>
      <c r="AG979" s="155"/>
      <c r="AH979" s="155"/>
      <c r="AI979" s="155"/>
      <c r="AJ979" s="155"/>
      <c r="AK979" s="155"/>
      <c r="AL979" s="155"/>
      <c r="AM979" s="155"/>
      <c r="AN979" s="155"/>
      <c r="AO979" s="155"/>
      <c r="AP979" s="155"/>
      <c r="AQ979" s="155"/>
      <c r="AR979" s="155"/>
      <c r="AS979" s="155"/>
      <c r="AT979" s="155"/>
      <c r="AU979" s="155"/>
      <c r="AV979" s="155"/>
      <c r="AW979" s="155"/>
      <c r="AX979" s="155"/>
    </row>
    <row r="980" spans="4:50">
      <c r="D980" s="155"/>
      <c r="E980" s="155"/>
      <c r="F980" s="155"/>
      <c r="G980" s="155"/>
      <c r="H980" s="155"/>
      <c r="I980" s="155"/>
      <c r="J980" s="155"/>
      <c r="K980" s="155"/>
      <c r="L980" s="155"/>
      <c r="M980" s="155"/>
      <c r="N980" s="155"/>
      <c r="O980" s="155"/>
      <c r="P980" s="155"/>
      <c r="Q980" s="155"/>
      <c r="R980" s="155"/>
      <c r="S980" s="155"/>
      <c r="T980" s="155"/>
      <c r="U980" s="155"/>
      <c r="V980" s="155"/>
      <c r="W980" s="155"/>
      <c r="X980" s="155"/>
      <c r="Y980" s="155"/>
      <c r="Z980" s="155"/>
      <c r="AA980" s="155"/>
      <c r="AB980" s="155"/>
      <c r="AC980" s="155"/>
      <c r="AD980" s="155"/>
      <c r="AE980" s="155"/>
      <c r="AF980" s="155"/>
      <c r="AG980" s="155"/>
      <c r="AH980" s="155"/>
      <c r="AI980" s="155"/>
      <c r="AJ980" s="155"/>
      <c r="AK980" s="155"/>
      <c r="AL980" s="155"/>
      <c r="AM980" s="155"/>
      <c r="AN980" s="155"/>
      <c r="AO980" s="155"/>
      <c r="AP980" s="155"/>
      <c r="AQ980" s="155"/>
      <c r="AR980" s="155"/>
      <c r="AS980" s="155"/>
      <c r="AT980" s="155"/>
      <c r="AU980" s="155"/>
      <c r="AV980" s="155"/>
      <c r="AW980" s="155"/>
      <c r="AX980" s="155"/>
    </row>
    <row r="981" spans="4:50">
      <c r="D981" s="155"/>
      <c r="E981" s="155"/>
      <c r="F981" s="155"/>
      <c r="G981" s="155"/>
      <c r="H981" s="155"/>
      <c r="I981" s="155"/>
      <c r="J981" s="155"/>
      <c r="K981" s="155"/>
      <c r="L981" s="155"/>
      <c r="M981" s="155"/>
      <c r="N981" s="155"/>
      <c r="O981" s="155"/>
      <c r="P981" s="155"/>
      <c r="Q981" s="155"/>
      <c r="R981" s="155"/>
      <c r="S981" s="155"/>
      <c r="T981" s="155"/>
      <c r="U981" s="155"/>
      <c r="V981" s="155"/>
      <c r="W981" s="155"/>
      <c r="X981" s="155"/>
      <c r="Y981" s="155"/>
      <c r="Z981" s="155"/>
      <c r="AA981" s="155"/>
      <c r="AB981" s="155"/>
      <c r="AC981" s="155"/>
      <c r="AD981" s="155"/>
      <c r="AE981" s="155"/>
      <c r="AF981" s="155"/>
      <c r="AG981" s="155"/>
      <c r="AH981" s="155"/>
      <c r="AI981" s="155"/>
      <c r="AJ981" s="155"/>
      <c r="AK981" s="155"/>
      <c r="AL981" s="155"/>
      <c r="AM981" s="155"/>
      <c r="AN981" s="155"/>
      <c r="AO981" s="155"/>
      <c r="AP981" s="155"/>
      <c r="AQ981" s="155"/>
      <c r="AR981" s="155"/>
      <c r="AS981" s="155"/>
      <c r="AT981" s="155"/>
      <c r="AU981" s="155"/>
      <c r="AV981" s="155"/>
      <c r="AW981" s="155"/>
      <c r="AX981" s="155"/>
    </row>
    <row r="982" spans="4:50">
      <c r="D982" s="155"/>
      <c r="E982" s="155"/>
      <c r="F982" s="155"/>
      <c r="G982" s="155"/>
      <c r="H982" s="155"/>
      <c r="I982" s="155"/>
      <c r="J982" s="155"/>
      <c r="K982" s="155"/>
      <c r="L982" s="155"/>
      <c r="M982" s="155"/>
      <c r="N982" s="155"/>
      <c r="O982" s="155"/>
      <c r="P982" s="155"/>
      <c r="Q982" s="155"/>
      <c r="R982" s="155"/>
      <c r="S982" s="155"/>
      <c r="T982" s="155"/>
      <c r="U982" s="155"/>
      <c r="V982" s="155"/>
      <c r="W982" s="155"/>
      <c r="X982" s="155"/>
      <c r="Y982" s="155"/>
      <c r="Z982" s="155"/>
      <c r="AA982" s="155"/>
      <c r="AB982" s="155"/>
      <c r="AC982" s="155"/>
      <c r="AD982" s="155"/>
      <c r="AE982" s="155"/>
      <c r="AF982" s="155"/>
      <c r="AG982" s="155"/>
      <c r="AH982" s="155"/>
      <c r="AI982" s="155"/>
      <c r="AJ982" s="155"/>
      <c r="AK982" s="155"/>
      <c r="AL982" s="155"/>
      <c r="AM982" s="155"/>
      <c r="AN982" s="155"/>
      <c r="AO982" s="155"/>
      <c r="AP982" s="155"/>
      <c r="AQ982" s="155"/>
      <c r="AR982" s="155"/>
      <c r="AS982" s="155"/>
      <c r="AT982" s="155"/>
      <c r="AU982" s="155"/>
      <c r="AV982" s="155"/>
      <c r="AW982" s="155"/>
      <c r="AX982" s="155"/>
    </row>
    <row r="983" spans="4:50">
      <c r="D983" s="155"/>
      <c r="E983" s="155"/>
      <c r="F983" s="155"/>
      <c r="G983" s="155"/>
      <c r="H983" s="155"/>
      <c r="I983" s="155"/>
      <c r="J983" s="155"/>
      <c r="K983" s="155"/>
      <c r="L983" s="155"/>
      <c r="M983" s="155"/>
      <c r="N983" s="155"/>
      <c r="O983" s="155"/>
      <c r="P983" s="155"/>
      <c r="Q983" s="155"/>
      <c r="R983" s="155"/>
      <c r="S983" s="155"/>
      <c r="T983" s="155"/>
      <c r="U983" s="155"/>
      <c r="V983" s="155"/>
      <c r="W983" s="155"/>
      <c r="X983" s="155"/>
      <c r="Y983" s="155"/>
      <c r="Z983" s="155"/>
      <c r="AA983" s="155"/>
      <c r="AB983" s="155"/>
      <c r="AC983" s="155"/>
      <c r="AD983" s="155"/>
      <c r="AE983" s="155"/>
      <c r="AF983" s="155"/>
      <c r="AG983" s="155"/>
      <c r="AH983" s="155"/>
      <c r="AI983" s="155"/>
      <c r="AJ983" s="155"/>
      <c r="AK983" s="155"/>
      <c r="AL983" s="155"/>
      <c r="AM983" s="155"/>
      <c r="AN983" s="155"/>
      <c r="AO983" s="155"/>
      <c r="AP983" s="155"/>
      <c r="AQ983" s="155"/>
      <c r="AR983" s="155"/>
      <c r="AS983" s="155"/>
      <c r="AT983" s="155"/>
      <c r="AU983" s="155"/>
      <c r="AV983" s="155"/>
      <c r="AW983" s="155"/>
      <c r="AX983" s="155"/>
    </row>
    <row r="984" spans="4:50">
      <c r="D984" s="155"/>
      <c r="E984" s="155"/>
      <c r="F984" s="155"/>
      <c r="G984" s="155"/>
      <c r="H984" s="155"/>
      <c r="I984" s="155"/>
      <c r="J984" s="155"/>
      <c r="K984" s="155"/>
      <c r="L984" s="155"/>
      <c r="M984" s="155"/>
      <c r="N984" s="155"/>
      <c r="O984" s="155"/>
      <c r="P984" s="155"/>
      <c r="Q984" s="155"/>
      <c r="R984" s="155"/>
      <c r="S984" s="155"/>
      <c r="T984" s="155"/>
      <c r="U984" s="155"/>
      <c r="V984" s="155"/>
      <c r="W984" s="155"/>
      <c r="X984" s="155"/>
      <c r="Y984" s="155"/>
      <c r="Z984" s="155"/>
      <c r="AA984" s="155"/>
      <c r="AB984" s="155"/>
      <c r="AC984" s="155"/>
      <c r="AD984" s="155"/>
      <c r="AE984" s="155"/>
      <c r="AF984" s="155"/>
      <c r="AG984" s="155"/>
      <c r="AH984" s="155"/>
      <c r="AI984" s="155"/>
      <c r="AJ984" s="155"/>
      <c r="AK984" s="155"/>
      <c r="AL984" s="155"/>
      <c r="AM984" s="155"/>
      <c r="AN984" s="155"/>
      <c r="AO984" s="155"/>
      <c r="AP984" s="155"/>
      <c r="AQ984" s="155"/>
      <c r="AR984" s="155"/>
      <c r="AS984" s="155"/>
      <c r="AT984" s="155"/>
      <c r="AU984" s="155"/>
      <c r="AV984" s="155"/>
      <c r="AW984" s="155"/>
      <c r="AX984" s="155"/>
    </row>
    <row r="985" spans="4:50">
      <c r="D985" s="155"/>
      <c r="E985" s="155"/>
      <c r="F985" s="155"/>
      <c r="G985" s="155"/>
      <c r="H985" s="155"/>
      <c r="I985" s="155"/>
      <c r="J985" s="155"/>
      <c r="K985" s="155"/>
      <c r="L985" s="155"/>
      <c r="M985" s="155"/>
      <c r="N985" s="155"/>
      <c r="O985" s="155"/>
      <c r="P985" s="155"/>
      <c r="Q985" s="155"/>
      <c r="R985" s="155"/>
      <c r="S985" s="155"/>
      <c r="T985" s="155"/>
      <c r="U985" s="155"/>
      <c r="V985" s="155"/>
      <c r="W985" s="155"/>
      <c r="X985" s="155"/>
      <c r="Y985" s="155"/>
      <c r="Z985" s="155"/>
      <c r="AA985" s="155"/>
      <c r="AB985" s="155"/>
      <c r="AC985" s="155"/>
      <c r="AD985" s="155"/>
      <c r="AE985" s="155"/>
      <c r="AF985" s="155"/>
      <c r="AG985" s="155"/>
      <c r="AH985" s="155"/>
      <c r="AI985" s="155"/>
      <c r="AJ985" s="155"/>
      <c r="AK985" s="155"/>
      <c r="AL985" s="155"/>
      <c r="AM985" s="155"/>
      <c r="AN985" s="155"/>
      <c r="AO985" s="155"/>
      <c r="AP985" s="155"/>
      <c r="AQ985" s="155"/>
      <c r="AR985" s="155"/>
      <c r="AS985" s="155"/>
      <c r="AT985" s="155"/>
      <c r="AU985" s="155"/>
      <c r="AV985" s="155"/>
      <c r="AW985" s="155"/>
      <c r="AX985" s="155"/>
    </row>
    <row r="986" spans="4:50">
      <c r="D986" s="155"/>
      <c r="E986" s="155"/>
      <c r="F986" s="155"/>
      <c r="G986" s="155"/>
      <c r="H986" s="155"/>
      <c r="I986" s="155"/>
      <c r="J986" s="155"/>
      <c r="K986" s="155"/>
      <c r="L986" s="155"/>
      <c r="M986" s="155"/>
      <c r="N986" s="155"/>
      <c r="O986" s="155"/>
      <c r="P986" s="155"/>
      <c r="Q986" s="155"/>
      <c r="R986" s="155"/>
      <c r="S986" s="155"/>
      <c r="T986" s="155"/>
      <c r="U986" s="155"/>
      <c r="V986" s="155"/>
      <c r="W986" s="155"/>
      <c r="X986" s="155"/>
      <c r="Y986" s="155"/>
      <c r="Z986" s="155"/>
      <c r="AA986" s="155"/>
      <c r="AB986" s="155"/>
      <c r="AC986" s="155"/>
      <c r="AD986" s="155"/>
      <c r="AE986" s="155"/>
      <c r="AF986" s="155"/>
      <c r="AG986" s="155"/>
      <c r="AH986" s="155"/>
      <c r="AI986" s="155"/>
      <c r="AJ986" s="155"/>
      <c r="AK986" s="155"/>
      <c r="AL986" s="155"/>
      <c r="AM986" s="155"/>
      <c r="AN986" s="155"/>
      <c r="AO986" s="155"/>
      <c r="AP986" s="155"/>
      <c r="AQ986" s="155"/>
      <c r="AR986" s="155"/>
      <c r="AS986" s="155"/>
      <c r="AT986" s="155"/>
      <c r="AU986" s="155"/>
      <c r="AV986" s="155"/>
      <c r="AW986" s="155"/>
      <c r="AX986" s="155"/>
    </row>
    <row r="987" spans="4:50">
      <c r="D987" s="155"/>
      <c r="E987" s="155"/>
      <c r="F987" s="155"/>
      <c r="G987" s="155"/>
      <c r="H987" s="155"/>
      <c r="I987" s="155"/>
      <c r="J987" s="155"/>
      <c r="K987" s="155"/>
      <c r="L987" s="155"/>
      <c r="M987" s="155"/>
      <c r="N987" s="155"/>
      <c r="O987" s="155"/>
      <c r="P987" s="155"/>
      <c r="Q987" s="155"/>
      <c r="R987" s="155"/>
      <c r="S987" s="155"/>
      <c r="T987" s="155"/>
      <c r="U987" s="155"/>
      <c r="V987" s="155"/>
      <c r="W987" s="155"/>
      <c r="X987" s="155"/>
      <c r="Y987" s="155"/>
      <c r="Z987" s="155"/>
      <c r="AA987" s="155"/>
      <c r="AB987" s="155"/>
      <c r="AC987" s="155"/>
      <c r="AD987" s="155"/>
      <c r="AE987" s="155"/>
      <c r="AF987" s="155"/>
      <c r="AG987" s="155"/>
      <c r="AH987" s="155"/>
      <c r="AI987" s="155"/>
      <c r="AJ987" s="155"/>
      <c r="AK987" s="155"/>
      <c r="AL987" s="155"/>
      <c r="AM987" s="155"/>
      <c r="AN987" s="155"/>
      <c r="AO987" s="155"/>
      <c r="AP987" s="155"/>
      <c r="AQ987" s="155"/>
      <c r="AR987" s="155"/>
      <c r="AS987" s="155"/>
      <c r="AT987" s="155"/>
      <c r="AU987" s="155"/>
      <c r="AV987" s="155"/>
      <c r="AW987" s="155"/>
      <c r="AX987" s="155"/>
    </row>
    <row r="988" spans="4:50">
      <c r="D988" s="155"/>
      <c r="E988" s="155"/>
      <c r="F988" s="155"/>
      <c r="G988" s="155"/>
      <c r="H988" s="155"/>
      <c r="I988" s="155"/>
      <c r="J988" s="155"/>
      <c r="K988" s="155"/>
      <c r="L988" s="155"/>
      <c r="M988" s="155"/>
      <c r="N988" s="155"/>
      <c r="O988" s="155"/>
      <c r="P988" s="155"/>
      <c r="Q988" s="155"/>
      <c r="R988" s="155"/>
      <c r="S988" s="155"/>
      <c r="T988" s="155"/>
      <c r="U988" s="155"/>
      <c r="V988" s="155"/>
      <c r="W988" s="155"/>
      <c r="X988" s="155"/>
      <c r="Y988" s="155"/>
      <c r="Z988" s="155"/>
      <c r="AA988" s="155"/>
      <c r="AB988" s="155"/>
      <c r="AC988" s="155"/>
      <c r="AD988" s="155"/>
      <c r="AE988" s="155"/>
      <c r="AF988" s="155"/>
      <c r="AG988" s="155"/>
      <c r="AH988" s="155"/>
      <c r="AI988" s="155"/>
      <c r="AJ988" s="155"/>
      <c r="AK988" s="155"/>
      <c r="AL988" s="155"/>
      <c r="AM988" s="155"/>
      <c r="AN988" s="155"/>
      <c r="AO988" s="155"/>
      <c r="AP988" s="155"/>
      <c r="AQ988" s="155"/>
      <c r="AR988" s="155"/>
      <c r="AS988" s="155"/>
      <c r="AT988" s="155"/>
      <c r="AU988" s="155"/>
      <c r="AV988" s="155"/>
      <c r="AW988" s="155"/>
      <c r="AX988" s="155"/>
    </row>
    <row r="989" spans="4:50">
      <c r="D989" s="155"/>
      <c r="E989" s="155"/>
      <c r="F989" s="155"/>
      <c r="G989" s="155"/>
      <c r="H989" s="155"/>
      <c r="I989" s="155"/>
      <c r="J989" s="155"/>
      <c r="K989" s="155"/>
      <c r="L989" s="155"/>
      <c r="M989" s="155"/>
      <c r="N989" s="155"/>
      <c r="O989" s="155"/>
      <c r="P989" s="155"/>
      <c r="Q989" s="155"/>
      <c r="R989" s="155"/>
      <c r="S989" s="155"/>
      <c r="T989" s="155"/>
      <c r="U989" s="155"/>
      <c r="V989" s="155"/>
      <c r="W989" s="155"/>
      <c r="X989" s="155"/>
      <c r="Y989" s="155"/>
      <c r="Z989" s="155"/>
      <c r="AA989" s="155"/>
      <c r="AB989" s="155"/>
      <c r="AC989" s="155"/>
      <c r="AD989" s="155"/>
      <c r="AE989" s="155"/>
      <c r="AF989" s="155"/>
      <c r="AG989" s="155"/>
      <c r="AH989" s="155"/>
      <c r="AI989" s="155"/>
      <c r="AJ989" s="155"/>
      <c r="AK989" s="155"/>
      <c r="AL989" s="155"/>
      <c r="AM989" s="155"/>
      <c r="AN989" s="155"/>
      <c r="AO989" s="155"/>
      <c r="AP989" s="155"/>
      <c r="AQ989" s="155"/>
      <c r="AR989" s="155"/>
      <c r="AS989" s="155"/>
      <c r="AT989" s="155"/>
      <c r="AU989" s="155"/>
      <c r="AV989" s="155"/>
      <c r="AW989" s="155"/>
      <c r="AX989" s="155"/>
    </row>
    <row r="990" spans="4:50">
      <c r="D990" s="155"/>
      <c r="E990" s="155"/>
      <c r="F990" s="155"/>
      <c r="G990" s="155"/>
      <c r="H990" s="155"/>
      <c r="I990" s="155"/>
      <c r="J990" s="155"/>
      <c r="K990" s="155"/>
      <c r="L990" s="155"/>
      <c r="M990" s="155"/>
      <c r="N990" s="155"/>
      <c r="O990" s="155"/>
      <c r="P990" s="155"/>
      <c r="Q990" s="155"/>
      <c r="R990" s="155"/>
      <c r="S990" s="155"/>
      <c r="T990" s="155"/>
      <c r="U990" s="155"/>
      <c r="V990" s="155"/>
      <c r="W990" s="155"/>
      <c r="X990" s="155"/>
      <c r="Y990" s="155"/>
      <c r="Z990" s="155"/>
      <c r="AA990" s="155"/>
      <c r="AB990" s="155"/>
      <c r="AC990" s="155"/>
      <c r="AD990" s="155"/>
      <c r="AE990" s="155"/>
      <c r="AF990" s="155"/>
      <c r="AG990" s="155"/>
      <c r="AH990" s="155"/>
      <c r="AI990" s="155"/>
      <c r="AJ990" s="155"/>
      <c r="AK990" s="155"/>
      <c r="AL990" s="155"/>
      <c r="AM990" s="155"/>
      <c r="AN990" s="155"/>
      <c r="AO990" s="155"/>
      <c r="AP990" s="155"/>
      <c r="AQ990" s="155"/>
      <c r="AR990" s="155"/>
      <c r="AS990" s="155"/>
      <c r="AT990" s="155"/>
      <c r="AU990" s="155"/>
      <c r="AV990" s="155"/>
      <c r="AW990" s="155"/>
      <c r="AX990" s="155"/>
    </row>
    <row r="991" spans="4:50">
      <c r="D991" s="155"/>
      <c r="E991" s="155"/>
      <c r="F991" s="155"/>
      <c r="G991" s="155"/>
      <c r="H991" s="155"/>
      <c r="I991" s="155"/>
      <c r="J991" s="155"/>
      <c r="K991" s="155"/>
      <c r="L991" s="155"/>
      <c r="M991" s="155"/>
      <c r="N991" s="155"/>
      <c r="O991" s="155"/>
      <c r="P991" s="155"/>
      <c r="Q991" s="155"/>
      <c r="R991" s="155"/>
      <c r="S991" s="155"/>
      <c r="T991" s="155"/>
      <c r="U991" s="155"/>
      <c r="V991" s="155"/>
      <c r="W991" s="155"/>
      <c r="X991" s="155"/>
      <c r="Y991" s="155"/>
      <c r="Z991" s="155"/>
      <c r="AA991" s="155"/>
      <c r="AB991" s="155"/>
      <c r="AC991" s="155"/>
      <c r="AD991" s="155"/>
      <c r="AE991" s="155"/>
      <c r="AF991" s="155"/>
      <c r="AG991" s="155"/>
      <c r="AH991" s="155"/>
      <c r="AI991" s="155"/>
      <c r="AJ991" s="155"/>
      <c r="AK991" s="155"/>
      <c r="AL991" s="155"/>
      <c r="AM991" s="155"/>
      <c r="AN991" s="155"/>
      <c r="AO991" s="155"/>
      <c r="AP991" s="155"/>
      <c r="AQ991" s="155"/>
      <c r="AR991" s="155"/>
      <c r="AS991" s="155"/>
      <c r="AT991" s="155"/>
      <c r="AU991" s="155"/>
      <c r="AV991" s="155"/>
      <c r="AW991" s="155"/>
      <c r="AX991" s="155"/>
    </row>
    <row r="992" spans="4:50">
      <c r="D992" s="155"/>
      <c r="E992" s="155"/>
      <c r="F992" s="155"/>
      <c r="G992" s="155"/>
      <c r="H992" s="155"/>
      <c r="I992" s="155"/>
      <c r="J992" s="155"/>
      <c r="K992" s="155"/>
      <c r="L992" s="155"/>
      <c r="M992" s="155"/>
      <c r="N992" s="155"/>
      <c r="O992" s="155"/>
      <c r="P992" s="155"/>
      <c r="Q992" s="155"/>
      <c r="R992" s="155"/>
      <c r="S992" s="155"/>
      <c r="T992" s="155"/>
      <c r="U992" s="155"/>
      <c r="V992" s="155"/>
      <c r="W992" s="155"/>
      <c r="X992" s="155"/>
      <c r="Y992" s="155"/>
      <c r="Z992" s="155"/>
      <c r="AA992" s="155"/>
      <c r="AB992" s="155"/>
      <c r="AC992" s="155"/>
      <c r="AD992" s="155"/>
      <c r="AE992" s="155"/>
      <c r="AF992" s="155"/>
      <c r="AG992" s="155"/>
      <c r="AH992" s="155"/>
      <c r="AI992" s="155"/>
      <c r="AJ992" s="155"/>
      <c r="AK992" s="155"/>
      <c r="AL992" s="155"/>
      <c r="AM992" s="155"/>
      <c r="AN992" s="155"/>
      <c r="AO992" s="155"/>
      <c r="AP992" s="155"/>
      <c r="AQ992" s="155"/>
      <c r="AR992" s="155"/>
      <c r="AS992" s="155"/>
      <c r="AT992" s="155"/>
      <c r="AU992" s="155"/>
      <c r="AV992" s="155"/>
      <c r="AW992" s="155"/>
      <c r="AX992" s="155"/>
    </row>
    <row r="993" spans="4:50">
      <c r="D993" s="155"/>
      <c r="E993" s="155"/>
      <c r="F993" s="155"/>
      <c r="G993" s="155"/>
      <c r="H993" s="155"/>
      <c r="I993" s="155"/>
      <c r="J993" s="155"/>
      <c r="K993" s="155"/>
      <c r="L993" s="155"/>
      <c r="M993" s="155"/>
      <c r="N993" s="155"/>
      <c r="O993" s="155"/>
      <c r="P993" s="155"/>
      <c r="Q993" s="155"/>
      <c r="R993" s="155"/>
      <c r="S993" s="155"/>
      <c r="T993" s="155"/>
      <c r="U993" s="155"/>
      <c r="V993" s="155"/>
      <c r="W993" s="155"/>
      <c r="X993" s="155"/>
      <c r="Y993" s="155"/>
      <c r="Z993" s="155"/>
      <c r="AA993" s="155"/>
      <c r="AB993" s="155"/>
      <c r="AC993" s="155"/>
      <c r="AD993" s="155"/>
      <c r="AE993" s="155"/>
      <c r="AF993" s="155"/>
      <c r="AG993" s="155"/>
      <c r="AH993" s="155"/>
      <c r="AI993" s="155"/>
      <c r="AJ993" s="155"/>
      <c r="AK993" s="155"/>
      <c r="AL993" s="155"/>
      <c r="AM993" s="155"/>
      <c r="AN993" s="155"/>
      <c r="AO993" s="155"/>
      <c r="AP993" s="155"/>
      <c r="AQ993" s="155"/>
      <c r="AR993" s="155"/>
      <c r="AS993" s="155"/>
      <c r="AT993" s="155"/>
      <c r="AU993" s="155"/>
      <c r="AV993" s="155"/>
      <c r="AW993" s="155"/>
      <c r="AX993" s="155"/>
    </row>
    <row r="994" spans="4:50">
      <c r="D994" s="155"/>
      <c r="E994" s="155"/>
      <c r="F994" s="155"/>
      <c r="G994" s="155"/>
      <c r="H994" s="155"/>
      <c r="I994" s="155"/>
      <c r="J994" s="155"/>
      <c r="K994" s="155"/>
      <c r="L994" s="155"/>
      <c r="M994" s="155"/>
      <c r="N994" s="155"/>
      <c r="O994" s="155"/>
      <c r="P994" s="155"/>
      <c r="Q994" s="155"/>
      <c r="R994" s="155"/>
      <c r="S994" s="155"/>
      <c r="T994" s="155"/>
      <c r="U994" s="155"/>
      <c r="V994" s="155"/>
      <c r="W994" s="155"/>
      <c r="X994" s="155"/>
      <c r="Y994" s="155"/>
      <c r="Z994" s="155"/>
      <c r="AA994" s="155"/>
      <c r="AB994" s="155"/>
      <c r="AC994" s="155"/>
      <c r="AD994" s="155"/>
      <c r="AE994" s="155"/>
      <c r="AF994" s="155"/>
      <c r="AG994" s="155"/>
      <c r="AH994" s="155"/>
      <c r="AI994" s="155"/>
      <c r="AJ994" s="155"/>
      <c r="AK994" s="155"/>
      <c r="AL994" s="155"/>
      <c r="AM994" s="155"/>
      <c r="AN994" s="155"/>
      <c r="AO994" s="155"/>
      <c r="AP994" s="155"/>
      <c r="AQ994" s="155"/>
      <c r="AR994" s="155"/>
      <c r="AS994" s="155"/>
      <c r="AT994" s="155"/>
      <c r="AU994" s="155"/>
      <c r="AV994" s="155"/>
      <c r="AW994" s="155"/>
      <c r="AX994" s="155"/>
    </row>
    <row r="995" spans="4:50">
      <c r="D995" s="155"/>
      <c r="E995" s="155"/>
      <c r="F995" s="155"/>
      <c r="G995" s="155"/>
      <c r="H995" s="155"/>
      <c r="I995" s="155"/>
      <c r="J995" s="155"/>
      <c r="K995" s="155"/>
      <c r="L995" s="155"/>
      <c r="M995" s="155"/>
      <c r="N995" s="155"/>
      <c r="O995" s="155"/>
      <c r="P995" s="155"/>
      <c r="Q995" s="155"/>
      <c r="R995" s="155"/>
      <c r="S995" s="155"/>
      <c r="T995" s="155"/>
      <c r="U995" s="155"/>
      <c r="V995" s="155"/>
      <c r="W995" s="155"/>
      <c r="X995" s="155"/>
      <c r="Y995" s="155"/>
      <c r="Z995" s="155"/>
      <c r="AA995" s="155"/>
      <c r="AB995" s="155"/>
      <c r="AC995" s="155"/>
      <c r="AD995" s="155"/>
      <c r="AE995" s="155"/>
      <c r="AF995" s="155"/>
      <c r="AG995" s="155"/>
      <c r="AH995" s="155"/>
      <c r="AI995" s="155"/>
      <c r="AJ995" s="155"/>
      <c r="AK995" s="155"/>
      <c r="AL995" s="155"/>
      <c r="AM995" s="155"/>
      <c r="AN995" s="155"/>
      <c r="AO995" s="155"/>
      <c r="AP995" s="155"/>
      <c r="AQ995" s="155"/>
      <c r="AR995" s="155"/>
      <c r="AS995" s="155"/>
      <c r="AT995" s="155"/>
      <c r="AU995" s="155"/>
      <c r="AV995" s="155"/>
      <c r="AW995" s="155"/>
      <c r="AX995" s="155"/>
    </row>
    <row r="996" spans="4:50">
      <c r="D996" s="155"/>
      <c r="E996" s="155"/>
      <c r="F996" s="155"/>
      <c r="G996" s="155"/>
      <c r="H996" s="155"/>
      <c r="I996" s="155"/>
      <c r="J996" s="155"/>
      <c r="K996" s="155"/>
      <c r="L996" s="155"/>
      <c r="M996" s="155"/>
      <c r="N996" s="155"/>
      <c r="O996" s="155"/>
      <c r="P996" s="155"/>
      <c r="Q996" s="155"/>
      <c r="R996" s="155"/>
      <c r="S996" s="155"/>
      <c r="T996" s="155"/>
      <c r="U996" s="155"/>
      <c r="V996" s="155"/>
      <c r="W996" s="155"/>
      <c r="X996" s="155"/>
      <c r="Y996" s="155"/>
      <c r="Z996" s="155"/>
      <c r="AA996" s="155"/>
      <c r="AB996" s="155"/>
      <c r="AC996" s="155"/>
      <c r="AD996" s="155"/>
      <c r="AE996" s="155"/>
      <c r="AF996" s="155"/>
      <c r="AG996" s="155"/>
      <c r="AH996" s="155"/>
      <c r="AI996" s="155"/>
      <c r="AJ996" s="155"/>
      <c r="AK996" s="155"/>
      <c r="AL996" s="155"/>
      <c r="AM996" s="155"/>
      <c r="AN996" s="155"/>
      <c r="AO996" s="155"/>
      <c r="AP996" s="155"/>
      <c r="AQ996" s="155"/>
      <c r="AR996" s="155"/>
      <c r="AS996" s="155"/>
      <c r="AT996" s="155"/>
      <c r="AU996" s="155"/>
      <c r="AV996" s="155"/>
      <c r="AW996" s="155"/>
      <c r="AX996" s="155"/>
    </row>
    <row r="997" spans="4:50">
      <c r="D997" s="155"/>
      <c r="E997" s="155"/>
      <c r="F997" s="155"/>
      <c r="G997" s="155"/>
      <c r="H997" s="155"/>
      <c r="I997" s="155"/>
      <c r="J997" s="155"/>
      <c r="K997" s="155"/>
      <c r="L997" s="155"/>
      <c r="M997" s="155"/>
      <c r="N997" s="155"/>
      <c r="O997" s="155"/>
      <c r="P997" s="155"/>
      <c r="Q997" s="155"/>
      <c r="R997" s="155"/>
      <c r="S997" s="155"/>
      <c r="T997" s="155"/>
      <c r="U997" s="155"/>
      <c r="V997" s="155"/>
      <c r="W997" s="155"/>
      <c r="X997" s="155"/>
      <c r="Y997" s="155"/>
      <c r="Z997" s="155"/>
      <c r="AA997" s="155"/>
      <c r="AB997" s="155"/>
      <c r="AC997" s="155"/>
      <c r="AD997" s="155"/>
      <c r="AE997" s="155"/>
      <c r="AF997" s="155"/>
      <c r="AG997" s="155"/>
      <c r="AH997" s="155"/>
      <c r="AI997" s="155"/>
      <c r="AJ997" s="155"/>
      <c r="AK997" s="155"/>
      <c r="AL997" s="155"/>
      <c r="AM997" s="155"/>
      <c r="AN997" s="155"/>
      <c r="AO997" s="155"/>
      <c r="AP997" s="155"/>
      <c r="AQ997" s="155"/>
      <c r="AR997" s="155"/>
      <c r="AS997" s="155"/>
      <c r="AT997" s="155"/>
      <c r="AU997" s="155"/>
      <c r="AV997" s="155"/>
      <c r="AW997" s="155"/>
      <c r="AX997" s="155"/>
    </row>
    <row r="998" spans="4:50">
      <c r="D998" s="155"/>
      <c r="E998" s="155"/>
      <c r="F998" s="155"/>
      <c r="G998" s="155"/>
      <c r="H998" s="155"/>
      <c r="I998" s="155"/>
      <c r="J998" s="155"/>
      <c r="K998" s="155"/>
      <c r="L998" s="155"/>
      <c r="M998" s="155"/>
      <c r="N998" s="155"/>
      <c r="O998" s="155"/>
      <c r="P998" s="155"/>
      <c r="Q998" s="155"/>
      <c r="R998" s="155"/>
      <c r="S998" s="155"/>
      <c r="T998" s="155"/>
      <c r="U998" s="155"/>
      <c r="V998" s="155"/>
      <c r="W998" s="155"/>
      <c r="X998" s="155"/>
      <c r="Y998" s="155"/>
      <c r="Z998" s="155"/>
      <c r="AA998" s="155"/>
      <c r="AB998" s="155"/>
      <c r="AC998" s="155"/>
      <c r="AD998" s="155"/>
      <c r="AE998" s="155"/>
      <c r="AF998" s="155"/>
      <c r="AG998" s="155"/>
      <c r="AH998" s="155"/>
      <c r="AI998" s="155"/>
      <c r="AJ998" s="155"/>
      <c r="AK998" s="155"/>
      <c r="AL998" s="155"/>
      <c r="AM998" s="155"/>
      <c r="AN998" s="155"/>
      <c r="AO998" s="155"/>
      <c r="AP998" s="155"/>
      <c r="AQ998" s="155"/>
      <c r="AR998" s="155"/>
      <c r="AS998" s="155"/>
      <c r="AT998" s="155"/>
      <c r="AU998" s="155"/>
      <c r="AV998" s="155"/>
      <c r="AW998" s="155"/>
      <c r="AX998" s="155"/>
    </row>
    <row r="999" spans="4:50">
      <c r="D999" s="155"/>
      <c r="E999" s="155"/>
      <c r="F999" s="155"/>
      <c r="G999" s="155"/>
      <c r="H999" s="155"/>
      <c r="I999" s="155"/>
      <c r="J999" s="155"/>
      <c r="K999" s="155"/>
      <c r="L999" s="155"/>
      <c r="M999" s="155"/>
      <c r="N999" s="155"/>
      <c r="O999" s="155"/>
      <c r="P999" s="155"/>
      <c r="Q999" s="155"/>
      <c r="R999" s="155"/>
      <c r="S999" s="155"/>
      <c r="T999" s="155"/>
      <c r="U999" s="155"/>
      <c r="V999" s="155"/>
      <c r="W999" s="155"/>
      <c r="X999" s="155"/>
      <c r="Y999" s="155"/>
      <c r="Z999" s="155"/>
      <c r="AA999" s="155"/>
      <c r="AB999" s="155"/>
      <c r="AC999" s="155"/>
      <c r="AD999" s="155"/>
      <c r="AE999" s="155"/>
      <c r="AF999" s="155"/>
      <c r="AG999" s="155"/>
      <c r="AH999" s="155"/>
      <c r="AI999" s="155"/>
      <c r="AJ999" s="155"/>
      <c r="AK999" s="155"/>
      <c r="AL999" s="155"/>
      <c r="AM999" s="155"/>
      <c r="AN999" s="155"/>
      <c r="AO999" s="155"/>
      <c r="AP999" s="155"/>
      <c r="AQ999" s="155"/>
      <c r="AR999" s="155"/>
      <c r="AS999" s="155"/>
      <c r="AT999" s="155"/>
      <c r="AU999" s="155"/>
      <c r="AV999" s="155"/>
      <c r="AW999" s="155"/>
      <c r="AX999" s="155"/>
    </row>
    <row r="1000" spans="4:50">
      <c r="D1000" s="155"/>
      <c r="E1000" s="155"/>
      <c r="F1000" s="155"/>
      <c r="G1000" s="155"/>
      <c r="H1000" s="155"/>
      <c r="I1000" s="155"/>
      <c r="J1000" s="155"/>
      <c r="K1000" s="155"/>
      <c r="L1000" s="155"/>
      <c r="M1000" s="155"/>
      <c r="N1000" s="155"/>
      <c r="O1000" s="155"/>
      <c r="P1000" s="155"/>
      <c r="Q1000" s="155"/>
      <c r="R1000" s="155"/>
      <c r="S1000" s="155"/>
      <c r="T1000" s="155"/>
      <c r="U1000" s="155"/>
      <c r="V1000" s="155"/>
      <c r="W1000" s="155"/>
      <c r="X1000" s="155"/>
      <c r="Y1000" s="155"/>
      <c r="Z1000" s="155"/>
      <c r="AA1000" s="155"/>
      <c r="AB1000" s="155"/>
      <c r="AC1000" s="155"/>
      <c r="AD1000" s="155"/>
      <c r="AE1000" s="155"/>
      <c r="AF1000" s="155"/>
      <c r="AG1000" s="155"/>
      <c r="AH1000" s="155"/>
      <c r="AI1000" s="155"/>
      <c r="AJ1000" s="155"/>
      <c r="AK1000" s="155"/>
      <c r="AL1000" s="155"/>
      <c r="AM1000" s="155"/>
      <c r="AN1000" s="155"/>
      <c r="AO1000" s="155"/>
      <c r="AP1000" s="155"/>
      <c r="AQ1000" s="155"/>
      <c r="AR1000" s="155"/>
      <c r="AS1000" s="155"/>
      <c r="AT1000" s="155"/>
      <c r="AU1000" s="155"/>
      <c r="AV1000" s="155"/>
      <c r="AW1000" s="155"/>
      <c r="AX1000" s="155"/>
    </row>
    <row r="1001" spans="4:50">
      <c r="D1001" s="155"/>
      <c r="E1001" s="155"/>
      <c r="F1001" s="155"/>
      <c r="G1001" s="155"/>
      <c r="H1001" s="155"/>
      <c r="I1001" s="155"/>
      <c r="J1001" s="155"/>
      <c r="K1001" s="155"/>
      <c r="L1001" s="155"/>
      <c r="M1001" s="155"/>
      <c r="N1001" s="155"/>
      <c r="O1001" s="155"/>
      <c r="P1001" s="155"/>
      <c r="Q1001" s="155"/>
      <c r="R1001" s="155"/>
      <c r="S1001" s="155"/>
      <c r="T1001" s="155"/>
      <c r="U1001" s="155"/>
      <c r="V1001" s="155"/>
      <c r="W1001" s="155"/>
      <c r="X1001" s="155"/>
      <c r="Y1001" s="155"/>
      <c r="Z1001" s="155"/>
      <c r="AA1001" s="155"/>
      <c r="AB1001" s="155"/>
      <c r="AC1001" s="155"/>
      <c r="AD1001" s="155"/>
      <c r="AE1001" s="155"/>
      <c r="AF1001" s="155"/>
      <c r="AG1001" s="155"/>
      <c r="AH1001" s="155"/>
      <c r="AI1001" s="155"/>
      <c r="AJ1001" s="155"/>
      <c r="AK1001" s="155"/>
      <c r="AL1001" s="155"/>
      <c r="AM1001" s="155"/>
      <c r="AN1001" s="155"/>
      <c r="AO1001" s="155"/>
      <c r="AP1001" s="155"/>
      <c r="AQ1001" s="155"/>
      <c r="AR1001" s="155"/>
      <c r="AS1001" s="155"/>
      <c r="AT1001" s="155"/>
      <c r="AU1001" s="155"/>
      <c r="AV1001" s="155"/>
      <c r="AW1001" s="155"/>
      <c r="AX1001" s="155"/>
    </row>
    <row r="1002" spans="4:50">
      <c r="D1002" s="155"/>
      <c r="E1002" s="155"/>
      <c r="F1002" s="155"/>
      <c r="G1002" s="155"/>
      <c r="H1002" s="155"/>
      <c r="I1002" s="155"/>
      <c r="J1002" s="155"/>
      <c r="K1002" s="155"/>
      <c r="L1002" s="155"/>
      <c r="M1002" s="155"/>
      <c r="N1002" s="155"/>
      <c r="O1002" s="155"/>
      <c r="P1002" s="155"/>
      <c r="Q1002" s="155"/>
      <c r="R1002" s="155"/>
      <c r="S1002" s="155"/>
      <c r="T1002" s="155"/>
      <c r="U1002" s="155"/>
      <c r="V1002" s="155"/>
      <c r="W1002" s="155"/>
      <c r="X1002" s="155"/>
      <c r="Y1002" s="155"/>
      <c r="Z1002" s="155"/>
      <c r="AA1002" s="155"/>
      <c r="AB1002" s="155"/>
      <c r="AC1002" s="155"/>
      <c r="AD1002" s="155"/>
      <c r="AE1002" s="155"/>
      <c r="AF1002" s="155"/>
      <c r="AG1002" s="155"/>
      <c r="AH1002" s="155"/>
      <c r="AI1002" s="155"/>
      <c r="AJ1002" s="155"/>
      <c r="AK1002" s="155"/>
      <c r="AL1002" s="155"/>
      <c r="AM1002" s="155"/>
      <c r="AN1002" s="155"/>
      <c r="AO1002" s="155"/>
      <c r="AP1002" s="155"/>
      <c r="AQ1002" s="155"/>
      <c r="AR1002" s="155"/>
      <c r="AS1002" s="155"/>
      <c r="AT1002" s="155"/>
      <c r="AU1002" s="155"/>
      <c r="AV1002" s="155"/>
      <c r="AW1002" s="155"/>
      <c r="AX1002" s="155"/>
    </row>
    <row r="1003" spans="4:50">
      <c r="D1003" s="155"/>
      <c r="E1003" s="155"/>
      <c r="F1003" s="155"/>
      <c r="G1003" s="155"/>
      <c r="H1003" s="155"/>
      <c r="I1003" s="155"/>
      <c r="J1003" s="155"/>
      <c r="K1003" s="155"/>
      <c r="L1003" s="155"/>
      <c r="M1003" s="155"/>
      <c r="N1003" s="155"/>
      <c r="O1003" s="155"/>
      <c r="P1003" s="155"/>
      <c r="Q1003" s="155"/>
      <c r="R1003" s="155"/>
      <c r="S1003" s="155"/>
      <c r="T1003" s="155"/>
      <c r="U1003" s="155"/>
      <c r="V1003" s="155"/>
      <c r="W1003" s="155"/>
      <c r="X1003" s="155"/>
      <c r="Y1003" s="155"/>
      <c r="Z1003" s="155"/>
      <c r="AA1003" s="155"/>
      <c r="AB1003" s="155"/>
      <c r="AC1003" s="155"/>
      <c r="AD1003" s="155"/>
      <c r="AE1003" s="155"/>
      <c r="AF1003" s="155"/>
      <c r="AG1003" s="155"/>
      <c r="AH1003" s="155"/>
      <c r="AI1003" s="155"/>
      <c r="AJ1003" s="155"/>
      <c r="AK1003" s="155"/>
      <c r="AL1003" s="155"/>
      <c r="AM1003" s="155"/>
      <c r="AN1003" s="155"/>
      <c r="AO1003" s="155"/>
      <c r="AP1003" s="155"/>
      <c r="AQ1003" s="155"/>
      <c r="AR1003" s="155"/>
      <c r="AS1003" s="155"/>
      <c r="AT1003" s="155"/>
      <c r="AU1003" s="155"/>
      <c r="AV1003" s="155"/>
      <c r="AW1003" s="155"/>
      <c r="AX1003" s="155"/>
    </row>
    <row r="1004" spans="4:50">
      <c r="D1004" s="155"/>
      <c r="E1004" s="155"/>
      <c r="F1004" s="155"/>
      <c r="G1004" s="155"/>
      <c r="H1004" s="155"/>
      <c r="I1004" s="155"/>
      <c r="J1004" s="155"/>
      <c r="K1004" s="155"/>
      <c r="L1004" s="155"/>
      <c r="M1004" s="155"/>
      <c r="N1004" s="155"/>
      <c r="O1004" s="155"/>
      <c r="P1004" s="155"/>
      <c r="Q1004" s="155"/>
      <c r="R1004" s="155"/>
      <c r="S1004" s="155"/>
      <c r="T1004" s="155"/>
      <c r="U1004" s="155"/>
      <c r="V1004" s="155"/>
      <c r="W1004" s="155"/>
      <c r="X1004" s="155"/>
      <c r="Y1004" s="155"/>
      <c r="Z1004" s="155"/>
      <c r="AA1004" s="155"/>
      <c r="AB1004" s="155"/>
      <c r="AC1004" s="155"/>
      <c r="AD1004" s="155"/>
      <c r="AE1004" s="155"/>
      <c r="AF1004" s="155"/>
      <c r="AG1004" s="155"/>
      <c r="AH1004" s="155"/>
      <c r="AI1004" s="155"/>
      <c r="AJ1004" s="155"/>
      <c r="AK1004" s="155"/>
      <c r="AL1004" s="155"/>
      <c r="AM1004" s="155"/>
      <c r="AN1004" s="155"/>
      <c r="AO1004" s="155"/>
      <c r="AP1004" s="155"/>
      <c r="AQ1004" s="155"/>
      <c r="AR1004" s="155"/>
      <c r="AS1004" s="155"/>
      <c r="AT1004" s="155"/>
      <c r="AU1004" s="155"/>
      <c r="AV1004" s="155"/>
      <c r="AW1004" s="155"/>
      <c r="AX1004" s="155"/>
    </row>
    <row r="1005" spans="4:50">
      <c r="D1005" s="155"/>
      <c r="E1005" s="155"/>
      <c r="F1005" s="155"/>
      <c r="G1005" s="155"/>
      <c r="H1005" s="155"/>
      <c r="I1005" s="155"/>
      <c r="J1005" s="155"/>
      <c r="K1005" s="155"/>
      <c r="L1005" s="155"/>
      <c r="M1005" s="155"/>
      <c r="N1005" s="155"/>
      <c r="O1005" s="155"/>
      <c r="P1005" s="155"/>
      <c r="Q1005" s="155"/>
      <c r="R1005" s="155"/>
      <c r="S1005" s="155"/>
      <c r="T1005" s="155"/>
      <c r="U1005" s="155"/>
      <c r="V1005" s="155"/>
      <c r="W1005" s="155"/>
      <c r="X1005" s="155"/>
      <c r="Y1005" s="155"/>
      <c r="Z1005" s="155"/>
      <c r="AA1005" s="155"/>
      <c r="AB1005" s="155"/>
      <c r="AC1005" s="155"/>
      <c r="AD1005" s="155"/>
      <c r="AE1005" s="155"/>
      <c r="AF1005" s="155"/>
      <c r="AG1005" s="155"/>
      <c r="AH1005" s="155"/>
      <c r="AI1005" s="155"/>
      <c r="AJ1005" s="155"/>
      <c r="AK1005" s="155"/>
      <c r="AL1005" s="155"/>
      <c r="AM1005" s="155"/>
      <c r="AN1005" s="155"/>
      <c r="AO1005" s="155"/>
      <c r="AP1005" s="155"/>
      <c r="AQ1005" s="155"/>
      <c r="AR1005" s="155"/>
      <c r="AS1005" s="155"/>
      <c r="AT1005" s="155"/>
      <c r="AU1005" s="155"/>
      <c r="AV1005" s="155"/>
      <c r="AW1005" s="155"/>
      <c r="AX1005" s="155"/>
    </row>
    <row r="1006" spans="4:50">
      <c r="D1006" s="155"/>
      <c r="E1006" s="155"/>
      <c r="F1006" s="155"/>
      <c r="G1006" s="155"/>
      <c r="H1006" s="155"/>
      <c r="I1006" s="155"/>
      <c r="J1006" s="155"/>
      <c r="K1006" s="155"/>
      <c r="L1006" s="155"/>
      <c r="M1006" s="155"/>
      <c r="N1006" s="155"/>
      <c r="O1006" s="155"/>
      <c r="P1006" s="155"/>
      <c r="Q1006" s="155"/>
      <c r="R1006" s="155"/>
      <c r="S1006" s="155"/>
      <c r="T1006" s="155"/>
      <c r="U1006" s="155"/>
      <c r="V1006" s="155"/>
      <c r="W1006" s="155"/>
      <c r="X1006" s="155"/>
      <c r="Y1006" s="155"/>
      <c r="Z1006" s="155"/>
      <c r="AA1006" s="155"/>
      <c r="AB1006" s="155"/>
      <c r="AC1006" s="155"/>
      <c r="AD1006" s="155"/>
      <c r="AE1006" s="155"/>
      <c r="AF1006" s="155"/>
      <c r="AG1006" s="155"/>
      <c r="AH1006" s="155"/>
      <c r="AI1006" s="155"/>
      <c r="AJ1006" s="155"/>
      <c r="AK1006" s="155"/>
      <c r="AL1006" s="155"/>
      <c r="AM1006" s="155"/>
      <c r="AN1006" s="155"/>
      <c r="AO1006" s="155"/>
      <c r="AP1006" s="155"/>
      <c r="AQ1006" s="155"/>
      <c r="AR1006" s="155"/>
      <c r="AS1006" s="155"/>
      <c r="AT1006" s="155"/>
      <c r="AU1006" s="155"/>
      <c r="AV1006" s="155"/>
      <c r="AW1006" s="155"/>
      <c r="AX1006" s="155"/>
    </row>
    <row r="1007" spans="4:50">
      <c r="D1007" s="155"/>
      <c r="E1007" s="155"/>
      <c r="F1007" s="155"/>
      <c r="G1007" s="155"/>
      <c r="H1007" s="155"/>
      <c r="I1007" s="155"/>
      <c r="J1007" s="155"/>
      <c r="K1007" s="155"/>
      <c r="L1007" s="155"/>
      <c r="M1007" s="155"/>
      <c r="N1007" s="155"/>
      <c r="O1007" s="155"/>
      <c r="P1007" s="155"/>
      <c r="Q1007" s="155"/>
      <c r="R1007" s="155"/>
      <c r="S1007" s="155"/>
      <c r="T1007" s="155"/>
      <c r="U1007" s="155"/>
      <c r="V1007" s="155"/>
      <c r="W1007" s="155"/>
      <c r="X1007" s="155"/>
      <c r="Y1007" s="155"/>
      <c r="Z1007" s="155"/>
      <c r="AA1007" s="155"/>
      <c r="AB1007" s="155"/>
      <c r="AC1007" s="155"/>
      <c r="AD1007" s="155"/>
      <c r="AE1007" s="155"/>
      <c r="AF1007" s="155"/>
      <c r="AG1007" s="155"/>
      <c r="AH1007" s="155"/>
      <c r="AI1007" s="155"/>
      <c r="AJ1007" s="155"/>
      <c r="AK1007" s="155"/>
      <c r="AL1007" s="155"/>
      <c r="AM1007" s="155"/>
      <c r="AN1007" s="155"/>
      <c r="AO1007" s="155"/>
      <c r="AP1007" s="155"/>
      <c r="AQ1007" s="155"/>
      <c r="AR1007" s="155"/>
      <c r="AS1007" s="155"/>
      <c r="AT1007" s="155"/>
      <c r="AU1007" s="155"/>
      <c r="AV1007" s="155"/>
      <c r="AW1007" s="155"/>
      <c r="AX1007" s="155"/>
    </row>
    <row r="1008" spans="4:50">
      <c r="D1008" s="155"/>
      <c r="E1008" s="155"/>
      <c r="F1008" s="155"/>
      <c r="G1008" s="155"/>
      <c r="H1008" s="155"/>
      <c r="I1008" s="155"/>
      <c r="J1008" s="155"/>
      <c r="K1008" s="155"/>
      <c r="L1008" s="155"/>
      <c r="M1008" s="155"/>
      <c r="N1008" s="155"/>
      <c r="O1008" s="155"/>
      <c r="P1008" s="155"/>
      <c r="Q1008" s="155"/>
      <c r="R1008" s="155"/>
      <c r="S1008" s="155"/>
      <c r="T1008" s="155"/>
      <c r="U1008" s="155"/>
      <c r="V1008" s="155"/>
      <c r="W1008" s="155"/>
      <c r="X1008" s="155"/>
      <c r="Y1008" s="155"/>
      <c r="Z1008" s="155"/>
      <c r="AA1008" s="155"/>
      <c r="AB1008" s="155"/>
      <c r="AC1008" s="155"/>
      <c r="AD1008" s="155"/>
      <c r="AE1008" s="155"/>
      <c r="AF1008" s="155"/>
      <c r="AG1008" s="155"/>
      <c r="AH1008" s="155"/>
      <c r="AI1008" s="155"/>
      <c r="AJ1008" s="155"/>
      <c r="AK1008" s="155"/>
      <c r="AL1008" s="155"/>
      <c r="AM1008" s="155"/>
      <c r="AN1008" s="155"/>
      <c r="AO1008" s="155"/>
      <c r="AP1008" s="155"/>
      <c r="AQ1008" s="155"/>
      <c r="AR1008" s="155"/>
      <c r="AS1008" s="155"/>
      <c r="AT1008" s="155"/>
      <c r="AU1008" s="155"/>
      <c r="AV1008" s="155"/>
      <c r="AW1008" s="155"/>
      <c r="AX1008" s="155"/>
    </row>
    <row r="1009" spans="4:50">
      <c r="D1009" s="155"/>
      <c r="E1009" s="155"/>
      <c r="F1009" s="155"/>
      <c r="G1009" s="155"/>
      <c r="H1009" s="155"/>
      <c r="I1009" s="155"/>
      <c r="J1009" s="155"/>
      <c r="K1009" s="155"/>
      <c r="L1009" s="155"/>
      <c r="M1009" s="155"/>
      <c r="N1009" s="155"/>
      <c r="O1009" s="155"/>
      <c r="P1009" s="155"/>
      <c r="Q1009" s="155"/>
      <c r="R1009" s="155"/>
      <c r="S1009" s="155"/>
      <c r="T1009" s="155"/>
      <c r="U1009" s="155"/>
      <c r="V1009" s="155"/>
      <c r="W1009" s="155"/>
      <c r="X1009" s="155"/>
      <c r="Y1009" s="155"/>
      <c r="Z1009" s="155"/>
      <c r="AA1009" s="155"/>
      <c r="AB1009" s="155"/>
      <c r="AC1009" s="155"/>
      <c r="AD1009" s="155"/>
      <c r="AE1009" s="155"/>
      <c r="AF1009" s="155"/>
      <c r="AG1009" s="155"/>
      <c r="AH1009" s="155"/>
      <c r="AI1009" s="155"/>
      <c r="AJ1009" s="155"/>
      <c r="AK1009" s="155"/>
      <c r="AL1009" s="155"/>
      <c r="AM1009" s="155"/>
      <c r="AN1009" s="155"/>
      <c r="AO1009" s="155"/>
      <c r="AP1009" s="155"/>
      <c r="AQ1009" s="155"/>
      <c r="AR1009" s="155"/>
      <c r="AS1009" s="155"/>
      <c r="AT1009" s="155"/>
      <c r="AU1009" s="155"/>
      <c r="AV1009" s="155"/>
      <c r="AW1009" s="155"/>
      <c r="AX1009" s="155"/>
    </row>
    <row r="1010" spans="4:50">
      <c r="D1010" s="155"/>
      <c r="E1010" s="155"/>
      <c r="F1010" s="155"/>
      <c r="G1010" s="155"/>
      <c r="H1010" s="155"/>
      <c r="I1010" s="155"/>
      <c r="J1010" s="155"/>
      <c r="K1010" s="155"/>
      <c r="L1010" s="155"/>
      <c r="M1010" s="155"/>
      <c r="N1010" s="155"/>
      <c r="O1010" s="155"/>
      <c r="P1010" s="155"/>
      <c r="Q1010" s="155"/>
      <c r="R1010" s="155"/>
      <c r="S1010" s="155"/>
      <c r="T1010" s="155"/>
      <c r="U1010" s="155"/>
      <c r="V1010" s="155"/>
      <c r="W1010" s="155"/>
      <c r="X1010" s="155"/>
      <c r="Y1010" s="155"/>
      <c r="Z1010" s="155"/>
      <c r="AA1010" s="155"/>
      <c r="AB1010" s="155"/>
      <c r="AC1010" s="155"/>
      <c r="AD1010" s="155"/>
      <c r="AE1010" s="155"/>
      <c r="AF1010" s="155"/>
      <c r="AG1010" s="155"/>
      <c r="AH1010" s="155"/>
      <c r="AI1010" s="155"/>
      <c r="AJ1010" s="155"/>
      <c r="AK1010" s="155"/>
      <c r="AL1010" s="155"/>
      <c r="AM1010" s="155"/>
      <c r="AN1010" s="155"/>
      <c r="AO1010" s="155"/>
      <c r="AP1010" s="155"/>
      <c r="AQ1010" s="155"/>
      <c r="AR1010" s="155"/>
      <c r="AS1010" s="155"/>
      <c r="AT1010" s="155"/>
      <c r="AU1010" s="155"/>
      <c r="AV1010" s="155"/>
      <c r="AW1010" s="155"/>
      <c r="AX1010" s="155"/>
    </row>
    <row r="1011" spans="4:50">
      <c r="D1011" s="155"/>
      <c r="E1011" s="155"/>
      <c r="F1011" s="155"/>
      <c r="G1011" s="155"/>
      <c r="H1011" s="155"/>
      <c r="I1011" s="155"/>
      <c r="J1011" s="155"/>
      <c r="K1011" s="155"/>
      <c r="L1011" s="155"/>
      <c r="M1011" s="155"/>
      <c r="N1011" s="155"/>
      <c r="O1011" s="155"/>
      <c r="P1011" s="155"/>
      <c r="Q1011" s="155"/>
      <c r="R1011" s="155"/>
      <c r="S1011" s="155"/>
      <c r="T1011" s="155"/>
      <c r="U1011" s="155"/>
      <c r="V1011" s="155"/>
      <c r="W1011" s="155"/>
      <c r="X1011" s="155"/>
      <c r="Y1011" s="155"/>
      <c r="Z1011" s="155"/>
      <c r="AA1011" s="155"/>
      <c r="AB1011" s="155"/>
      <c r="AC1011" s="155"/>
      <c r="AD1011" s="155"/>
      <c r="AE1011" s="155"/>
      <c r="AF1011" s="155"/>
      <c r="AG1011" s="155"/>
      <c r="AH1011" s="155"/>
      <c r="AI1011" s="155"/>
      <c r="AJ1011" s="155"/>
      <c r="AK1011" s="155"/>
      <c r="AL1011" s="155"/>
      <c r="AM1011" s="155"/>
      <c r="AN1011" s="155"/>
      <c r="AO1011" s="155"/>
      <c r="AP1011" s="155"/>
      <c r="AQ1011" s="155"/>
      <c r="AR1011" s="155"/>
      <c r="AS1011" s="155"/>
      <c r="AT1011" s="155"/>
      <c r="AU1011" s="155"/>
      <c r="AV1011" s="155"/>
      <c r="AW1011" s="155"/>
      <c r="AX1011" s="155"/>
    </row>
    <row r="1012" spans="4:50">
      <c r="D1012" s="155"/>
      <c r="E1012" s="155"/>
      <c r="F1012" s="155"/>
      <c r="G1012" s="155"/>
      <c r="H1012" s="155"/>
      <c r="I1012" s="155"/>
      <c r="J1012" s="155"/>
      <c r="K1012" s="155"/>
      <c r="L1012" s="155"/>
      <c r="M1012" s="155"/>
      <c r="N1012" s="155"/>
      <c r="O1012" s="155"/>
      <c r="P1012" s="155"/>
      <c r="Q1012" s="155"/>
      <c r="R1012" s="155"/>
      <c r="S1012" s="155"/>
      <c r="T1012" s="155"/>
      <c r="U1012" s="155"/>
      <c r="V1012" s="155"/>
      <c r="W1012" s="155"/>
      <c r="X1012" s="155"/>
      <c r="Y1012" s="155"/>
      <c r="Z1012" s="155"/>
      <c r="AA1012" s="155"/>
      <c r="AB1012" s="155"/>
      <c r="AC1012" s="155"/>
      <c r="AD1012" s="155"/>
      <c r="AE1012" s="155"/>
      <c r="AF1012" s="155"/>
      <c r="AG1012" s="155"/>
      <c r="AH1012" s="155"/>
      <c r="AI1012" s="155"/>
      <c r="AJ1012" s="155"/>
      <c r="AK1012" s="155"/>
      <c r="AL1012" s="155"/>
      <c r="AM1012" s="155"/>
      <c r="AN1012" s="155"/>
      <c r="AO1012" s="155"/>
      <c r="AP1012" s="155"/>
      <c r="AQ1012" s="155"/>
      <c r="AR1012" s="155"/>
      <c r="AS1012" s="155"/>
      <c r="AT1012" s="155"/>
      <c r="AU1012" s="155"/>
      <c r="AV1012" s="155"/>
      <c r="AW1012" s="155"/>
      <c r="AX1012" s="155"/>
    </row>
    <row r="1013" spans="4:50">
      <c r="D1013" s="155"/>
      <c r="E1013" s="155"/>
      <c r="F1013" s="155"/>
      <c r="G1013" s="155"/>
      <c r="H1013" s="155"/>
      <c r="I1013" s="155"/>
      <c r="J1013" s="155"/>
      <c r="K1013" s="155"/>
      <c r="L1013" s="155"/>
      <c r="M1013" s="155"/>
      <c r="N1013" s="155"/>
      <c r="O1013" s="155"/>
      <c r="P1013" s="155"/>
      <c r="Q1013" s="155"/>
      <c r="R1013" s="155"/>
      <c r="S1013" s="155"/>
      <c r="T1013" s="155"/>
      <c r="U1013" s="155"/>
      <c r="V1013" s="155"/>
      <c r="W1013" s="155"/>
      <c r="X1013" s="155"/>
      <c r="Y1013" s="155"/>
      <c r="Z1013" s="155"/>
      <c r="AA1013" s="155"/>
      <c r="AB1013" s="155"/>
      <c r="AC1013" s="155"/>
      <c r="AD1013" s="155"/>
      <c r="AE1013" s="155"/>
      <c r="AF1013" s="155"/>
      <c r="AG1013" s="155"/>
      <c r="AH1013" s="155"/>
      <c r="AI1013" s="155"/>
      <c r="AJ1013" s="155"/>
      <c r="AK1013" s="155"/>
      <c r="AL1013" s="155"/>
      <c r="AM1013" s="155"/>
      <c r="AN1013" s="155"/>
      <c r="AO1013" s="155"/>
      <c r="AP1013" s="155"/>
      <c r="AQ1013" s="155"/>
      <c r="AR1013" s="155"/>
      <c r="AS1013" s="155"/>
      <c r="AT1013" s="155"/>
      <c r="AU1013" s="155"/>
      <c r="AV1013" s="155"/>
      <c r="AW1013" s="155"/>
      <c r="AX1013" s="155"/>
    </row>
    <row r="1014" spans="4:50">
      <c r="D1014" s="155"/>
      <c r="E1014" s="155"/>
      <c r="F1014" s="155"/>
      <c r="G1014" s="155"/>
      <c r="H1014" s="155"/>
      <c r="I1014" s="155"/>
      <c r="J1014" s="155"/>
      <c r="K1014" s="155"/>
      <c r="L1014" s="155"/>
      <c r="M1014" s="155"/>
      <c r="N1014" s="155"/>
      <c r="O1014" s="155"/>
      <c r="P1014" s="155"/>
      <c r="Q1014" s="155"/>
      <c r="R1014" s="155"/>
      <c r="S1014" s="155"/>
      <c r="T1014" s="155"/>
      <c r="U1014" s="155"/>
      <c r="V1014" s="155"/>
      <c r="W1014" s="155"/>
      <c r="X1014" s="155"/>
      <c r="Y1014" s="155"/>
      <c r="Z1014" s="155"/>
      <c r="AA1014" s="155"/>
      <c r="AB1014" s="155"/>
      <c r="AC1014" s="155"/>
      <c r="AD1014" s="155"/>
      <c r="AE1014" s="155"/>
      <c r="AF1014" s="155"/>
      <c r="AG1014" s="155"/>
      <c r="AH1014" s="155"/>
      <c r="AI1014" s="155"/>
      <c r="AJ1014" s="155"/>
      <c r="AK1014" s="155"/>
      <c r="AL1014" s="155"/>
      <c r="AM1014" s="155"/>
      <c r="AN1014" s="155"/>
      <c r="AO1014" s="155"/>
      <c r="AP1014" s="155"/>
      <c r="AQ1014" s="155"/>
      <c r="AR1014" s="155"/>
      <c r="AS1014" s="155"/>
      <c r="AT1014" s="155"/>
      <c r="AU1014" s="155"/>
      <c r="AV1014" s="155"/>
      <c r="AW1014" s="155"/>
      <c r="AX1014" s="155"/>
    </row>
    <row r="1015" spans="4:50">
      <c r="D1015" s="155"/>
      <c r="E1015" s="155"/>
      <c r="F1015" s="155"/>
      <c r="G1015" s="155"/>
      <c r="H1015" s="155"/>
      <c r="I1015" s="155"/>
      <c r="J1015" s="155"/>
      <c r="K1015" s="155"/>
      <c r="L1015" s="155"/>
      <c r="M1015" s="155"/>
      <c r="N1015" s="155"/>
      <c r="O1015" s="155"/>
      <c r="P1015" s="155"/>
      <c r="Q1015" s="155"/>
      <c r="R1015" s="155"/>
      <c r="S1015" s="155"/>
      <c r="T1015" s="155"/>
      <c r="U1015" s="155"/>
      <c r="V1015" s="155"/>
      <c r="W1015" s="155"/>
      <c r="X1015" s="155"/>
      <c r="Y1015" s="155"/>
      <c r="Z1015" s="155"/>
      <c r="AA1015" s="155"/>
      <c r="AB1015" s="155"/>
      <c r="AC1015" s="155"/>
      <c r="AD1015" s="155"/>
      <c r="AE1015" s="155"/>
      <c r="AF1015" s="155"/>
      <c r="AG1015" s="155"/>
      <c r="AH1015" s="155"/>
      <c r="AI1015" s="155"/>
      <c r="AJ1015" s="155"/>
      <c r="AK1015" s="155"/>
      <c r="AL1015" s="155"/>
      <c r="AM1015" s="155"/>
      <c r="AN1015" s="155"/>
      <c r="AO1015" s="155"/>
      <c r="AP1015" s="155"/>
      <c r="AQ1015" s="155"/>
      <c r="AR1015" s="155"/>
      <c r="AS1015" s="155"/>
      <c r="AT1015" s="155"/>
      <c r="AU1015" s="155"/>
      <c r="AV1015" s="155"/>
      <c r="AW1015" s="155"/>
      <c r="AX1015" s="155"/>
    </row>
    <row r="1016" spans="4:50">
      <c r="D1016" s="155"/>
      <c r="E1016" s="155"/>
      <c r="F1016" s="155"/>
      <c r="G1016" s="155"/>
      <c r="H1016" s="155"/>
      <c r="I1016" s="155"/>
      <c r="J1016" s="155"/>
      <c r="K1016" s="155"/>
      <c r="L1016" s="155"/>
      <c r="M1016" s="155"/>
      <c r="N1016" s="155"/>
      <c r="O1016" s="155"/>
      <c r="P1016" s="155"/>
      <c r="Q1016" s="155"/>
      <c r="R1016" s="155"/>
      <c r="S1016" s="155"/>
      <c r="T1016" s="155"/>
      <c r="U1016" s="155"/>
      <c r="V1016" s="155"/>
      <c r="W1016" s="155"/>
      <c r="X1016" s="155"/>
      <c r="Y1016" s="155"/>
      <c r="Z1016" s="155"/>
      <c r="AA1016" s="155"/>
      <c r="AB1016" s="155"/>
      <c r="AC1016" s="155"/>
      <c r="AD1016" s="155"/>
      <c r="AE1016" s="155"/>
      <c r="AF1016" s="155"/>
      <c r="AG1016" s="155"/>
      <c r="AH1016" s="155"/>
      <c r="AI1016" s="155"/>
      <c r="AJ1016" s="155"/>
      <c r="AK1016" s="155"/>
      <c r="AL1016" s="155"/>
      <c r="AM1016" s="155"/>
      <c r="AN1016" s="155"/>
      <c r="AO1016" s="155"/>
      <c r="AP1016" s="155"/>
      <c r="AQ1016" s="155"/>
      <c r="AR1016" s="155"/>
      <c r="AS1016" s="155"/>
      <c r="AT1016" s="155"/>
      <c r="AU1016" s="155"/>
      <c r="AV1016" s="155"/>
      <c r="AW1016" s="155"/>
      <c r="AX1016" s="155"/>
    </row>
    <row r="1017" spans="4:50">
      <c r="D1017" s="155"/>
      <c r="E1017" s="155"/>
      <c r="F1017" s="155"/>
      <c r="G1017" s="155"/>
      <c r="H1017" s="155"/>
      <c r="I1017" s="155"/>
      <c r="J1017" s="155"/>
      <c r="K1017" s="155"/>
      <c r="L1017" s="155"/>
      <c r="M1017" s="155"/>
      <c r="N1017" s="155"/>
      <c r="O1017" s="155"/>
      <c r="P1017" s="155"/>
      <c r="Q1017" s="155"/>
      <c r="R1017" s="155"/>
      <c r="S1017" s="155"/>
      <c r="T1017" s="155"/>
      <c r="U1017" s="155"/>
      <c r="V1017" s="155"/>
      <c r="W1017" s="155"/>
      <c r="X1017" s="155"/>
      <c r="Y1017" s="155"/>
      <c r="Z1017" s="155"/>
      <c r="AA1017" s="155"/>
      <c r="AB1017" s="155"/>
      <c r="AC1017" s="155"/>
      <c r="AD1017" s="155"/>
      <c r="AE1017" s="155"/>
      <c r="AF1017" s="155"/>
      <c r="AG1017" s="155"/>
      <c r="AH1017" s="155"/>
      <c r="AI1017" s="155"/>
      <c r="AJ1017" s="155"/>
      <c r="AK1017" s="155"/>
      <c r="AL1017" s="155"/>
      <c r="AM1017" s="155"/>
      <c r="AN1017" s="155"/>
      <c r="AO1017" s="155"/>
      <c r="AP1017" s="155"/>
      <c r="AQ1017" s="155"/>
      <c r="AR1017" s="155"/>
      <c r="AS1017" s="155"/>
      <c r="AT1017" s="155"/>
      <c r="AU1017" s="155"/>
      <c r="AV1017" s="155"/>
      <c r="AW1017" s="155"/>
      <c r="AX1017" s="155"/>
    </row>
    <row r="1018" spans="4:50">
      <c r="D1018" s="155"/>
      <c r="E1018" s="155"/>
      <c r="F1018" s="155"/>
      <c r="G1018" s="155"/>
      <c r="H1018" s="155"/>
      <c r="I1018" s="155"/>
      <c r="J1018" s="155"/>
      <c r="K1018" s="155"/>
      <c r="L1018" s="155"/>
      <c r="M1018" s="155"/>
      <c r="N1018" s="155"/>
      <c r="O1018" s="155"/>
      <c r="P1018" s="155"/>
      <c r="Q1018" s="155"/>
      <c r="R1018" s="155"/>
      <c r="S1018" s="155"/>
      <c r="T1018" s="155"/>
      <c r="U1018" s="155"/>
      <c r="V1018" s="155"/>
      <c r="W1018" s="155"/>
      <c r="X1018" s="155"/>
      <c r="Y1018" s="155"/>
      <c r="Z1018" s="155"/>
      <c r="AA1018" s="155"/>
      <c r="AB1018" s="155"/>
      <c r="AC1018" s="155"/>
      <c r="AD1018" s="155"/>
      <c r="AE1018" s="155"/>
      <c r="AF1018" s="155"/>
      <c r="AG1018" s="155"/>
      <c r="AH1018" s="155"/>
      <c r="AI1018" s="155"/>
      <c r="AJ1018" s="155"/>
      <c r="AK1018" s="155"/>
      <c r="AL1018" s="155"/>
      <c r="AM1018" s="155"/>
      <c r="AN1018" s="155"/>
      <c r="AO1018" s="155"/>
      <c r="AP1018" s="155"/>
      <c r="AQ1018" s="155"/>
      <c r="AR1018" s="155"/>
      <c r="AS1018" s="155"/>
      <c r="AT1018" s="155"/>
      <c r="AU1018" s="155"/>
      <c r="AV1018" s="155"/>
      <c r="AW1018" s="155"/>
      <c r="AX1018" s="155"/>
    </row>
    <row r="1019" spans="4:50">
      <c r="D1019" s="155"/>
      <c r="E1019" s="155"/>
      <c r="F1019" s="155"/>
      <c r="G1019" s="155"/>
      <c r="H1019" s="155"/>
      <c r="I1019" s="155"/>
      <c r="J1019" s="155"/>
      <c r="K1019" s="155"/>
      <c r="L1019" s="155"/>
      <c r="M1019" s="155"/>
      <c r="N1019" s="155"/>
      <c r="O1019" s="155"/>
      <c r="P1019" s="155"/>
      <c r="Q1019" s="155"/>
      <c r="R1019" s="155"/>
      <c r="S1019" s="155"/>
      <c r="T1019" s="155"/>
      <c r="U1019" s="155"/>
      <c r="V1019" s="155"/>
      <c r="W1019" s="155"/>
      <c r="X1019" s="155"/>
      <c r="Y1019" s="155"/>
      <c r="Z1019" s="155"/>
      <c r="AA1019" s="155"/>
      <c r="AB1019" s="155"/>
      <c r="AC1019" s="155"/>
      <c r="AD1019" s="155"/>
      <c r="AE1019" s="155"/>
      <c r="AF1019" s="155"/>
      <c r="AG1019" s="155"/>
      <c r="AH1019" s="155"/>
      <c r="AI1019" s="155"/>
      <c r="AJ1019" s="155"/>
      <c r="AK1019" s="155"/>
      <c r="AL1019" s="155"/>
      <c r="AM1019" s="155"/>
      <c r="AN1019" s="155"/>
      <c r="AO1019" s="155"/>
      <c r="AP1019" s="155"/>
      <c r="AQ1019" s="155"/>
      <c r="AR1019" s="155"/>
      <c r="AS1019" s="155"/>
      <c r="AT1019" s="155"/>
      <c r="AU1019" s="155"/>
      <c r="AV1019" s="155"/>
      <c r="AW1019" s="155"/>
      <c r="AX1019" s="155"/>
    </row>
    <row r="1020" spans="4:50">
      <c r="D1020" s="155"/>
      <c r="E1020" s="155"/>
      <c r="F1020" s="155"/>
      <c r="G1020" s="155"/>
      <c r="H1020" s="155"/>
      <c r="I1020" s="155"/>
      <c r="J1020" s="155"/>
      <c r="K1020" s="155"/>
      <c r="L1020" s="155"/>
      <c r="M1020" s="155"/>
      <c r="N1020" s="155"/>
      <c r="O1020" s="155"/>
      <c r="P1020" s="155"/>
      <c r="Q1020" s="155"/>
      <c r="R1020" s="155"/>
      <c r="S1020" s="155"/>
      <c r="T1020" s="155"/>
      <c r="U1020" s="155"/>
      <c r="V1020" s="155"/>
      <c r="W1020" s="155"/>
      <c r="X1020" s="155"/>
      <c r="Y1020" s="155"/>
      <c r="Z1020" s="155"/>
      <c r="AA1020" s="155"/>
      <c r="AB1020" s="155"/>
      <c r="AC1020" s="155"/>
      <c r="AD1020" s="155"/>
      <c r="AE1020" s="155"/>
      <c r="AF1020" s="155"/>
      <c r="AG1020" s="155"/>
      <c r="AH1020" s="155"/>
      <c r="AI1020" s="155"/>
      <c r="AJ1020" s="155"/>
      <c r="AK1020" s="155"/>
      <c r="AL1020" s="155"/>
      <c r="AM1020" s="155"/>
      <c r="AN1020" s="155"/>
      <c r="AO1020" s="155"/>
      <c r="AP1020" s="155"/>
      <c r="AQ1020" s="155"/>
      <c r="AR1020" s="155"/>
      <c r="AS1020" s="155"/>
      <c r="AT1020" s="155"/>
      <c r="AU1020" s="155"/>
      <c r="AV1020" s="155"/>
      <c r="AW1020" s="155"/>
      <c r="AX1020" s="155"/>
    </row>
    <row r="1021" spans="4:50">
      <c r="D1021" s="155"/>
      <c r="E1021" s="155"/>
      <c r="F1021" s="155"/>
      <c r="G1021" s="155"/>
      <c r="H1021" s="155"/>
      <c r="I1021" s="155"/>
      <c r="J1021" s="155"/>
      <c r="K1021" s="155"/>
      <c r="L1021" s="155"/>
      <c r="M1021" s="155"/>
      <c r="N1021" s="155"/>
      <c r="O1021" s="155"/>
      <c r="P1021" s="155"/>
      <c r="Q1021" s="155"/>
      <c r="R1021" s="155"/>
      <c r="S1021" s="155"/>
      <c r="T1021" s="155"/>
      <c r="U1021" s="155"/>
      <c r="V1021" s="155"/>
      <c r="W1021" s="155"/>
      <c r="X1021" s="155"/>
      <c r="Y1021" s="155"/>
      <c r="Z1021" s="155"/>
      <c r="AA1021" s="155"/>
      <c r="AB1021" s="155"/>
      <c r="AC1021" s="155"/>
      <c r="AD1021" s="155"/>
      <c r="AE1021" s="155"/>
      <c r="AF1021" s="155"/>
      <c r="AG1021" s="155"/>
      <c r="AH1021" s="155"/>
      <c r="AI1021" s="155"/>
      <c r="AJ1021" s="155"/>
      <c r="AK1021" s="155"/>
      <c r="AL1021" s="155"/>
      <c r="AM1021" s="155"/>
      <c r="AN1021" s="155"/>
      <c r="AO1021" s="155"/>
      <c r="AP1021" s="155"/>
      <c r="AQ1021" s="155"/>
      <c r="AR1021" s="155"/>
      <c r="AS1021" s="155"/>
      <c r="AT1021" s="155"/>
      <c r="AU1021" s="155"/>
      <c r="AV1021" s="155"/>
      <c r="AW1021" s="155"/>
      <c r="AX1021" s="155"/>
    </row>
    <row r="1022" spans="4:50">
      <c r="D1022" s="155"/>
      <c r="E1022" s="155"/>
      <c r="F1022" s="155"/>
      <c r="G1022" s="155"/>
      <c r="H1022" s="155"/>
      <c r="I1022" s="155"/>
      <c r="J1022" s="155"/>
      <c r="K1022" s="155"/>
      <c r="L1022" s="155"/>
      <c r="M1022" s="155"/>
      <c r="N1022" s="155"/>
      <c r="O1022" s="155"/>
      <c r="P1022" s="155"/>
      <c r="Q1022" s="155"/>
      <c r="R1022" s="155"/>
      <c r="S1022" s="155"/>
      <c r="T1022" s="155"/>
      <c r="U1022" s="155"/>
      <c r="V1022" s="155"/>
      <c r="W1022" s="155"/>
      <c r="X1022" s="155"/>
      <c r="Y1022" s="155"/>
      <c r="Z1022" s="155"/>
      <c r="AA1022" s="155"/>
      <c r="AB1022" s="155"/>
      <c r="AC1022" s="155"/>
      <c r="AD1022" s="155"/>
      <c r="AE1022" s="155"/>
      <c r="AF1022" s="155"/>
      <c r="AG1022" s="155"/>
      <c r="AH1022" s="155"/>
      <c r="AI1022" s="155"/>
      <c r="AJ1022" s="155"/>
      <c r="AK1022" s="155"/>
      <c r="AL1022" s="155"/>
      <c r="AM1022" s="155"/>
      <c r="AN1022" s="155"/>
      <c r="AO1022" s="155"/>
      <c r="AP1022" s="155"/>
      <c r="AQ1022" s="155"/>
      <c r="AR1022" s="155"/>
      <c r="AS1022" s="155"/>
      <c r="AT1022" s="155"/>
      <c r="AU1022" s="155"/>
      <c r="AV1022" s="155"/>
      <c r="AW1022" s="155"/>
      <c r="AX1022" s="155"/>
    </row>
    <row r="1023" spans="4:50">
      <c r="D1023" s="155"/>
      <c r="E1023" s="155"/>
      <c r="F1023" s="155"/>
      <c r="G1023" s="155"/>
      <c r="H1023" s="155"/>
      <c r="I1023" s="155"/>
      <c r="J1023" s="155"/>
      <c r="K1023" s="155"/>
      <c r="L1023" s="155"/>
      <c r="M1023" s="155"/>
      <c r="N1023" s="155"/>
      <c r="O1023" s="155"/>
      <c r="P1023" s="155"/>
      <c r="Q1023" s="155"/>
      <c r="R1023" s="155"/>
      <c r="S1023" s="155"/>
      <c r="T1023" s="155"/>
      <c r="U1023" s="155"/>
      <c r="V1023" s="155"/>
      <c r="W1023" s="155"/>
      <c r="X1023" s="155"/>
      <c r="Y1023" s="155"/>
      <c r="Z1023" s="155"/>
      <c r="AA1023" s="155"/>
      <c r="AB1023" s="155"/>
      <c r="AC1023" s="155"/>
      <c r="AD1023" s="155"/>
      <c r="AE1023" s="155"/>
      <c r="AF1023" s="155"/>
      <c r="AG1023" s="155"/>
      <c r="AH1023" s="155"/>
      <c r="AI1023" s="155"/>
      <c r="AJ1023" s="155"/>
      <c r="AK1023" s="155"/>
      <c r="AL1023" s="155"/>
      <c r="AM1023" s="155"/>
      <c r="AN1023" s="155"/>
      <c r="AO1023" s="155"/>
      <c r="AP1023" s="155"/>
      <c r="AQ1023" s="155"/>
      <c r="AR1023" s="155"/>
      <c r="AS1023" s="155"/>
      <c r="AT1023" s="155"/>
      <c r="AU1023" s="155"/>
      <c r="AV1023" s="155"/>
      <c r="AW1023" s="155"/>
      <c r="AX1023" s="155"/>
    </row>
    <row r="1024" spans="4:50">
      <c r="D1024" s="155"/>
      <c r="E1024" s="155"/>
      <c r="F1024" s="155"/>
      <c r="G1024" s="155"/>
      <c r="H1024" s="155"/>
      <c r="I1024" s="155"/>
      <c r="J1024" s="155"/>
      <c r="K1024" s="155"/>
      <c r="L1024" s="155"/>
      <c r="M1024" s="155"/>
      <c r="N1024" s="155"/>
      <c r="O1024" s="155"/>
      <c r="P1024" s="155"/>
      <c r="Q1024" s="155"/>
      <c r="R1024" s="155"/>
      <c r="S1024" s="155"/>
      <c r="T1024" s="155"/>
      <c r="U1024" s="155"/>
      <c r="V1024" s="155"/>
      <c r="W1024" s="155"/>
      <c r="X1024" s="155"/>
      <c r="Y1024" s="155"/>
      <c r="Z1024" s="155"/>
      <c r="AA1024" s="155"/>
      <c r="AB1024" s="155"/>
      <c r="AC1024" s="155"/>
      <c r="AD1024" s="155"/>
      <c r="AE1024" s="155"/>
      <c r="AF1024" s="155"/>
      <c r="AG1024" s="155"/>
      <c r="AH1024" s="155"/>
      <c r="AI1024" s="155"/>
      <c r="AJ1024" s="155"/>
      <c r="AK1024" s="155"/>
      <c r="AL1024" s="155"/>
      <c r="AM1024" s="155"/>
      <c r="AN1024" s="155"/>
      <c r="AO1024" s="155"/>
      <c r="AP1024" s="155"/>
      <c r="AQ1024" s="155"/>
      <c r="AR1024" s="155"/>
      <c r="AS1024" s="155"/>
      <c r="AT1024" s="155"/>
      <c r="AU1024" s="155"/>
      <c r="AV1024" s="155"/>
      <c r="AW1024" s="155"/>
      <c r="AX1024" s="155"/>
    </row>
    <row r="1025" spans="4:50">
      <c r="D1025" s="155"/>
      <c r="E1025" s="155"/>
      <c r="F1025" s="155"/>
      <c r="G1025" s="155"/>
      <c r="H1025" s="155"/>
      <c r="I1025" s="155"/>
      <c r="J1025" s="155"/>
      <c r="K1025" s="155"/>
      <c r="L1025" s="155"/>
      <c r="M1025" s="155"/>
      <c r="N1025" s="155"/>
      <c r="O1025" s="155"/>
      <c r="P1025" s="155"/>
      <c r="Q1025" s="155"/>
      <c r="R1025" s="155"/>
      <c r="S1025" s="155"/>
      <c r="T1025" s="155"/>
      <c r="U1025" s="155"/>
      <c r="V1025" s="155"/>
      <c r="W1025" s="155"/>
      <c r="X1025" s="155"/>
      <c r="Y1025" s="155"/>
      <c r="Z1025" s="155"/>
      <c r="AA1025" s="155"/>
      <c r="AB1025" s="155"/>
      <c r="AC1025" s="155"/>
      <c r="AD1025" s="155"/>
      <c r="AE1025" s="155"/>
      <c r="AF1025" s="155"/>
      <c r="AG1025" s="155"/>
      <c r="AH1025" s="155"/>
      <c r="AI1025" s="155"/>
      <c r="AJ1025" s="155"/>
      <c r="AK1025" s="155"/>
      <c r="AL1025" s="155"/>
      <c r="AM1025" s="155"/>
      <c r="AN1025" s="155"/>
      <c r="AO1025" s="155"/>
      <c r="AP1025" s="155"/>
      <c r="AQ1025" s="155"/>
      <c r="AR1025" s="155"/>
      <c r="AS1025" s="155"/>
      <c r="AT1025" s="155"/>
      <c r="AU1025" s="155"/>
      <c r="AV1025" s="155"/>
      <c r="AW1025" s="155"/>
      <c r="AX1025" s="155"/>
    </row>
    <row r="1026" spans="4:50">
      <c r="D1026" s="155"/>
      <c r="E1026" s="155"/>
      <c r="F1026" s="155"/>
      <c r="G1026" s="155"/>
      <c r="H1026" s="155"/>
      <c r="I1026" s="155"/>
      <c r="J1026" s="155"/>
      <c r="K1026" s="155"/>
      <c r="L1026" s="155"/>
      <c r="M1026" s="155"/>
      <c r="N1026" s="155"/>
      <c r="O1026" s="155"/>
      <c r="P1026" s="155"/>
      <c r="Q1026" s="155"/>
      <c r="R1026" s="155"/>
      <c r="S1026" s="155"/>
      <c r="T1026" s="155"/>
      <c r="U1026" s="155"/>
      <c r="V1026" s="155"/>
      <c r="W1026" s="155"/>
      <c r="X1026" s="155"/>
      <c r="Y1026" s="155"/>
      <c r="Z1026" s="155"/>
      <c r="AA1026" s="155"/>
      <c r="AB1026" s="155"/>
      <c r="AC1026" s="155"/>
      <c r="AD1026" s="155"/>
      <c r="AE1026" s="155"/>
      <c r="AF1026" s="155"/>
      <c r="AG1026" s="155"/>
      <c r="AH1026" s="155"/>
      <c r="AI1026" s="155"/>
      <c r="AJ1026" s="155"/>
      <c r="AK1026" s="155"/>
      <c r="AL1026" s="155"/>
      <c r="AM1026" s="155"/>
      <c r="AN1026" s="155"/>
      <c r="AO1026" s="155"/>
      <c r="AP1026" s="155"/>
      <c r="AQ1026" s="155"/>
      <c r="AR1026" s="155"/>
      <c r="AS1026" s="155"/>
      <c r="AT1026" s="155"/>
      <c r="AU1026" s="155"/>
      <c r="AV1026" s="155"/>
      <c r="AW1026" s="155"/>
      <c r="AX1026" s="155"/>
    </row>
    <row r="1027" spans="4:50">
      <c r="D1027" s="155"/>
      <c r="E1027" s="155"/>
      <c r="F1027" s="155"/>
      <c r="G1027" s="155"/>
      <c r="H1027" s="155"/>
      <c r="I1027" s="155"/>
      <c r="J1027" s="155"/>
      <c r="K1027" s="155"/>
      <c r="L1027" s="155"/>
      <c r="M1027" s="155"/>
      <c r="N1027" s="155"/>
      <c r="O1027" s="155"/>
      <c r="P1027" s="155"/>
      <c r="Q1027" s="155"/>
      <c r="R1027" s="155"/>
      <c r="S1027" s="155"/>
      <c r="T1027" s="155"/>
      <c r="U1027" s="155"/>
      <c r="V1027" s="155"/>
      <c r="W1027" s="155"/>
      <c r="X1027" s="155"/>
      <c r="Y1027" s="155"/>
      <c r="Z1027" s="155"/>
      <c r="AA1027" s="155"/>
      <c r="AB1027" s="155"/>
      <c r="AC1027" s="155"/>
      <c r="AD1027" s="155"/>
      <c r="AE1027" s="155"/>
      <c r="AF1027" s="155"/>
      <c r="AG1027" s="155"/>
      <c r="AH1027" s="155"/>
      <c r="AI1027" s="155"/>
      <c r="AJ1027" s="155"/>
      <c r="AK1027" s="155"/>
      <c r="AL1027" s="155"/>
      <c r="AM1027" s="155"/>
      <c r="AN1027" s="155"/>
      <c r="AO1027" s="155"/>
      <c r="AP1027" s="155"/>
      <c r="AQ1027" s="155"/>
      <c r="AR1027" s="155"/>
      <c r="AS1027" s="155"/>
      <c r="AT1027" s="155"/>
      <c r="AU1027" s="155"/>
      <c r="AV1027" s="155"/>
      <c r="AW1027" s="155"/>
      <c r="AX1027" s="155"/>
    </row>
    <row r="1028" spans="4:50">
      <c r="D1028" s="155"/>
      <c r="E1028" s="155"/>
      <c r="F1028" s="155"/>
      <c r="G1028" s="155"/>
      <c r="H1028" s="155"/>
      <c r="I1028" s="155"/>
      <c r="J1028" s="155"/>
      <c r="K1028" s="155"/>
      <c r="L1028" s="155"/>
      <c r="M1028" s="155"/>
      <c r="N1028" s="155"/>
      <c r="O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AV1028" s="155"/>
      <c r="AW1028" s="155"/>
      <c r="AX1028" s="155"/>
    </row>
    <row r="1029" spans="4:50">
      <c r="D1029" s="155"/>
      <c r="E1029" s="155"/>
      <c r="F1029" s="155"/>
      <c r="G1029" s="155"/>
      <c r="H1029" s="155"/>
      <c r="I1029" s="155"/>
      <c r="J1029" s="155"/>
      <c r="K1029" s="155"/>
      <c r="L1029" s="155"/>
      <c r="M1029" s="155"/>
      <c r="N1029" s="155"/>
      <c r="O1029" s="155"/>
      <c r="P1029" s="155"/>
      <c r="Q1029" s="155"/>
      <c r="R1029" s="155"/>
      <c r="S1029" s="155"/>
      <c r="T1029" s="155"/>
      <c r="U1029" s="155"/>
      <c r="V1029" s="155"/>
      <c r="W1029" s="155"/>
      <c r="X1029" s="155"/>
      <c r="Y1029" s="155"/>
      <c r="Z1029" s="155"/>
      <c r="AA1029" s="155"/>
      <c r="AB1029" s="155"/>
      <c r="AC1029" s="155"/>
      <c r="AD1029" s="155"/>
      <c r="AE1029" s="155"/>
      <c r="AF1029" s="155"/>
      <c r="AG1029" s="155"/>
      <c r="AH1029" s="155"/>
      <c r="AI1029" s="155"/>
      <c r="AJ1029" s="155"/>
      <c r="AK1029" s="155"/>
      <c r="AL1029" s="155"/>
      <c r="AM1029" s="155"/>
      <c r="AN1029" s="155"/>
      <c r="AO1029" s="155"/>
      <c r="AP1029" s="155"/>
      <c r="AQ1029" s="155"/>
      <c r="AR1029" s="155"/>
      <c r="AS1029" s="155"/>
      <c r="AT1029" s="155"/>
      <c r="AU1029" s="155"/>
      <c r="AV1029" s="155"/>
      <c r="AW1029" s="155"/>
      <c r="AX1029" s="155"/>
    </row>
    <row r="1030" spans="4:50">
      <c r="D1030" s="155"/>
      <c r="E1030" s="155"/>
      <c r="F1030" s="155"/>
      <c r="G1030" s="155"/>
      <c r="H1030" s="155"/>
      <c r="I1030" s="155"/>
      <c r="J1030" s="155"/>
      <c r="K1030" s="155"/>
      <c r="L1030" s="155"/>
      <c r="M1030" s="155"/>
      <c r="N1030" s="155"/>
      <c r="O1030" s="155"/>
      <c r="P1030" s="155"/>
      <c r="Q1030" s="155"/>
      <c r="R1030" s="155"/>
      <c r="S1030" s="155"/>
      <c r="T1030" s="155"/>
      <c r="U1030" s="155"/>
      <c r="V1030" s="155"/>
      <c r="W1030" s="155"/>
      <c r="X1030" s="155"/>
      <c r="Y1030" s="155"/>
      <c r="Z1030" s="155"/>
      <c r="AA1030" s="155"/>
      <c r="AB1030" s="155"/>
      <c r="AC1030" s="155"/>
      <c r="AD1030" s="155"/>
      <c r="AE1030" s="155"/>
      <c r="AF1030" s="155"/>
      <c r="AG1030" s="155"/>
      <c r="AH1030" s="155"/>
      <c r="AI1030" s="155"/>
      <c r="AJ1030" s="155"/>
      <c r="AK1030" s="155"/>
      <c r="AL1030" s="155"/>
      <c r="AM1030" s="155"/>
      <c r="AN1030" s="155"/>
      <c r="AO1030" s="155"/>
      <c r="AP1030" s="155"/>
      <c r="AQ1030" s="155"/>
      <c r="AR1030" s="155"/>
      <c r="AS1030" s="155"/>
      <c r="AT1030" s="155"/>
      <c r="AU1030" s="155"/>
      <c r="AV1030" s="155"/>
      <c r="AW1030" s="155"/>
      <c r="AX1030" s="155"/>
    </row>
    <row r="1031" spans="4:50">
      <c r="D1031" s="155"/>
      <c r="E1031" s="155"/>
      <c r="F1031" s="155"/>
      <c r="G1031" s="155"/>
      <c r="H1031" s="155"/>
      <c r="I1031" s="155"/>
      <c r="J1031" s="155"/>
      <c r="K1031" s="155"/>
      <c r="L1031" s="155"/>
      <c r="M1031" s="155"/>
      <c r="N1031" s="155"/>
      <c r="O1031" s="155"/>
      <c r="P1031" s="155"/>
      <c r="Q1031" s="155"/>
      <c r="R1031" s="155"/>
      <c r="S1031" s="155"/>
      <c r="T1031" s="155"/>
      <c r="U1031" s="155"/>
      <c r="V1031" s="155"/>
      <c r="W1031" s="155"/>
      <c r="X1031" s="155"/>
      <c r="Y1031" s="155"/>
      <c r="Z1031" s="155"/>
      <c r="AA1031" s="155"/>
      <c r="AB1031" s="155"/>
      <c r="AC1031" s="155"/>
      <c r="AD1031" s="155"/>
      <c r="AE1031" s="155"/>
      <c r="AF1031" s="155"/>
      <c r="AG1031" s="155"/>
      <c r="AH1031" s="155"/>
      <c r="AI1031" s="155"/>
      <c r="AJ1031" s="155"/>
      <c r="AK1031" s="155"/>
      <c r="AL1031" s="155"/>
      <c r="AM1031" s="155"/>
      <c r="AN1031" s="155"/>
      <c r="AO1031" s="155"/>
      <c r="AP1031" s="155"/>
      <c r="AQ1031" s="155"/>
      <c r="AR1031" s="155"/>
      <c r="AS1031" s="155"/>
      <c r="AT1031" s="155"/>
      <c r="AU1031" s="155"/>
      <c r="AV1031" s="155"/>
      <c r="AW1031" s="155"/>
      <c r="AX1031" s="155"/>
    </row>
    <row r="1032" spans="4:50">
      <c r="D1032" s="155"/>
      <c r="E1032" s="155"/>
      <c r="F1032" s="155"/>
      <c r="G1032" s="155"/>
      <c r="H1032" s="155"/>
      <c r="I1032" s="155"/>
      <c r="J1032" s="155"/>
      <c r="K1032" s="155"/>
      <c r="L1032" s="155"/>
      <c r="M1032" s="155"/>
      <c r="N1032" s="155"/>
      <c r="O1032" s="155"/>
      <c r="P1032" s="155"/>
      <c r="Q1032" s="155"/>
      <c r="R1032" s="155"/>
      <c r="S1032" s="155"/>
      <c r="T1032" s="155"/>
      <c r="U1032" s="155"/>
      <c r="V1032" s="155"/>
      <c r="W1032" s="155"/>
      <c r="X1032" s="155"/>
      <c r="Y1032" s="155"/>
      <c r="Z1032" s="155"/>
      <c r="AA1032" s="155"/>
      <c r="AB1032" s="155"/>
      <c r="AC1032" s="155"/>
      <c r="AD1032" s="155"/>
      <c r="AE1032" s="155"/>
      <c r="AF1032" s="155"/>
      <c r="AG1032" s="155"/>
      <c r="AH1032" s="155"/>
      <c r="AI1032" s="155"/>
      <c r="AJ1032" s="155"/>
      <c r="AK1032" s="155"/>
      <c r="AL1032" s="155"/>
      <c r="AM1032" s="155"/>
      <c r="AN1032" s="155"/>
      <c r="AO1032" s="155"/>
      <c r="AP1032" s="155"/>
      <c r="AQ1032" s="155"/>
      <c r="AR1032" s="155"/>
      <c r="AS1032" s="155"/>
      <c r="AT1032" s="155"/>
      <c r="AU1032" s="155"/>
      <c r="AV1032" s="155"/>
      <c r="AW1032" s="155"/>
      <c r="AX1032" s="155"/>
    </row>
    <row r="1033" spans="4:50">
      <c r="D1033" s="155"/>
      <c r="E1033" s="155"/>
      <c r="F1033" s="155"/>
      <c r="G1033" s="155"/>
      <c r="H1033" s="155"/>
      <c r="I1033" s="155"/>
      <c r="J1033" s="155"/>
      <c r="K1033" s="155"/>
      <c r="L1033" s="155"/>
      <c r="M1033" s="155"/>
      <c r="N1033" s="155"/>
      <c r="O1033" s="155"/>
      <c r="P1033" s="155"/>
      <c r="Q1033" s="155"/>
      <c r="R1033" s="155"/>
      <c r="S1033" s="155"/>
      <c r="T1033" s="155"/>
      <c r="U1033" s="155"/>
      <c r="V1033" s="155"/>
      <c r="W1033" s="155"/>
      <c r="X1033" s="155"/>
      <c r="Y1033" s="155"/>
      <c r="Z1033" s="155"/>
      <c r="AA1033" s="155"/>
      <c r="AB1033" s="155"/>
      <c r="AC1033" s="155"/>
      <c r="AD1033" s="155"/>
      <c r="AE1033" s="155"/>
      <c r="AF1033" s="155"/>
      <c r="AG1033" s="155"/>
      <c r="AH1033" s="155"/>
      <c r="AI1033" s="155"/>
      <c r="AJ1033" s="155"/>
      <c r="AK1033" s="155"/>
      <c r="AL1033" s="155"/>
      <c r="AM1033" s="155"/>
      <c r="AN1033" s="155"/>
      <c r="AO1033" s="155"/>
      <c r="AP1033" s="155"/>
      <c r="AQ1033" s="155"/>
      <c r="AR1033" s="155"/>
      <c r="AS1033" s="155"/>
      <c r="AT1033" s="155"/>
      <c r="AU1033" s="155"/>
      <c r="AV1033" s="155"/>
      <c r="AW1033" s="155"/>
      <c r="AX1033" s="155"/>
    </row>
    <row r="1034" spans="4:50">
      <c r="D1034" s="155"/>
      <c r="E1034" s="155"/>
      <c r="F1034" s="155"/>
      <c r="G1034" s="155"/>
      <c r="H1034" s="155"/>
      <c r="I1034" s="155"/>
      <c r="J1034" s="155"/>
      <c r="K1034" s="155"/>
      <c r="L1034" s="155"/>
      <c r="M1034" s="155"/>
      <c r="N1034" s="155"/>
      <c r="O1034" s="155"/>
      <c r="P1034" s="155"/>
      <c r="Q1034" s="155"/>
      <c r="R1034" s="155"/>
      <c r="S1034" s="155"/>
      <c r="T1034" s="155"/>
      <c r="U1034" s="155"/>
      <c r="V1034" s="155"/>
      <c r="W1034" s="155"/>
      <c r="X1034" s="155"/>
      <c r="Y1034" s="155"/>
      <c r="Z1034" s="155"/>
      <c r="AA1034" s="155"/>
      <c r="AB1034" s="155"/>
      <c r="AC1034" s="155"/>
      <c r="AD1034" s="155"/>
      <c r="AE1034" s="155"/>
      <c r="AF1034" s="155"/>
      <c r="AG1034" s="155"/>
      <c r="AH1034" s="155"/>
      <c r="AI1034" s="155"/>
      <c r="AJ1034" s="155"/>
      <c r="AK1034" s="155"/>
      <c r="AL1034" s="155"/>
      <c r="AM1034" s="155"/>
      <c r="AN1034" s="155"/>
      <c r="AO1034" s="155"/>
      <c r="AP1034" s="155"/>
      <c r="AQ1034" s="155"/>
      <c r="AR1034" s="155"/>
      <c r="AS1034" s="155"/>
      <c r="AT1034" s="155"/>
      <c r="AU1034" s="155"/>
      <c r="AV1034" s="155"/>
      <c r="AW1034" s="155"/>
      <c r="AX1034" s="155"/>
    </row>
    <row r="1035" spans="4:50">
      <c r="D1035" s="155"/>
      <c r="E1035" s="155"/>
      <c r="F1035" s="155"/>
      <c r="G1035" s="155"/>
      <c r="H1035" s="155"/>
      <c r="I1035" s="155"/>
      <c r="J1035" s="155"/>
      <c r="K1035" s="155"/>
      <c r="L1035" s="155"/>
      <c r="M1035" s="155"/>
      <c r="N1035" s="155"/>
      <c r="O1035" s="155"/>
      <c r="P1035" s="155"/>
      <c r="Q1035" s="155"/>
      <c r="R1035" s="155"/>
      <c r="S1035" s="155"/>
      <c r="T1035" s="155"/>
      <c r="U1035" s="155"/>
      <c r="V1035" s="155"/>
      <c r="W1035" s="155"/>
      <c r="X1035" s="155"/>
      <c r="Y1035" s="155"/>
      <c r="Z1035" s="155"/>
      <c r="AA1035" s="155"/>
      <c r="AB1035" s="155"/>
      <c r="AC1035" s="155"/>
      <c r="AD1035" s="155"/>
      <c r="AE1035" s="155"/>
      <c r="AF1035" s="155"/>
      <c r="AG1035" s="155"/>
      <c r="AH1035" s="155"/>
      <c r="AI1035" s="155"/>
      <c r="AJ1035" s="155"/>
      <c r="AK1035" s="155"/>
      <c r="AL1035" s="155"/>
      <c r="AM1035" s="155"/>
      <c r="AN1035" s="155"/>
      <c r="AO1035" s="155"/>
      <c r="AP1035" s="155"/>
      <c r="AQ1035" s="155"/>
      <c r="AR1035" s="155"/>
      <c r="AS1035" s="155"/>
      <c r="AT1035" s="155"/>
      <c r="AU1035" s="155"/>
      <c r="AV1035" s="155"/>
      <c r="AW1035" s="155"/>
      <c r="AX1035" s="155"/>
    </row>
    <row r="1036" spans="4:50">
      <c r="D1036" s="155"/>
      <c r="E1036" s="155"/>
      <c r="F1036" s="155"/>
      <c r="G1036" s="155"/>
      <c r="H1036" s="155"/>
      <c r="I1036" s="155"/>
      <c r="J1036" s="155"/>
      <c r="K1036" s="155"/>
      <c r="L1036" s="155"/>
      <c r="M1036" s="155"/>
      <c r="N1036" s="155"/>
      <c r="O1036" s="155"/>
      <c r="P1036" s="155"/>
      <c r="Q1036" s="155"/>
      <c r="R1036" s="155"/>
      <c r="S1036" s="155"/>
      <c r="T1036" s="155"/>
      <c r="U1036" s="155"/>
      <c r="V1036" s="155"/>
      <c r="W1036" s="155"/>
      <c r="X1036" s="155"/>
      <c r="Y1036" s="155"/>
      <c r="Z1036" s="155"/>
      <c r="AA1036" s="155"/>
      <c r="AB1036" s="155"/>
      <c r="AC1036" s="155"/>
      <c r="AD1036" s="155"/>
      <c r="AE1036" s="155"/>
      <c r="AF1036" s="155"/>
      <c r="AG1036" s="155"/>
      <c r="AH1036" s="155"/>
      <c r="AI1036" s="155"/>
      <c r="AJ1036" s="155"/>
      <c r="AK1036" s="155"/>
      <c r="AL1036" s="155"/>
      <c r="AM1036" s="155"/>
      <c r="AN1036" s="155"/>
      <c r="AO1036" s="155"/>
      <c r="AP1036" s="155"/>
      <c r="AQ1036" s="155"/>
      <c r="AR1036" s="155"/>
      <c r="AS1036" s="155"/>
      <c r="AT1036" s="155"/>
      <c r="AU1036" s="155"/>
      <c r="AV1036" s="155"/>
      <c r="AW1036" s="155"/>
      <c r="AX1036" s="155"/>
    </row>
    <row r="1037" spans="4:50">
      <c r="D1037" s="155"/>
      <c r="E1037" s="155"/>
      <c r="F1037" s="155"/>
      <c r="G1037" s="155"/>
      <c r="H1037" s="155"/>
      <c r="I1037" s="155"/>
      <c r="J1037" s="155"/>
      <c r="K1037" s="155"/>
      <c r="L1037" s="155"/>
      <c r="M1037" s="155"/>
      <c r="N1037" s="155"/>
      <c r="O1037" s="155"/>
      <c r="P1037" s="155"/>
      <c r="Q1037" s="155"/>
      <c r="R1037" s="155"/>
      <c r="S1037" s="155"/>
      <c r="T1037" s="155"/>
      <c r="U1037" s="155"/>
      <c r="V1037" s="155"/>
      <c r="W1037" s="155"/>
      <c r="X1037" s="155"/>
      <c r="Y1037" s="155"/>
      <c r="Z1037" s="155"/>
      <c r="AA1037" s="155"/>
      <c r="AB1037" s="155"/>
      <c r="AC1037" s="155"/>
      <c r="AD1037" s="155"/>
      <c r="AE1037" s="155"/>
      <c r="AF1037" s="155"/>
      <c r="AG1037" s="155"/>
      <c r="AH1037" s="155"/>
      <c r="AI1037" s="155"/>
      <c r="AJ1037" s="155"/>
      <c r="AK1037" s="155"/>
      <c r="AL1037" s="155"/>
      <c r="AM1037" s="155"/>
      <c r="AN1037" s="155"/>
      <c r="AO1037" s="155"/>
      <c r="AP1037" s="155"/>
      <c r="AQ1037" s="155"/>
      <c r="AR1037" s="155"/>
      <c r="AS1037" s="155"/>
      <c r="AT1037" s="155"/>
      <c r="AU1037" s="155"/>
      <c r="AV1037" s="155"/>
      <c r="AW1037" s="155"/>
      <c r="AX1037" s="155"/>
    </row>
    <row r="1038" spans="4:50">
      <c r="D1038" s="155"/>
      <c r="E1038" s="155"/>
      <c r="F1038" s="155"/>
      <c r="G1038" s="155"/>
      <c r="H1038" s="155"/>
      <c r="I1038" s="155"/>
      <c r="J1038" s="155"/>
      <c r="K1038" s="155"/>
      <c r="L1038" s="155"/>
      <c r="M1038" s="155"/>
      <c r="N1038" s="155"/>
      <c r="O1038" s="155"/>
      <c r="P1038" s="155"/>
      <c r="Q1038" s="155"/>
      <c r="R1038" s="155"/>
      <c r="S1038" s="155"/>
      <c r="T1038" s="155"/>
      <c r="U1038" s="155"/>
      <c r="V1038" s="155"/>
      <c r="W1038" s="155"/>
      <c r="X1038" s="155"/>
      <c r="Y1038" s="155"/>
      <c r="Z1038" s="155"/>
      <c r="AA1038" s="155"/>
      <c r="AB1038" s="155"/>
      <c r="AC1038" s="155"/>
      <c r="AD1038" s="155"/>
      <c r="AE1038" s="155"/>
      <c r="AF1038" s="155"/>
      <c r="AG1038" s="155"/>
      <c r="AH1038" s="155"/>
      <c r="AI1038" s="155"/>
      <c r="AJ1038" s="155"/>
      <c r="AK1038" s="155"/>
      <c r="AL1038" s="155"/>
      <c r="AM1038" s="155"/>
      <c r="AN1038" s="155"/>
      <c r="AO1038" s="155"/>
      <c r="AP1038" s="155"/>
      <c r="AQ1038" s="155"/>
      <c r="AR1038" s="155"/>
      <c r="AS1038" s="155"/>
      <c r="AT1038" s="155"/>
      <c r="AU1038" s="155"/>
      <c r="AV1038" s="155"/>
      <c r="AW1038" s="155"/>
      <c r="AX1038" s="155"/>
    </row>
    <row r="1039" spans="4:50">
      <c r="D1039" s="155"/>
      <c r="E1039" s="155"/>
      <c r="F1039" s="155"/>
      <c r="G1039" s="155"/>
      <c r="H1039" s="155"/>
      <c r="I1039" s="155"/>
      <c r="J1039" s="155"/>
      <c r="K1039" s="155"/>
      <c r="L1039" s="155"/>
      <c r="M1039" s="155"/>
      <c r="N1039" s="155"/>
      <c r="O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AV1039" s="155"/>
      <c r="AW1039" s="155"/>
      <c r="AX1039" s="155"/>
    </row>
    <row r="1040" spans="4:50">
      <c r="D1040" s="155"/>
      <c r="E1040" s="155"/>
      <c r="F1040" s="155"/>
      <c r="G1040" s="155"/>
      <c r="H1040" s="155"/>
      <c r="I1040" s="155"/>
      <c r="J1040" s="155"/>
      <c r="K1040" s="155"/>
      <c r="L1040" s="155"/>
      <c r="M1040" s="155"/>
      <c r="N1040" s="155"/>
      <c r="O1040" s="155"/>
      <c r="P1040" s="155"/>
      <c r="Q1040" s="155"/>
      <c r="R1040" s="155"/>
      <c r="S1040" s="155"/>
      <c r="T1040" s="155"/>
      <c r="U1040" s="155"/>
      <c r="V1040" s="155"/>
      <c r="W1040" s="155"/>
      <c r="X1040" s="155"/>
      <c r="Y1040" s="155"/>
      <c r="Z1040" s="155"/>
      <c r="AA1040" s="155"/>
      <c r="AB1040" s="155"/>
      <c r="AC1040" s="155"/>
      <c r="AD1040" s="155"/>
      <c r="AE1040" s="155"/>
      <c r="AF1040" s="155"/>
      <c r="AG1040" s="155"/>
      <c r="AH1040" s="155"/>
      <c r="AI1040" s="155"/>
      <c r="AJ1040" s="155"/>
      <c r="AK1040" s="155"/>
      <c r="AL1040" s="155"/>
      <c r="AM1040" s="155"/>
      <c r="AN1040" s="155"/>
      <c r="AO1040" s="155"/>
      <c r="AP1040" s="155"/>
      <c r="AQ1040" s="155"/>
      <c r="AR1040" s="155"/>
      <c r="AS1040" s="155"/>
      <c r="AT1040" s="155"/>
      <c r="AU1040" s="155"/>
      <c r="AV1040" s="155"/>
      <c r="AW1040" s="155"/>
      <c r="AX1040" s="155"/>
    </row>
    <row r="1041" spans="4:50">
      <c r="D1041" s="155"/>
      <c r="E1041" s="155"/>
      <c r="F1041" s="155"/>
      <c r="G1041" s="155"/>
      <c r="H1041" s="155"/>
      <c r="I1041" s="155"/>
      <c r="J1041" s="155"/>
      <c r="K1041" s="155"/>
      <c r="L1041" s="155"/>
      <c r="M1041" s="155"/>
      <c r="N1041" s="155"/>
      <c r="O1041" s="155"/>
      <c r="P1041" s="155"/>
      <c r="Q1041" s="155"/>
      <c r="R1041" s="155"/>
      <c r="S1041" s="155"/>
      <c r="T1041" s="155"/>
      <c r="U1041" s="155"/>
      <c r="V1041" s="155"/>
      <c r="W1041" s="155"/>
      <c r="X1041" s="155"/>
      <c r="Y1041" s="155"/>
      <c r="Z1041" s="155"/>
      <c r="AA1041" s="155"/>
      <c r="AB1041" s="155"/>
      <c r="AC1041" s="155"/>
      <c r="AD1041" s="155"/>
      <c r="AE1041" s="155"/>
      <c r="AF1041" s="155"/>
      <c r="AG1041" s="155"/>
      <c r="AH1041" s="155"/>
      <c r="AI1041" s="155"/>
      <c r="AJ1041" s="155"/>
      <c r="AK1041" s="155"/>
      <c r="AL1041" s="155"/>
      <c r="AM1041" s="155"/>
      <c r="AN1041" s="155"/>
      <c r="AO1041" s="155"/>
      <c r="AP1041" s="155"/>
      <c r="AQ1041" s="155"/>
      <c r="AR1041" s="155"/>
      <c r="AS1041" s="155"/>
      <c r="AT1041" s="155"/>
      <c r="AU1041" s="155"/>
      <c r="AV1041" s="155"/>
      <c r="AW1041" s="155"/>
      <c r="AX1041" s="155"/>
    </row>
    <row r="1042" spans="4:50">
      <c r="D1042" s="155"/>
      <c r="E1042" s="155"/>
      <c r="F1042" s="155"/>
      <c r="G1042" s="155"/>
      <c r="H1042" s="155"/>
      <c r="I1042" s="155"/>
      <c r="J1042" s="155"/>
      <c r="K1042" s="155"/>
      <c r="L1042" s="155"/>
      <c r="M1042" s="155"/>
      <c r="N1042" s="155"/>
      <c r="O1042" s="155"/>
      <c r="P1042" s="155"/>
      <c r="Q1042" s="155"/>
      <c r="R1042" s="155"/>
      <c r="S1042" s="155"/>
      <c r="T1042" s="155"/>
      <c r="U1042" s="155"/>
      <c r="V1042" s="155"/>
      <c r="W1042" s="155"/>
      <c r="X1042" s="155"/>
      <c r="Y1042" s="155"/>
      <c r="Z1042" s="155"/>
      <c r="AA1042" s="155"/>
      <c r="AB1042" s="155"/>
      <c r="AC1042" s="155"/>
      <c r="AD1042" s="155"/>
      <c r="AE1042" s="155"/>
      <c r="AF1042" s="155"/>
      <c r="AG1042" s="155"/>
      <c r="AH1042" s="155"/>
      <c r="AI1042" s="155"/>
      <c r="AJ1042" s="155"/>
      <c r="AK1042" s="155"/>
      <c r="AL1042" s="155"/>
      <c r="AM1042" s="155"/>
      <c r="AN1042" s="155"/>
      <c r="AO1042" s="155"/>
      <c r="AP1042" s="155"/>
      <c r="AQ1042" s="155"/>
      <c r="AR1042" s="155"/>
      <c r="AS1042" s="155"/>
      <c r="AT1042" s="155"/>
      <c r="AU1042" s="155"/>
      <c r="AV1042" s="155"/>
      <c r="AW1042" s="155"/>
      <c r="AX1042" s="155"/>
    </row>
    <row r="1043" spans="4:50">
      <c r="D1043" s="155"/>
      <c r="E1043" s="155"/>
      <c r="F1043" s="155"/>
      <c r="G1043" s="155"/>
      <c r="H1043" s="155"/>
      <c r="I1043" s="155"/>
      <c r="J1043" s="155"/>
      <c r="K1043" s="155"/>
      <c r="L1043" s="155"/>
      <c r="M1043" s="155"/>
      <c r="N1043" s="155"/>
      <c r="O1043" s="155"/>
      <c r="P1043" s="155"/>
      <c r="Q1043" s="155"/>
      <c r="R1043" s="155"/>
      <c r="S1043" s="155"/>
      <c r="T1043" s="155"/>
      <c r="U1043" s="155"/>
      <c r="V1043" s="155"/>
      <c r="W1043" s="155"/>
      <c r="X1043" s="155"/>
      <c r="Y1043" s="155"/>
      <c r="Z1043" s="155"/>
      <c r="AA1043" s="155"/>
      <c r="AB1043" s="155"/>
      <c r="AC1043" s="155"/>
      <c r="AD1043" s="155"/>
      <c r="AE1043" s="155"/>
      <c r="AF1043" s="155"/>
      <c r="AG1043" s="155"/>
      <c r="AH1043" s="155"/>
      <c r="AI1043" s="155"/>
      <c r="AJ1043" s="155"/>
      <c r="AK1043" s="155"/>
      <c r="AL1043" s="155"/>
      <c r="AM1043" s="155"/>
      <c r="AN1043" s="155"/>
      <c r="AO1043" s="155"/>
      <c r="AP1043" s="155"/>
      <c r="AQ1043" s="155"/>
      <c r="AR1043" s="155"/>
      <c r="AS1043" s="155"/>
      <c r="AT1043" s="155"/>
      <c r="AU1043" s="155"/>
      <c r="AV1043" s="155"/>
      <c r="AW1043" s="155"/>
      <c r="AX1043" s="155"/>
    </row>
    <row r="1044" spans="4:50">
      <c r="D1044" s="155"/>
      <c r="E1044" s="155"/>
      <c r="F1044" s="155"/>
      <c r="G1044" s="155"/>
      <c r="H1044" s="155"/>
      <c r="I1044" s="155"/>
      <c r="J1044" s="155"/>
      <c r="K1044" s="155"/>
      <c r="L1044" s="155"/>
      <c r="M1044" s="155"/>
      <c r="N1044" s="155"/>
      <c r="O1044" s="155"/>
      <c r="P1044" s="155"/>
      <c r="Q1044" s="155"/>
      <c r="R1044" s="155"/>
      <c r="S1044" s="155"/>
      <c r="T1044" s="155"/>
      <c r="U1044" s="155"/>
      <c r="V1044" s="155"/>
      <c r="W1044" s="155"/>
      <c r="X1044" s="155"/>
      <c r="Y1044" s="155"/>
      <c r="Z1044" s="155"/>
      <c r="AA1044" s="155"/>
      <c r="AB1044" s="155"/>
      <c r="AC1044" s="155"/>
      <c r="AD1044" s="155"/>
      <c r="AE1044" s="155"/>
      <c r="AF1044" s="155"/>
      <c r="AG1044" s="155"/>
      <c r="AH1044" s="155"/>
      <c r="AI1044" s="155"/>
      <c r="AJ1044" s="155"/>
      <c r="AK1044" s="155"/>
      <c r="AL1044" s="155"/>
      <c r="AM1044" s="155"/>
      <c r="AN1044" s="155"/>
      <c r="AO1044" s="155"/>
      <c r="AP1044" s="155"/>
      <c r="AQ1044" s="155"/>
      <c r="AR1044" s="155"/>
      <c r="AS1044" s="155"/>
      <c r="AT1044" s="155"/>
      <c r="AU1044" s="155"/>
      <c r="AV1044" s="155"/>
      <c r="AW1044" s="155"/>
      <c r="AX1044" s="155"/>
    </row>
    <row r="1045" spans="4:50">
      <c r="D1045" s="155"/>
      <c r="E1045" s="155"/>
      <c r="F1045" s="155"/>
      <c r="G1045" s="155"/>
      <c r="H1045" s="155"/>
      <c r="I1045" s="155"/>
      <c r="J1045" s="155"/>
      <c r="K1045" s="155"/>
      <c r="L1045" s="155"/>
      <c r="M1045" s="155"/>
      <c r="N1045" s="155"/>
      <c r="O1045" s="155"/>
      <c r="P1045" s="155"/>
      <c r="Q1045" s="155"/>
      <c r="R1045" s="155"/>
      <c r="S1045" s="155"/>
      <c r="T1045" s="155"/>
      <c r="U1045" s="155"/>
      <c r="V1045" s="155"/>
      <c r="W1045" s="155"/>
      <c r="X1045" s="155"/>
      <c r="Y1045" s="155"/>
      <c r="Z1045" s="155"/>
      <c r="AA1045" s="155"/>
      <c r="AB1045" s="155"/>
      <c r="AC1045" s="155"/>
      <c r="AD1045" s="155"/>
      <c r="AE1045" s="155"/>
      <c r="AF1045" s="155"/>
      <c r="AG1045" s="155"/>
      <c r="AH1045" s="155"/>
      <c r="AI1045" s="155"/>
      <c r="AJ1045" s="155"/>
      <c r="AK1045" s="155"/>
      <c r="AL1045" s="155"/>
      <c r="AM1045" s="155"/>
      <c r="AN1045" s="155"/>
      <c r="AO1045" s="155"/>
      <c r="AP1045" s="155"/>
      <c r="AQ1045" s="155"/>
      <c r="AR1045" s="155"/>
      <c r="AS1045" s="155"/>
      <c r="AT1045" s="155"/>
      <c r="AU1045" s="155"/>
      <c r="AV1045" s="155"/>
      <c r="AW1045" s="155"/>
      <c r="AX1045" s="155"/>
    </row>
    <row r="1046" spans="4:50">
      <c r="D1046" s="155"/>
      <c r="E1046" s="155"/>
      <c r="F1046" s="155"/>
      <c r="G1046" s="155"/>
      <c r="H1046" s="155"/>
      <c r="I1046" s="155"/>
      <c r="J1046" s="155"/>
      <c r="K1046" s="155"/>
      <c r="L1046" s="155"/>
      <c r="M1046" s="155"/>
      <c r="N1046" s="155"/>
      <c r="O1046" s="155"/>
      <c r="P1046" s="155"/>
      <c r="Q1046" s="155"/>
      <c r="R1046" s="155"/>
      <c r="S1046" s="155"/>
      <c r="T1046" s="155"/>
      <c r="U1046" s="155"/>
      <c r="V1046" s="155"/>
      <c r="W1046" s="155"/>
      <c r="X1046" s="155"/>
      <c r="Y1046" s="155"/>
      <c r="Z1046" s="155"/>
      <c r="AA1046" s="155"/>
      <c r="AB1046" s="155"/>
      <c r="AC1046" s="155"/>
      <c r="AD1046" s="155"/>
      <c r="AE1046" s="155"/>
      <c r="AF1046" s="155"/>
      <c r="AG1046" s="155"/>
      <c r="AH1046" s="155"/>
      <c r="AI1046" s="155"/>
      <c r="AJ1046" s="155"/>
      <c r="AK1046" s="155"/>
      <c r="AL1046" s="155"/>
      <c r="AM1046" s="155"/>
      <c r="AN1046" s="155"/>
      <c r="AO1046" s="155"/>
      <c r="AP1046" s="155"/>
      <c r="AQ1046" s="155"/>
      <c r="AR1046" s="155"/>
      <c r="AS1046" s="155"/>
      <c r="AT1046" s="155"/>
      <c r="AU1046" s="155"/>
      <c r="AV1046" s="155"/>
      <c r="AW1046" s="155"/>
      <c r="AX1046" s="155"/>
    </row>
    <row r="1047" spans="4:50">
      <c r="D1047" s="155"/>
      <c r="E1047" s="155"/>
      <c r="F1047" s="155"/>
      <c r="G1047" s="155"/>
      <c r="H1047" s="155"/>
      <c r="I1047" s="155"/>
      <c r="J1047" s="155"/>
      <c r="K1047" s="155"/>
      <c r="L1047" s="155"/>
      <c r="M1047" s="155"/>
      <c r="N1047" s="155"/>
      <c r="O1047" s="155"/>
      <c r="P1047" s="155"/>
      <c r="Q1047" s="155"/>
      <c r="R1047" s="155"/>
      <c r="S1047" s="155"/>
      <c r="T1047" s="155"/>
      <c r="U1047" s="155"/>
      <c r="V1047" s="155"/>
      <c r="W1047" s="155"/>
      <c r="X1047" s="155"/>
      <c r="Y1047" s="155"/>
      <c r="Z1047" s="155"/>
      <c r="AA1047" s="155"/>
      <c r="AB1047" s="155"/>
      <c r="AC1047" s="155"/>
      <c r="AD1047" s="155"/>
      <c r="AE1047" s="155"/>
      <c r="AF1047" s="155"/>
      <c r="AG1047" s="155"/>
      <c r="AH1047" s="155"/>
      <c r="AI1047" s="155"/>
      <c r="AJ1047" s="155"/>
      <c r="AK1047" s="155"/>
      <c r="AL1047" s="155"/>
      <c r="AM1047" s="155"/>
      <c r="AN1047" s="155"/>
      <c r="AO1047" s="155"/>
      <c r="AP1047" s="155"/>
      <c r="AQ1047" s="155"/>
      <c r="AR1047" s="155"/>
      <c r="AS1047" s="155"/>
      <c r="AT1047" s="155"/>
      <c r="AU1047" s="155"/>
      <c r="AV1047" s="155"/>
      <c r="AW1047" s="155"/>
      <c r="AX1047" s="155"/>
    </row>
    <row r="1048" spans="4:50">
      <c r="D1048" s="155"/>
      <c r="E1048" s="155"/>
      <c r="F1048" s="155"/>
      <c r="G1048" s="155"/>
      <c r="H1048" s="155"/>
      <c r="I1048" s="155"/>
      <c r="J1048" s="155"/>
      <c r="K1048" s="155"/>
      <c r="L1048" s="155"/>
      <c r="M1048" s="155"/>
      <c r="N1048" s="155"/>
      <c r="O1048" s="155"/>
      <c r="P1048" s="155"/>
      <c r="Q1048" s="155"/>
      <c r="R1048" s="155"/>
      <c r="S1048" s="155"/>
      <c r="T1048" s="155"/>
      <c r="U1048" s="155"/>
      <c r="V1048" s="155"/>
      <c r="W1048" s="155"/>
      <c r="X1048" s="155"/>
      <c r="Y1048" s="155"/>
      <c r="Z1048" s="155"/>
      <c r="AA1048" s="155"/>
      <c r="AB1048" s="155"/>
      <c r="AC1048" s="155"/>
      <c r="AD1048" s="155"/>
      <c r="AE1048" s="155"/>
      <c r="AF1048" s="155"/>
      <c r="AG1048" s="155"/>
      <c r="AH1048" s="155"/>
      <c r="AI1048" s="155"/>
      <c r="AJ1048" s="155"/>
      <c r="AK1048" s="155"/>
      <c r="AL1048" s="155"/>
      <c r="AM1048" s="155"/>
      <c r="AN1048" s="155"/>
      <c r="AO1048" s="155"/>
      <c r="AP1048" s="155"/>
      <c r="AQ1048" s="155"/>
      <c r="AR1048" s="155"/>
      <c r="AS1048" s="155"/>
      <c r="AT1048" s="155"/>
      <c r="AU1048" s="155"/>
      <c r="AV1048" s="155"/>
      <c r="AW1048" s="155"/>
      <c r="AX1048" s="155"/>
    </row>
    <row r="1049" spans="4:50">
      <c r="D1049" s="155"/>
      <c r="E1049" s="155"/>
      <c r="F1049" s="155"/>
      <c r="G1049" s="155"/>
      <c r="H1049" s="155"/>
      <c r="I1049" s="155"/>
      <c r="J1049" s="155"/>
      <c r="K1049" s="155"/>
      <c r="L1049" s="155"/>
      <c r="M1049" s="155"/>
      <c r="N1049" s="155"/>
      <c r="O1049" s="155"/>
      <c r="P1049" s="155"/>
      <c r="Q1049" s="155"/>
      <c r="R1049" s="155"/>
      <c r="S1049" s="155"/>
      <c r="T1049" s="155"/>
      <c r="U1049" s="155"/>
      <c r="V1049" s="155"/>
      <c r="W1049" s="155"/>
      <c r="X1049" s="155"/>
      <c r="Y1049" s="155"/>
      <c r="Z1049" s="155"/>
      <c r="AA1049" s="155"/>
      <c r="AB1049" s="155"/>
      <c r="AC1049" s="155"/>
      <c r="AD1049" s="155"/>
      <c r="AE1049" s="155"/>
      <c r="AF1049" s="155"/>
      <c r="AG1049" s="155"/>
      <c r="AH1049" s="155"/>
      <c r="AI1049" s="155"/>
      <c r="AJ1049" s="155"/>
      <c r="AK1049" s="155"/>
      <c r="AL1049" s="155"/>
      <c r="AM1049" s="155"/>
      <c r="AN1049" s="155"/>
      <c r="AO1049" s="155"/>
      <c r="AP1049" s="155"/>
      <c r="AQ1049" s="155"/>
      <c r="AR1049" s="155"/>
      <c r="AS1049" s="155"/>
      <c r="AT1049" s="155"/>
      <c r="AU1049" s="155"/>
      <c r="AV1049" s="155"/>
      <c r="AW1049" s="155"/>
      <c r="AX1049" s="155"/>
    </row>
    <row r="1050" spans="4:50">
      <c r="D1050" s="155"/>
      <c r="E1050" s="155"/>
      <c r="F1050" s="155"/>
      <c r="G1050" s="155"/>
      <c r="H1050" s="155"/>
      <c r="I1050" s="155"/>
      <c r="J1050" s="155"/>
      <c r="K1050" s="155"/>
      <c r="L1050" s="155"/>
      <c r="M1050" s="155"/>
      <c r="N1050" s="155"/>
      <c r="O1050" s="155"/>
      <c r="P1050" s="155"/>
      <c r="Q1050" s="155"/>
      <c r="R1050" s="155"/>
      <c r="S1050" s="155"/>
      <c r="T1050" s="155"/>
      <c r="U1050" s="155"/>
      <c r="V1050" s="155"/>
      <c r="W1050" s="155"/>
      <c r="X1050" s="155"/>
      <c r="Y1050" s="155"/>
      <c r="Z1050" s="155"/>
      <c r="AA1050" s="155"/>
      <c r="AB1050" s="155"/>
      <c r="AC1050" s="155"/>
      <c r="AD1050" s="155"/>
      <c r="AE1050" s="155"/>
      <c r="AF1050" s="155"/>
      <c r="AG1050" s="155"/>
      <c r="AH1050" s="155"/>
      <c r="AI1050" s="155"/>
      <c r="AJ1050" s="155"/>
      <c r="AK1050" s="155"/>
      <c r="AL1050" s="155"/>
      <c r="AM1050" s="155"/>
      <c r="AN1050" s="155"/>
      <c r="AO1050" s="155"/>
      <c r="AP1050" s="155"/>
      <c r="AQ1050" s="155"/>
      <c r="AR1050" s="155"/>
      <c r="AS1050" s="155"/>
      <c r="AT1050" s="155"/>
      <c r="AU1050" s="155"/>
      <c r="AV1050" s="155"/>
      <c r="AW1050" s="155"/>
      <c r="AX1050" s="155"/>
    </row>
    <row r="1051" spans="4:50">
      <c r="D1051" s="155"/>
      <c r="E1051" s="155"/>
      <c r="F1051" s="155"/>
      <c r="G1051" s="155"/>
      <c r="H1051" s="155"/>
      <c r="I1051" s="155"/>
      <c r="J1051" s="155"/>
      <c r="K1051" s="155"/>
      <c r="L1051" s="155"/>
      <c r="M1051" s="155"/>
      <c r="N1051" s="155"/>
      <c r="O1051" s="155"/>
      <c r="P1051" s="155"/>
      <c r="Q1051" s="155"/>
      <c r="R1051" s="155"/>
      <c r="S1051" s="155"/>
      <c r="T1051" s="155"/>
      <c r="U1051" s="155"/>
      <c r="V1051" s="155"/>
      <c r="W1051" s="155"/>
      <c r="X1051" s="155"/>
      <c r="Y1051" s="155"/>
      <c r="Z1051" s="155"/>
      <c r="AA1051" s="155"/>
      <c r="AB1051" s="155"/>
      <c r="AC1051" s="155"/>
      <c r="AD1051" s="155"/>
      <c r="AE1051" s="155"/>
      <c r="AF1051" s="155"/>
      <c r="AG1051" s="155"/>
      <c r="AH1051" s="155"/>
      <c r="AI1051" s="155"/>
      <c r="AJ1051" s="155"/>
      <c r="AK1051" s="155"/>
      <c r="AL1051" s="155"/>
      <c r="AM1051" s="155"/>
      <c r="AN1051" s="155"/>
      <c r="AO1051" s="155"/>
      <c r="AP1051" s="155"/>
      <c r="AQ1051" s="155"/>
      <c r="AR1051" s="155"/>
      <c r="AS1051" s="155"/>
      <c r="AT1051" s="155"/>
      <c r="AU1051" s="155"/>
      <c r="AV1051" s="155"/>
      <c r="AW1051" s="155"/>
      <c r="AX1051" s="155"/>
    </row>
    <row r="1052" spans="4:50">
      <c r="D1052" s="155"/>
      <c r="E1052" s="155"/>
      <c r="F1052" s="155"/>
      <c r="G1052" s="155"/>
      <c r="H1052" s="155"/>
      <c r="I1052" s="155"/>
      <c r="J1052" s="155"/>
      <c r="K1052" s="155"/>
      <c r="L1052" s="155"/>
      <c r="M1052" s="155"/>
      <c r="N1052" s="155"/>
      <c r="O1052" s="155"/>
      <c r="P1052" s="155"/>
      <c r="Q1052" s="155"/>
      <c r="R1052" s="155"/>
      <c r="S1052" s="155"/>
      <c r="T1052" s="155"/>
      <c r="U1052" s="155"/>
      <c r="V1052" s="155"/>
      <c r="W1052" s="155"/>
      <c r="X1052" s="155"/>
      <c r="Y1052" s="155"/>
      <c r="Z1052" s="155"/>
      <c r="AA1052" s="155"/>
      <c r="AB1052" s="155"/>
      <c r="AC1052" s="155"/>
      <c r="AD1052" s="155"/>
      <c r="AE1052" s="155"/>
      <c r="AF1052" s="155"/>
      <c r="AG1052" s="155"/>
      <c r="AH1052" s="155"/>
      <c r="AI1052" s="155"/>
      <c r="AJ1052" s="155"/>
      <c r="AK1052" s="155"/>
      <c r="AL1052" s="155"/>
      <c r="AM1052" s="155"/>
      <c r="AN1052" s="155"/>
      <c r="AO1052" s="155"/>
      <c r="AP1052" s="155"/>
      <c r="AQ1052" s="155"/>
      <c r="AR1052" s="155"/>
      <c r="AS1052" s="155"/>
      <c r="AT1052" s="155"/>
      <c r="AU1052" s="155"/>
      <c r="AV1052" s="155"/>
      <c r="AW1052" s="155"/>
      <c r="AX1052" s="155"/>
    </row>
    <row r="1053" spans="4:50">
      <c r="D1053" s="155"/>
      <c r="E1053" s="155"/>
      <c r="F1053" s="155"/>
      <c r="G1053" s="155"/>
      <c r="H1053" s="155"/>
      <c r="I1053" s="155"/>
      <c r="J1053" s="155"/>
      <c r="K1053" s="155"/>
      <c r="L1053" s="155"/>
      <c r="M1053" s="155"/>
      <c r="N1053" s="155"/>
      <c r="O1053" s="155"/>
      <c r="P1053" s="155"/>
      <c r="Q1053" s="155"/>
      <c r="R1053" s="155"/>
      <c r="S1053" s="155"/>
      <c r="T1053" s="155"/>
      <c r="U1053" s="155"/>
      <c r="V1053" s="155"/>
      <c r="W1053" s="155"/>
      <c r="X1053" s="155"/>
      <c r="Y1053" s="155"/>
      <c r="Z1053" s="155"/>
      <c r="AA1053" s="155"/>
      <c r="AB1053" s="155"/>
      <c r="AC1053" s="155"/>
      <c r="AD1053" s="155"/>
      <c r="AE1053" s="155"/>
      <c r="AF1053" s="155"/>
      <c r="AG1053" s="155"/>
      <c r="AH1053" s="155"/>
      <c r="AI1053" s="155"/>
      <c r="AJ1053" s="155"/>
      <c r="AK1053" s="155"/>
      <c r="AL1053" s="155"/>
      <c r="AM1053" s="155"/>
      <c r="AN1053" s="155"/>
      <c r="AO1053" s="155"/>
      <c r="AP1053" s="155"/>
      <c r="AQ1053" s="155"/>
      <c r="AR1053" s="155"/>
      <c r="AS1053" s="155"/>
      <c r="AT1053" s="155"/>
      <c r="AU1053" s="155"/>
      <c r="AV1053" s="155"/>
      <c r="AW1053" s="155"/>
      <c r="AX1053" s="155"/>
    </row>
    <row r="1054" spans="4:50">
      <c r="D1054" s="155"/>
      <c r="E1054" s="155"/>
      <c r="F1054" s="155"/>
      <c r="G1054" s="155"/>
      <c r="H1054" s="155"/>
      <c r="I1054" s="155"/>
      <c r="J1054" s="155"/>
      <c r="K1054" s="155"/>
      <c r="L1054" s="155"/>
      <c r="M1054" s="155"/>
      <c r="N1054" s="155"/>
      <c r="O1054" s="155"/>
      <c r="P1054" s="155"/>
      <c r="Q1054" s="155"/>
      <c r="R1054" s="155"/>
      <c r="S1054" s="155"/>
      <c r="T1054" s="155"/>
      <c r="U1054" s="155"/>
      <c r="V1054" s="155"/>
      <c r="W1054" s="155"/>
      <c r="X1054" s="155"/>
      <c r="Y1054" s="155"/>
      <c r="Z1054" s="155"/>
      <c r="AA1054" s="155"/>
      <c r="AB1054" s="155"/>
      <c r="AC1054" s="155"/>
      <c r="AD1054" s="155"/>
      <c r="AE1054" s="155"/>
      <c r="AF1054" s="155"/>
      <c r="AG1054" s="155"/>
      <c r="AH1054" s="155"/>
      <c r="AI1054" s="155"/>
      <c r="AJ1054" s="155"/>
      <c r="AK1054" s="155"/>
      <c r="AL1054" s="155"/>
      <c r="AM1054" s="155"/>
      <c r="AN1054" s="155"/>
      <c r="AO1054" s="155"/>
      <c r="AP1054" s="155"/>
      <c r="AQ1054" s="155"/>
      <c r="AR1054" s="155"/>
      <c r="AS1054" s="155"/>
      <c r="AT1054" s="155"/>
      <c r="AU1054" s="155"/>
      <c r="AV1054" s="155"/>
      <c r="AW1054" s="155"/>
      <c r="AX1054" s="155"/>
    </row>
    <row r="1055" spans="4:50">
      <c r="D1055" s="155"/>
      <c r="E1055" s="155"/>
      <c r="F1055" s="155"/>
      <c r="G1055" s="155"/>
      <c r="H1055" s="155"/>
      <c r="I1055" s="155"/>
      <c r="J1055" s="155"/>
      <c r="K1055" s="155"/>
      <c r="L1055" s="155"/>
      <c r="M1055" s="155"/>
      <c r="N1055" s="155"/>
      <c r="O1055" s="155"/>
      <c r="P1055" s="155"/>
      <c r="Q1055" s="155"/>
      <c r="R1055" s="155"/>
      <c r="S1055" s="155"/>
      <c r="T1055" s="155"/>
      <c r="U1055" s="155"/>
      <c r="V1055" s="155"/>
      <c r="W1055" s="155"/>
      <c r="X1055" s="155"/>
      <c r="Y1055" s="155"/>
      <c r="Z1055" s="155"/>
      <c r="AA1055" s="155"/>
      <c r="AB1055" s="155"/>
      <c r="AC1055" s="155"/>
      <c r="AD1055" s="155"/>
      <c r="AE1055" s="155"/>
      <c r="AF1055" s="155"/>
      <c r="AG1055" s="155"/>
      <c r="AH1055" s="155"/>
      <c r="AI1055" s="155"/>
      <c r="AJ1055" s="155"/>
      <c r="AK1055" s="155"/>
      <c r="AL1055" s="155"/>
      <c r="AM1055" s="155"/>
      <c r="AN1055" s="155"/>
      <c r="AO1055" s="155"/>
      <c r="AP1055" s="155"/>
      <c r="AQ1055" s="155"/>
      <c r="AR1055" s="155"/>
      <c r="AS1055" s="155"/>
      <c r="AT1055" s="155"/>
      <c r="AU1055" s="155"/>
      <c r="AV1055" s="155"/>
      <c r="AW1055" s="155"/>
      <c r="AX1055" s="155"/>
    </row>
    <row r="1056" spans="4:50">
      <c r="D1056" s="155"/>
      <c r="E1056" s="155"/>
      <c r="F1056" s="155"/>
      <c r="G1056" s="155"/>
      <c r="H1056" s="155"/>
      <c r="I1056" s="155"/>
      <c r="J1056" s="155"/>
      <c r="K1056" s="155"/>
      <c r="L1056" s="155"/>
      <c r="M1056" s="155"/>
      <c r="N1056" s="155"/>
      <c r="O1056" s="155"/>
      <c r="P1056" s="155"/>
      <c r="Q1056" s="155"/>
      <c r="R1056" s="155"/>
      <c r="S1056" s="155"/>
      <c r="T1056" s="155"/>
      <c r="U1056" s="155"/>
      <c r="V1056" s="155"/>
      <c r="W1056" s="155"/>
      <c r="X1056" s="155"/>
      <c r="Y1056" s="155"/>
      <c r="Z1056" s="155"/>
      <c r="AA1056" s="155"/>
      <c r="AB1056" s="155"/>
      <c r="AC1056" s="155"/>
      <c r="AD1056" s="155"/>
      <c r="AE1056" s="155"/>
      <c r="AF1056" s="155"/>
      <c r="AG1056" s="155"/>
      <c r="AH1056" s="155"/>
      <c r="AI1056" s="155"/>
      <c r="AJ1056" s="155"/>
      <c r="AK1056" s="155"/>
      <c r="AL1056" s="155"/>
      <c r="AM1056" s="155"/>
      <c r="AN1056" s="155"/>
      <c r="AO1056" s="155"/>
      <c r="AP1056" s="155"/>
      <c r="AQ1056" s="155"/>
      <c r="AR1056" s="155"/>
      <c r="AS1056" s="155"/>
      <c r="AT1056" s="155"/>
      <c r="AU1056" s="155"/>
      <c r="AV1056" s="155"/>
      <c r="AW1056" s="155"/>
      <c r="AX1056" s="155"/>
    </row>
    <row r="1057" spans="4:50">
      <c r="D1057" s="155"/>
      <c r="E1057" s="155"/>
      <c r="F1057" s="155"/>
      <c r="G1057" s="155"/>
      <c r="H1057" s="155"/>
      <c r="I1057" s="155"/>
      <c r="J1057" s="155"/>
      <c r="K1057" s="155"/>
      <c r="L1057" s="155"/>
      <c r="M1057" s="155"/>
      <c r="N1057" s="155"/>
      <c r="O1057" s="155"/>
      <c r="P1057" s="155"/>
      <c r="Q1057" s="155"/>
      <c r="R1057" s="155"/>
      <c r="S1057" s="155"/>
      <c r="T1057" s="155"/>
      <c r="U1057" s="155"/>
      <c r="V1057" s="155"/>
      <c r="W1057" s="155"/>
      <c r="X1057" s="155"/>
      <c r="Y1057" s="155"/>
      <c r="Z1057" s="155"/>
      <c r="AA1057" s="155"/>
      <c r="AB1057" s="155"/>
      <c r="AC1057" s="155"/>
      <c r="AD1057" s="155"/>
      <c r="AE1057" s="155"/>
      <c r="AF1057" s="155"/>
      <c r="AG1057" s="155"/>
      <c r="AH1057" s="155"/>
      <c r="AI1057" s="155"/>
      <c r="AJ1057" s="155"/>
      <c r="AK1057" s="155"/>
      <c r="AL1057" s="155"/>
      <c r="AM1057" s="155"/>
      <c r="AN1057" s="155"/>
      <c r="AO1057" s="155"/>
      <c r="AP1057" s="155"/>
      <c r="AQ1057" s="155"/>
      <c r="AR1057" s="155"/>
      <c r="AS1057" s="155"/>
      <c r="AT1057" s="155"/>
      <c r="AU1057" s="155"/>
      <c r="AV1057" s="155"/>
      <c r="AW1057" s="155"/>
      <c r="AX1057" s="155"/>
    </row>
    <row r="1058" spans="4:50">
      <c r="D1058" s="155"/>
      <c r="E1058" s="155"/>
      <c r="F1058" s="155"/>
      <c r="G1058" s="155"/>
      <c r="H1058" s="155"/>
      <c r="I1058" s="155"/>
      <c r="J1058" s="155"/>
      <c r="K1058" s="155"/>
      <c r="L1058" s="155"/>
      <c r="M1058" s="155"/>
      <c r="N1058" s="155"/>
      <c r="O1058" s="155"/>
      <c r="P1058" s="155"/>
      <c r="Q1058" s="155"/>
      <c r="R1058" s="155"/>
      <c r="S1058" s="155"/>
      <c r="T1058" s="155"/>
      <c r="U1058" s="155"/>
      <c r="V1058" s="155"/>
      <c r="W1058" s="155"/>
      <c r="X1058" s="155"/>
      <c r="Y1058" s="155"/>
      <c r="Z1058" s="155"/>
      <c r="AA1058" s="155"/>
      <c r="AB1058" s="155"/>
      <c r="AC1058" s="155"/>
      <c r="AD1058" s="155"/>
      <c r="AE1058" s="155"/>
      <c r="AF1058" s="155"/>
      <c r="AG1058" s="155"/>
      <c r="AH1058" s="155"/>
      <c r="AI1058" s="155"/>
      <c r="AJ1058" s="155"/>
      <c r="AK1058" s="155"/>
      <c r="AL1058" s="155"/>
      <c r="AM1058" s="155"/>
      <c r="AN1058" s="155"/>
      <c r="AO1058" s="155"/>
      <c r="AP1058" s="155"/>
      <c r="AQ1058" s="155"/>
      <c r="AR1058" s="155"/>
      <c r="AS1058" s="155"/>
      <c r="AT1058" s="155"/>
      <c r="AU1058" s="155"/>
      <c r="AV1058" s="155"/>
      <c r="AW1058" s="155"/>
      <c r="AX1058" s="155"/>
    </row>
    <row r="1059" spans="4:50">
      <c r="D1059" s="155"/>
      <c r="E1059" s="155"/>
      <c r="F1059" s="155"/>
      <c r="G1059" s="155"/>
      <c r="H1059" s="155"/>
      <c r="I1059" s="155"/>
      <c r="J1059" s="155"/>
      <c r="K1059" s="155"/>
      <c r="L1059" s="155"/>
      <c r="M1059" s="155"/>
      <c r="N1059" s="155"/>
      <c r="O1059" s="155"/>
      <c r="P1059" s="155"/>
      <c r="Q1059" s="155"/>
      <c r="R1059" s="155"/>
      <c r="S1059" s="155"/>
      <c r="T1059" s="155"/>
      <c r="U1059" s="155"/>
      <c r="V1059" s="155"/>
      <c r="W1059" s="155"/>
      <c r="X1059" s="155"/>
      <c r="Y1059" s="155"/>
      <c r="Z1059" s="155"/>
      <c r="AA1059" s="155"/>
      <c r="AB1059" s="155"/>
      <c r="AC1059" s="155"/>
      <c r="AD1059" s="155"/>
      <c r="AE1059" s="155"/>
      <c r="AF1059" s="155"/>
      <c r="AG1059" s="155"/>
      <c r="AH1059" s="155"/>
      <c r="AI1059" s="155"/>
      <c r="AJ1059" s="155"/>
      <c r="AK1059" s="155"/>
      <c r="AL1059" s="155"/>
      <c r="AM1059" s="155"/>
      <c r="AN1059" s="155"/>
      <c r="AO1059" s="155"/>
      <c r="AP1059" s="155"/>
      <c r="AQ1059" s="155"/>
      <c r="AR1059" s="155"/>
      <c r="AS1059" s="155"/>
      <c r="AT1059" s="155"/>
      <c r="AU1059" s="155"/>
      <c r="AV1059" s="155"/>
      <c r="AW1059" s="155"/>
      <c r="AX1059" s="155"/>
    </row>
    <row r="1060" spans="4:50">
      <c r="D1060" s="155"/>
      <c r="E1060" s="155"/>
      <c r="F1060" s="155"/>
      <c r="G1060" s="155"/>
      <c r="H1060" s="155"/>
      <c r="I1060" s="155"/>
      <c r="J1060" s="155"/>
      <c r="K1060" s="155"/>
      <c r="L1060" s="155"/>
      <c r="M1060" s="155"/>
      <c r="N1060" s="155"/>
      <c r="O1060" s="155"/>
      <c r="P1060" s="155"/>
      <c r="Q1060" s="155"/>
      <c r="R1060" s="155"/>
      <c r="S1060" s="155"/>
      <c r="T1060" s="155"/>
      <c r="U1060" s="155"/>
      <c r="V1060" s="155"/>
      <c r="W1060" s="155"/>
      <c r="X1060" s="155"/>
      <c r="Y1060" s="155"/>
      <c r="Z1060" s="155"/>
      <c r="AA1060" s="155"/>
      <c r="AB1060" s="155"/>
      <c r="AC1060" s="155"/>
      <c r="AD1060" s="155"/>
      <c r="AE1060" s="155"/>
      <c r="AF1060" s="155"/>
      <c r="AG1060" s="155"/>
      <c r="AH1060" s="155"/>
      <c r="AI1060" s="155"/>
      <c r="AJ1060" s="155"/>
      <c r="AK1060" s="155"/>
      <c r="AL1060" s="155"/>
      <c r="AM1060" s="155"/>
      <c r="AN1060" s="155"/>
      <c r="AO1060" s="155"/>
      <c r="AP1060" s="155"/>
      <c r="AQ1060" s="155"/>
      <c r="AR1060" s="155"/>
      <c r="AS1060" s="155"/>
      <c r="AT1060" s="155"/>
      <c r="AU1060" s="155"/>
      <c r="AV1060" s="155"/>
      <c r="AW1060" s="155"/>
      <c r="AX1060" s="155"/>
    </row>
    <row r="1061" spans="4:50">
      <c r="D1061" s="155"/>
      <c r="E1061" s="155"/>
      <c r="F1061" s="155"/>
      <c r="G1061" s="155"/>
      <c r="H1061" s="155"/>
      <c r="I1061" s="155"/>
      <c r="J1061" s="155"/>
      <c r="K1061" s="155"/>
      <c r="L1061" s="155"/>
      <c r="M1061" s="155"/>
      <c r="N1061" s="155"/>
      <c r="O1061" s="155"/>
      <c r="P1061" s="155"/>
      <c r="Q1061" s="155"/>
      <c r="R1061" s="155"/>
      <c r="S1061" s="155"/>
      <c r="T1061" s="155"/>
      <c r="U1061" s="155"/>
      <c r="V1061" s="155"/>
      <c r="W1061" s="155"/>
      <c r="X1061" s="155"/>
      <c r="Y1061" s="155"/>
      <c r="Z1061" s="155"/>
      <c r="AA1061" s="155"/>
      <c r="AB1061" s="155"/>
      <c r="AC1061" s="155"/>
      <c r="AD1061" s="155"/>
      <c r="AE1061" s="155"/>
      <c r="AF1061" s="155"/>
      <c r="AG1061" s="155"/>
      <c r="AH1061" s="155"/>
      <c r="AI1061" s="155"/>
      <c r="AJ1061" s="155"/>
      <c r="AK1061" s="155"/>
      <c r="AL1061" s="155"/>
      <c r="AM1061" s="155"/>
      <c r="AN1061" s="155"/>
      <c r="AO1061" s="155"/>
      <c r="AP1061" s="155"/>
      <c r="AQ1061" s="155"/>
      <c r="AR1061" s="155"/>
      <c r="AS1061" s="155"/>
      <c r="AT1061" s="155"/>
      <c r="AU1061" s="155"/>
      <c r="AV1061" s="155"/>
      <c r="AW1061" s="155"/>
      <c r="AX1061" s="155"/>
    </row>
    <row r="1062" spans="4:50">
      <c r="D1062" s="155"/>
      <c r="E1062" s="155"/>
      <c r="F1062" s="155"/>
      <c r="G1062" s="155"/>
      <c r="H1062" s="155"/>
      <c r="I1062" s="155"/>
      <c r="J1062" s="155"/>
      <c r="K1062" s="155"/>
      <c r="L1062" s="155"/>
      <c r="M1062" s="155"/>
      <c r="N1062" s="155"/>
      <c r="O1062" s="155"/>
      <c r="P1062" s="155"/>
      <c r="Q1062" s="155"/>
      <c r="R1062" s="155"/>
      <c r="S1062" s="155"/>
      <c r="T1062" s="155"/>
      <c r="U1062" s="155"/>
      <c r="V1062" s="155"/>
      <c r="W1062" s="155"/>
      <c r="X1062" s="155"/>
      <c r="Y1062" s="155"/>
      <c r="Z1062" s="155"/>
      <c r="AA1062" s="155"/>
      <c r="AB1062" s="155"/>
      <c r="AC1062" s="155"/>
      <c r="AD1062" s="155"/>
      <c r="AE1062" s="155"/>
      <c r="AF1062" s="155"/>
      <c r="AG1062" s="155"/>
      <c r="AH1062" s="155"/>
      <c r="AI1062" s="155"/>
      <c r="AJ1062" s="155"/>
      <c r="AK1062" s="155"/>
      <c r="AL1062" s="155"/>
      <c r="AM1062" s="155"/>
      <c r="AN1062" s="155"/>
      <c r="AO1062" s="155"/>
      <c r="AP1062" s="155"/>
      <c r="AQ1062" s="155"/>
      <c r="AR1062" s="155"/>
      <c r="AS1062" s="155"/>
      <c r="AT1062" s="155"/>
      <c r="AU1062" s="155"/>
      <c r="AV1062" s="155"/>
      <c r="AW1062" s="155"/>
      <c r="AX1062" s="155"/>
    </row>
    <row r="1063" spans="4:50">
      <c r="D1063" s="155"/>
      <c r="E1063" s="155"/>
      <c r="F1063" s="155"/>
      <c r="G1063" s="155"/>
      <c r="H1063" s="155"/>
      <c r="I1063" s="155"/>
      <c r="J1063" s="155"/>
      <c r="K1063" s="155"/>
      <c r="L1063" s="155"/>
      <c r="M1063" s="155"/>
      <c r="N1063" s="155"/>
      <c r="O1063" s="155"/>
      <c r="P1063" s="155"/>
      <c r="Q1063" s="155"/>
      <c r="R1063" s="155"/>
      <c r="S1063" s="155"/>
      <c r="T1063" s="155"/>
      <c r="U1063" s="155"/>
      <c r="V1063" s="155"/>
      <c r="W1063" s="155"/>
      <c r="X1063" s="155"/>
      <c r="Y1063" s="155"/>
      <c r="Z1063" s="155"/>
      <c r="AA1063" s="155"/>
      <c r="AB1063" s="155"/>
      <c r="AC1063" s="155"/>
      <c r="AD1063" s="155"/>
      <c r="AE1063" s="155"/>
      <c r="AF1063" s="155"/>
      <c r="AG1063" s="155"/>
      <c r="AH1063" s="155"/>
      <c r="AI1063" s="155"/>
      <c r="AJ1063" s="155"/>
      <c r="AK1063" s="155"/>
      <c r="AL1063" s="155"/>
      <c r="AM1063" s="155"/>
      <c r="AN1063" s="155"/>
      <c r="AO1063" s="155"/>
      <c r="AP1063" s="155"/>
      <c r="AQ1063" s="155"/>
      <c r="AR1063" s="155"/>
      <c r="AS1063" s="155"/>
      <c r="AT1063" s="155"/>
      <c r="AU1063" s="155"/>
      <c r="AV1063" s="155"/>
      <c r="AW1063" s="155"/>
      <c r="AX1063" s="155"/>
    </row>
    <row r="1064" spans="4:50">
      <c r="D1064" s="155"/>
      <c r="E1064" s="155"/>
      <c r="F1064" s="155"/>
      <c r="G1064" s="155"/>
      <c r="H1064" s="155"/>
      <c r="I1064" s="155"/>
      <c r="J1064" s="155"/>
      <c r="K1064" s="155"/>
      <c r="L1064" s="155"/>
      <c r="M1064" s="155"/>
      <c r="N1064" s="155"/>
      <c r="O1064" s="155"/>
      <c r="P1064" s="155"/>
      <c r="Q1064" s="155"/>
      <c r="R1064" s="155"/>
      <c r="S1064" s="155"/>
      <c r="T1064" s="155"/>
      <c r="U1064" s="155"/>
      <c r="V1064" s="155"/>
      <c r="W1064" s="155"/>
      <c r="X1064" s="155"/>
      <c r="Y1064" s="155"/>
      <c r="Z1064" s="155"/>
      <c r="AA1064" s="155"/>
      <c r="AB1064" s="155"/>
      <c r="AC1064" s="155"/>
      <c r="AD1064" s="155"/>
      <c r="AE1064" s="155"/>
      <c r="AF1064" s="155"/>
      <c r="AG1064" s="155"/>
      <c r="AH1064" s="155"/>
      <c r="AI1064" s="155"/>
      <c r="AJ1064" s="155"/>
      <c r="AK1064" s="155"/>
      <c r="AL1064" s="155"/>
      <c r="AM1064" s="155"/>
      <c r="AN1064" s="155"/>
      <c r="AO1064" s="155"/>
      <c r="AP1064" s="155"/>
      <c r="AQ1064" s="155"/>
      <c r="AR1064" s="155"/>
      <c r="AS1064" s="155"/>
      <c r="AT1064" s="155"/>
      <c r="AU1064" s="155"/>
      <c r="AV1064" s="155"/>
      <c r="AW1064" s="155"/>
      <c r="AX1064" s="155"/>
    </row>
    <row r="1065" spans="4:50">
      <c r="D1065" s="155"/>
      <c r="E1065" s="155"/>
      <c r="F1065" s="155"/>
      <c r="G1065" s="155"/>
      <c r="H1065" s="155"/>
      <c r="I1065" s="155"/>
      <c r="J1065" s="155"/>
      <c r="K1065" s="155"/>
      <c r="L1065" s="155"/>
      <c r="M1065" s="155"/>
      <c r="N1065" s="155"/>
      <c r="O1065" s="155"/>
      <c r="P1065" s="155"/>
      <c r="Q1065" s="155"/>
      <c r="R1065" s="155"/>
      <c r="S1065" s="155"/>
      <c r="T1065" s="155"/>
      <c r="U1065" s="155"/>
      <c r="V1065" s="155"/>
      <c r="W1065" s="155"/>
      <c r="X1065" s="155"/>
      <c r="Y1065" s="155"/>
      <c r="Z1065" s="155"/>
      <c r="AA1065" s="155"/>
      <c r="AB1065" s="155"/>
      <c r="AC1065" s="155"/>
      <c r="AD1065" s="155"/>
      <c r="AE1065" s="155"/>
      <c r="AF1065" s="155"/>
      <c r="AG1065" s="155"/>
      <c r="AH1065" s="155"/>
      <c r="AI1065" s="155"/>
      <c r="AJ1065" s="155"/>
      <c r="AK1065" s="155"/>
      <c r="AL1065" s="155"/>
      <c r="AM1065" s="155"/>
      <c r="AN1065" s="155"/>
      <c r="AO1065" s="155"/>
      <c r="AP1065" s="155"/>
      <c r="AQ1065" s="155"/>
      <c r="AR1065" s="155"/>
      <c r="AS1065" s="155"/>
      <c r="AT1065" s="155"/>
      <c r="AU1065" s="155"/>
      <c r="AV1065" s="155"/>
      <c r="AW1065" s="155"/>
      <c r="AX1065" s="155"/>
    </row>
    <row r="1066" spans="4:50">
      <c r="D1066" s="155"/>
      <c r="E1066" s="155"/>
      <c r="F1066" s="155"/>
      <c r="G1066" s="155"/>
      <c r="H1066" s="155"/>
      <c r="I1066" s="155"/>
      <c r="J1066" s="155"/>
      <c r="K1066" s="155"/>
      <c r="L1066" s="155"/>
      <c r="M1066" s="155"/>
      <c r="N1066" s="155"/>
      <c r="O1066" s="155"/>
      <c r="P1066" s="155"/>
      <c r="Q1066" s="155"/>
      <c r="R1066" s="155"/>
      <c r="S1066" s="155"/>
      <c r="T1066" s="155"/>
      <c r="U1066" s="155"/>
      <c r="V1066" s="155"/>
      <c r="W1066" s="155"/>
      <c r="X1066" s="155"/>
      <c r="Y1066" s="155"/>
      <c r="Z1066" s="155"/>
      <c r="AA1066" s="155"/>
      <c r="AB1066" s="155"/>
      <c r="AC1066" s="155"/>
      <c r="AD1066" s="155"/>
      <c r="AE1066" s="155"/>
      <c r="AF1066" s="155"/>
      <c r="AG1066" s="155"/>
      <c r="AH1066" s="155"/>
      <c r="AI1066" s="155"/>
      <c r="AJ1066" s="155"/>
      <c r="AK1066" s="155"/>
      <c r="AL1066" s="155"/>
      <c r="AM1066" s="155"/>
      <c r="AN1066" s="155"/>
      <c r="AO1066" s="155"/>
      <c r="AP1066" s="155"/>
      <c r="AQ1066" s="155"/>
      <c r="AR1066" s="155"/>
      <c r="AS1066" s="155"/>
      <c r="AT1066" s="155"/>
      <c r="AU1066" s="155"/>
      <c r="AV1066" s="155"/>
      <c r="AW1066" s="155"/>
      <c r="AX1066" s="155"/>
    </row>
    <row r="1067" spans="4:50">
      <c r="D1067" s="155"/>
      <c r="E1067" s="155"/>
      <c r="F1067" s="155"/>
      <c r="G1067" s="155"/>
      <c r="H1067" s="155"/>
      <c r="I1067" s="155"/>
      <c r="J1067" s="155"/>
      <c r="K1067" s="155"/>
      <c r="L1067" s="155"/>
      <c r="M1067" s="155"/>
      <c r="N1067" s="155"/>
      <c r="O1067" s="155"/>
      <c r="P1067" s="155"/>
      <c r="Q1067" s="155"/>
      <c r="R1067" s="155"/>
      <c r="S1067" s="155"/>
      <c r="T1067" s="155"/>
      <c r="U1067" s="155"/>
      <c r="V1067" s="155"/>
      <c r="W1067" s="155"/>
      <c r="X1067" s="155"/>
      <c r="Y1067" s="155"/>
      <c r="Z1067" s="155"/>
      <c r="AA1067" s="155"/>
      <c r="AB1067" s="155"/>
      <c r="AC1067" s="155"/>
      <c r="AD1067" s="155"/>
      <c r="AE1067" s="155"/>
      <c r="AF1067" s="155"/>
      <c r="AG1067" s="155"/>
      <c r="AH1067" s="155"/>
      <c r="AI1067" s="155"/>
      <c r="AJ1067" s="155"/>
      <c r="AK1067" s="155"/>
      <c r="AL1067" s="155"/>
      <c r="AM1067" s="155"/>
      <c r="AN1067" s="155"/>
      <c r="AO1067" s="155"/>
      <c r="AP1067" s="155"/>
      <c r="AQ1067" s="155"/>
      <c r="AR1067" s="155"/>
      <c r="AS1067" s="155"/>
      <c r="AT1067" s="155"/>
      <c r="AU1067" s="155"/>
      <c r="AV1067" s="155"/>
      <c r="AW1067" s="155"/>
      <c r="AX1067" s="155"/>
    </row>
    <row r="1068" spans="4:50">
      <c r="D1068" s="155"/>
      <c r="E1068" s="155"/>
      <c r="F1068" s="155"/>
      <c r="G1068" s="155"/>
      <c r="H1068" s="155"/>
      <c r="I1068" s="155"/>
      <c r="J1068" s="155"/>
      <c r="K1068" s="155"/>
      <c r="L1068" s="155"/>
      <c r="M1068" s="155"/>
      <c r="N1068" s="155"/>
      <c r="O1068" s="155"/>
      <c r="P1068" s="155"/>
      <c r="Q1068" s="155"/>
      <c r="R1068" s="155"/>
      <c r="S1068" s="155"/>
      <c r="T1068" s="155"/>
      <c r="U1068" s="155"/>
      <c r="V1068" s="155"/>
      <c r="W1068" s="155"/>
      <c r="X1068" s="155"/>
      <c r="Y1068" s="155"/>
      <c r="Z1068" s="155"/>
      <c r="AA1068" s="155"/>
      <c r="AB1068" s="155"/>
      <c r="AC1068" s="155"/>
      <c r="AD1068" s="155"/>
      <c r="AE1068" s="155"/>
      <c r="AF1068" s="155"/>
      <c r="AG1068" s="155"/>
      <c r="AH1068" s="155"/>
      <c r="AI1068" s="155"/>
      <c r="AJ1068" s="155"/>
      <c r="AK1068" s="155"/>
      <c r="AL1068" s="155"/>
      <c r="AM1068" s="155"/>
      <c r="AN1068" s="155"/>
      <c r="AO1068" s="155"/>
      <c r="AP1068" s="155"/>
      <c r="AQ1068" s="155"/>
      <c r="AR1068" s="155"/>
      <c r="AS1068" s="155"/>
      <c r="AT1068" s="155"/>
      <c r="AU1068" s="155"/>
      <c r="AV1068" s="155"/>
      <c r="AW1068" s="155"/>
      <c r="AX1068" s="155"/>
    </row>
    <row r="1069" spans="4:50">
      <c r="D1069" s="155"/>
      <c r="E1069" s="155"/>
      <c r="F1069" s="155"/>
      <c r="G1069" s="155"/>
      <c r="H1069" s="155"/>
      <c r="I1069" s="155"/>
      <c r="J1069" s="155"/>
      <c r="K1069" s="155"/>
      <c r="L1069" s="155"/>
      <c r="M1069" s="155"/>
      <c r="N1069" s="155"/>
      <c r="O1069" s="155"/>
      <c r="P1069" s="155"/>
      <c r="Q1069" s="155"/>
      <c r="R1069" s="155"/>
      <c r="S1069" s="155"/>
      <c r="T1069" s="155"/>
      <c r="U1069" s="155"/>
      <c r="V1069" s="155"/>
      <c r="W1069" s="155"/>
      <c r="X1069" s="155"/>
      <c r="Y1069" s="155"/>
      <c r="Z1069" s="155"/>
      <c r="AA1069" s="155"/>
      <c r="AB1069" s="155"/>
      <c r="AC1069" s="155"/>
      <c r="AD1069" s="155"/>
      <c r="AE1069" s="155"/>
      <c r="AF1069" s="155"/>
      <c r="AG1069" s="155"/>
      <c r="AH1069" s="155"/>
      <c r="AI1069" s="155"/>
      <c r="AJ1069" s="155"/>
      <c r="AK1069" s="155"/>
      <c r="AL1069" s="155"/>
      <c r="AM1069" s="155"/>
      <c r="AN1069" s="155"/>
      <c r="AO1069" s="155"/>
      <c r="AP1069" s="155"/>
      <c r="AQ1069" s="155"/>
      <c r="AR1069" s="155"/>
      <c r="AS1069" s="155"/>
      <c r="AT1069" s="155"/>
      <c r="AU1069" s="155"/>
      <c r="AV1069" s="155"/>
      <c r="AW1069" s="155"/>
      <c r="AX1069" s="155"/>
    </row>
    <row r="1070" spans="4:50">
      <c r="D1070" s="155"/>
      <c r="E1070" s="155"/>
      <c r="F1070" s="155"/>
      <c r="G1070" s="155"/>
      <c r="H1070" s="155"/>
      <c r="I1070" s="155"/>
      <c r="J1070" s="155"/>
      <c r="K1070" s="155"/>
      <c r="L1070" s="155"/>
      <c r="M1070" s="155"/>
      <c r="N1070" s="155"/>
      <c r="O1070" s="155"/>
      <c r="P1070" s="155"/>
      <c r="Q1070" s="155"/>
      <c r="R1070" s="155"/>
      <c r="S1070" s="155"/>
      <c r="T1070" s="155"/>
      <c r="U1070" s="155"/>
      <c r="V1070" s="155"/>
      <c r="W1070" s="155"/>
      <c r="X1070" s="155"/>
      <c r="Y1070" s="155"/>
      <c r="Z1070" s="155"/>
      <c r="AA1070" s="155"/>
      <c r="AB1070" s="155"/>
      <c r="AC1070" s="155"/>
      <c r="AD1070" s="155"/>
      <c r="AE1070" s="155"/>
      <c r="AF1070" s="155"/>
      <c r="AG1070" s="155"/>
      <c r="AH1070" s="155"/>
      <c r="AI1070" s="155"/>
      <c r="AJ1070" s="155"/>
      <c r="AK1070" s="155"/>
      <c r="AL1070" s="155"/>
      <c r="AM1070" s="155"/>
      <c r="AN1070" s="155"/>
      <c r="AO1070" s="155"/>
      <c r="AP1070" s="155"/>
      <c r="AQ1070" s="155"/>
      <c r="AR1070" s="155"/>
      <c r="AS1070" s="155"/>
      <c r="AT1070" s="155"/>
      <c r="AU1070" s="155"/>
      <c r="AV1070" s="155"/>
      <c r="AW1070" s="155"/>
      <c r="AX1070" s="155"/>
    </row>
    <row r="1071" spans="4:50">
      <c r="D1071" s="155"/>
      <c r="E1071" s="155"/>
      <c r="F1071" s="155"/>
      <c r="G1071" s="155"/>
      <c r="H1071" s="155"/>
      <c r="I1071" s="155"/>
      <c r="J1071" s="155"/>
      <c r="K1071" s="155"/>
      <c r="L1071" s="155"/>
      <c r="M1071" s="155"/>
      <c r="N1071" s="155"/>
      <c r="O1071" s="155"/>
      <c r="P1071" s="155"/>
      <c r="Q1071" s="155"/>
      <c r="R1071" s="155"/>
      <c r="S1071" s="155"/>
      <c r="T1071" s="155"/>
      <c r="U1071" s="155"/>
      <c r="V1071" s="155"/>
      <c r="W1071" s="155"/>
      <c r="X1071" s="155"/>
      <c r="Y1071" s="155"/>
      <c r="Z1071" s="155"/>
      <c r="AA1071" s="155"/>
      <c r="AB1071" s="155"/>
      <c r="AC1071" s="155"/>
      <c r="AD1071" s="155"/>
      <c r="AE1071" s="155"/>
      <c r="AF1071" s="155"/>
      <c r="AG1071" s="155"/>
      <c r="AH1071" s="155"/>
      <c r="AI1071" s="155"/>
      <c r="AJ1071" s="155"/>
      <c r="AK1071" s="155"/>
      <c r="AL1071" s="155"/>
      <c r="AM1071" s="155"/>
      <c r="AN1071" s="155"/>
      <c r="AO1071" s="155"/>
      <c r="AP1071" s="155"/>
      <c r="AQ1071" s="155"/>
      <c r="AR1071" s="155"/>
      <c r="AS1071" s="155"/>
      <c r="AT1071" s="155"/>
      <c r="AU1071" s="155"/>
      <c r="AV1071" s="155"/>
      <c r="AW1071" s="155"/>
      <c r="AX1071" s="155"/>
    </row>
    <row r="1072" spans="4:50">
      <c r="D1072" s="155"/>
      <c r="E1072" s="155"/>
      <c r="F1072" s="155"/>
      <c r="G1072" s="155"/>
      <c r="H1072" s="155"/>
      <c r="I1072" s="155"/>
      <c r="J1072" s="155"/>
      <c r="K1072" s="155"/>
      <c r="L1072" s="155"/>
      <c r="M1072" s="155"/>
      <c r="N1072" s="155"/>
      <c r="O1072" s="155"/>
      <c r="P1072" s="155"/>
      <c r="Q1072" s="155"/>
      <c r="R1072" s="155"/>
      <c r="S1072" s="155"/>
      <c r="T1072" s="155"/>
      <c r="U1072" s="155"/>
      <c r="V1072" s="155"/>
      <c r="W1072" s="155"/>
      <c r="X1072" s="155"/>
      <c r="Y1072" s="155"/>
      <c r="Z1072" s="155"/>
      <c r="AA1072" s="155"/>
      <c r="AB1072" s="155"/>
      <c r="AC1072" s="155"/>
      <c r="AD1072" s="155"/>
      <c r="AE1072" s="155"/>
      <c r="AF1072" s="155"/>
      <c r="AG1072" s="155"/>
      <c r="AH1072" s="155"/>
      <c r="AI1072" s="155"/>
      <c r="AJ1072" s="155"/>
      <c r="AK1072" s="155"/>
      <c r="AL1072" s="155"/>
      <c r="AM1072" s="155"/>
      <c r="AN1072" s="155"/>
      <c r="AO1072" s="155"/>
      <c r="AP1072" s="155"/>
      <c r="AQ1072" s="155"/>
      <c r="AR1072" s="155"/>
      <c r="AS1072" s="155"/>
      <c r="AT1072" s="155"/>
      <c r="AU1072" s="155"/>
      <c r="AV1072" s="155"/>
      <c r="AW1072" s="155"/>
      <c r="AX1072" s="155"/>
    </row>
    <row r="1073" spans="4:50">
      <c r="D1073" s="155"/>
      <c r="E1073" s="155"/>
      <c r="F1073" s="155"/>
      <c r="G1073" s="155"/>
      <c r="H1073" s="155"/>
      <c r="I1073" s="155"/>
      <c r="J1073" s="155"/>
      <c r="K1073" s="155"/>
      <c r="L1073" s="155"/>
      <c r="M1073" s="155"/>
      <c r="N1073" s="155"/>
      <c r="O1073" s="155"/>
      <c r="P1073" s="155"/>
      <c r="Q1073" s="155"/>
      <c r="R1073" s="155"/>
      <c r="S1073" s="155"/>
      <c r="T1073" s="155"/>
      <c r="U1073" s="155"/>
      <c r="V1073" s="155"/>
      <c r="W1073" s="155"/>
      <c r="X1073" s="155"/>
      <c r="Y1073" s="155"/>
      <c r="Z1073" s="155"/>
      <c r="AA1073" s="155"/>
      <c r="AB1073" s="155"/>
      <c r="AC1073" s="155"/>
      <c r="AD1073" s="155"/>
      <c r="AE1073" s="155"/>
      <c r="AF1073" s="155"/>
      <c r="AG1073" s="155"/>
      <c r="AH1073" s="155"/>
      <c r="AI1073" s="155"/>
      <c r="AJ1073" s="155"/>
      <c r="AK1073" s="155"/>
      <c r="AL1073" s="155"/>
      <c r="AM1073" s="155"/>
      <c r="AN1073" s="155"/>
      <c r="AO1073" s="155"/>
      <c r="AP1073" s="155"/>
      <c r="AQ1073" s="155"/>
      <c r="AR1073" s="155"/>
      <c r="AS1073" s="155"/>
      <c r="AT1073" s="155"/>
      <c r="AU1073" s="155"/>
      <c r="AV1073" s="155"/>
      <c r="AW1073" s="155"/>
      <c r="AX1073" s="155"/>
    </row>
    <row r="1074" spans="4:50">
      <c r="D1074" s="155"/>
      <c r="E1074" s="155"/>
      <c r="F1074" s="155"/>
      <c r="G1074" s="155"/>
      <c r="H1074" s="155"/>
      <c r="I1074" s="155"/>
      <c r="J1074" s="155"/>
      <c r="K1074" s="155"/>
      <c r="L1074" s="155"/>
      <c r="M1074" s="155"/>
      <c r="N1074" s="155"/>
      <c r="O1074" s="155"/>
      <c r="P1074" s="155"/>
      <c r="Q1074" s="155"/>
      <c r="R1074" s="155"/>
      <c r="S1074" s="155"/>
      <c r="T1074" s="155"/>
      <c r="U1074" s="155"/>
      <c r="V1074" s="155"/>
      <c r="W1074" s="155"/>
      <c r="X1074" s="155"/>
      <c r="Y1074" s="155"/>
      <c r="Z1074" s="155"/>
      <c r="AA1074" s="155"/>
      <c r="AB1074" s="155"/>
      <c r="AC1074" s="155"/>
      <c r="AD1074" s="155"/>
      <c r="AE1074" s="155"/>
      <c r="AF1074" s="155"/>
      <c r="AG1074" s="155"/>
      <c r="AH1074" s="155"/>
      <c r="AI1074" s="155"/>
      <c r="AJ1074" s="155"/>
      <c r="AK1074" s="155"/>
      <c r="AL1074" s="155"/>
      <c r="AM1074" s="155"/>
      <c r="AN1074" s="155"/>
      <c r="AO1074" s="155"/>
      <c r="AP1074" s="155"/>
      <c r="AQ1074" s="155"/>
      <c r="AR1074" s="155"/>
      <c r="AS1074" s="155"/>
      <c r="AT1074" s="155"/>
      <c r="AU1074" s="155"/>
      <c r="AV1074" s="155"/>
      <c r="AW1074" s="155"/>
      <c r="AX1074" s="155"/>
    </row>
    <row r="1075" spans="4:50">
      <c r="D1075" s="155"/>
      <c r="E1075" s="155"/>
      <c r="F1075" s="155"/>
      <c r="G1075" s="155"/>
      <c r="H1075" s="155"/>
      <c r="I1075" s="155"/>
      <c r="J1075" s="155"/>
      <c r="K1075" s="155"/>
      <c r="L1075" s="155"/>
      <c r="M1075" s="155"/>
      <c r="N1075" s="155"/>
      <c r="O1075" s="155"/>
      <c r="P1075" s="155"/>
      <c r="Q1075" s="155"/>
      <c r="R1075" s="155"/>
      <c r="S1075" s="155"/>
      <c r="T1075" s="155"/>
      <c r="U1075" s="155"/>
      <c r="V1075" s="155"/>
      <c r="W1075" s="155"/>
      <c r="X1075" s="155"/>
      <c r="Y1075" s="155"/>
      <c r="Z1075" s="155"/>
      <c r="AA1075" s="155"/>
      <c r="AB1075" s="155"/>
      <c r="AC1075" s="155"/>
      <c r="AD1075" s="155"/>
      <c r="AE1075" s="155"/>
      <c r="AF1075" s="155"/>
      <c r="AG1075" s="155"/>
      <c r="AH1075" s="155"/>
      <c r="AI1075" s="155"/>
      <c r="AJ1075" s="155"/>
      <c r="AK1075" s="155"/>
      <c r="AL1075" s="155"/>
      <c r="AM1075" s="155"/>
      <c r="AN1075" s="155"/>
      <c r="AO1075" s="155"/>
      <c r="AP1075" s="155"/>
      <c r="AQ1075" s="155"/>
      <c r="AR1075" s="155"/>
      <c r="AS1075" s="155"/>
      <c r="AT1075" s="155"/>
      <c r="AU1075" s="155"/>
      <c r="AV1075" s="155"/>
      <c r="AW1075" s="155"/>
      <c r="AX1075" s="155"/>
    </row>
    <row r="1076" spans="4:50">
      <c r="D1076" s="155"/>
      <c r="E1076" s="155"/>
      <c r="F1076" s="155"/>
      <c r="G1076" s="155"/>
      <c r="H1076" s="155"/>
      <c r="I1076" s="155"/>
      <c r="J1076" s="155"/>
      <c r="K1076" s="155"/>
      <c r="L1076" s="155"/>
      <c r="M1076" s="155"/>
      <c r="N1076" s="155"/>
      <c r="O1076" s="155"/>
      <c r="P1076" s="155"/>
      <c r="Q1076" s="155"/>
      <c r="R1076" s="155"/>
      <c r="S1076" s="155"/>
      <c r="T1076" s="155"/>
      <c r="U1076" s="155"/>
      <c r="V1076" s="155"/>
      <c r="W1076" s="155"/>
      <c r="X1076" s="155"/>
      <c r="Y1076" s="155"/>
      <c r="Z1076" s="155"/>
      <c r="AA1076" s="155"/>
      <c r="AB1076" s="155"/>
      <c r="AC1076" s="155"/>
      <c r="AD1076" s="155"/>
      <c r="AE1076" s="155"/>
      <c r="AF1076" s="155"/>
      <c r="AG1076" s="155"/>
      <c r="AH1076" s="155"/>
      <c r="AI1076" s="155"/>
      <c r="AJ1076" s="155"/>
      <c r="AK1076" s="155"/>
      <c r="AL1076" s="155"/>
      <c r="AM1076" s="155"/>
      <c r="AN1076" s="155"/>
      <c r="AO1076" s="155"/>
      <c r="AP1076" s="155"/>
      <c r="AQ1076" s="155"/>
      <c r="AR1076" s="155"/>
      <c r="AS1076" s="155"/>
      <c r="AT1076" s="155"/>
      <c r="AU1076" s="155"/>
      <c r="AV1076" s="155"/>
      <c r="AW1076" s="155"/>
      <c r="AX1076" s="155"/>
    </row>
    <row r="1077" spans="4:50">
      <c r="D1077" s="155"/>
      <c r="E1077" s="155"/>
      <c r="F1077" s="155"/>
      <c r="G1077" s="155"/>
      <c r="H1077" s="155"/>
      <c r="I1077" s="155"/>
      <c r="J1077" s="155"/>
      <c r="K1077" s="155"/>
      <c r="L1077" s="155"/>
      <c r="M1077" s="155"/>
      <c r="N1077" s="155"/>
      <c r="O1077" s="155"/>
      <c r="P1077" s="155"/>
      <c r="Q1077" s="155"/>
      <c r="R1077" s="155"/>
      <c r="S1077" s="155"/>
      <c r="T1077" s="155"/>
      <c r="U1077" s="155"/>
      <c r="V1077" s="155"/>
      <c r="W1077" s="155"/>
      <c r="X1077" s="155"/>
      <c r="Y1077" s="155"/>
      <c r="Z1077" s="155"/>
      <c r="AA1077" s="155"/>
      <c r="AB1077" s="155"/>
      <c r="AC1077" s="155"/>
      <c r="AD1077" s="155"/>
      <c r="AE1077" s="155"/>
      <c r="AF1077" s="155"/>
      <c r="AG1077" s="155"/>
      <c r="AH1077" s="155"/>
      <c r="AI1077" s="155"/>
      <c r="AJ1077" s="155"/>
      <c r="AK1077" s="155"/>
      <c r="AL1077" s="155"/>
      <c r="AM1077" s="155"/>
      <c r="AN1077" s="155"/>
      <c r="AO1077" s="155"/>
      <c r="AP1077" s="155"/>
      <c r="AQ1077" s="155"/>
      <c r="AR1077" s="155"/>
      <c r="AS1077" s="155"/>
      <c r="AT1077" s="155"/>
      <c r="AU1077" s="155"/>
      <c r="AV1077" s="155"/>
      <c r="AW1077" s="155"/>
      <c r="AX1077" s="155"/>
    </row>
    <row r="1078" spans="4:50">
      <c r="D1078" s="155"/>
      <c r="E1078" s="155"/>
      <c r="F1078" s="155"/>
      <c r="G1078" s="155"/>
      <c r="H1078" s="155"/>
      <c r="I1078" s="155"/>
      <c r="J1078" s="155"/>
      <c r="K1078" s="155"/>
      <c r="L1078" s="155"/>
      <c r="M1078" s="155"/>
      <c r="N1078" s="155"/>
      <c r="O1078" s="155"/>
      <c r="P1078" s="155"/>
      <c r="Q1078" s="155"/>
      <c r="R1078" s="155"/>
      <c r="S1078" s="155"/>
      <c r="T1078" s="155"/>
      <c r="U1078" s="155"/>
      <c r="V1078" s="155"/>
      <c r="W1078" s="155"/>
      <c r="X1078" s="155"/>
      <c r="Y1078" s="155"/>
      <c r="Z1078" s="155"/>
      <c r="AA1078" s="155"/>
      <c r="AB1078" s="155"/>
      <c r="AC1078" s="155"/>
      <c r="AD1078" s="155"/>
      <c r="AE1078" s="155"/>
      <c r="AF1078" s="155"/>
      <c r="AG1078" s="155"/>
      <c r="AH1078" s="155"/>
      <c r="AI1078" s="155"/>
      <c r="AJ1078" s="155"/>
      <c r="AK1078" s="155"/>
      <c r="AL1078" s="155"/>
      <c r="AM1078" s="155"/>
      <c r="AN1078" s="155"/>
      <c r="AO1078" s="155"/>
      <c r="AP1078" s="155"/>
      <c r="AQ1078" s="155"/>
      <c r="AR1078" s="155"/>
      <c r="AS1078" s="155"/>
      <c r="AT1078" s="155"/>
      <c r="AU1078" s="155"/>
      <c r="AV1078" s="155"/>
      <c r="AW1078" s="155"/>
      <c r="AX1078" s="155"/>
    </row>
    <row r="1079" spans="4:50">
      <c r="D1079" s="155"/>
      <c r="E1079" s="155"/>
      <c r="F1079" s="155"/>
      <c r="G1079" s="155"/>
      <c r="H1079" s="155"/>
      <c r="I1079" s="155"/>
      <c r="J1079" s="155"/>
      <c r="K1079" s="155"/>
      <c r="L1079" s="155"/>
      <c r="M1079" s="155"/>
      <c r="N1079" s="155"/>
      <c r="O1079" s="155"/>
      <c r="P1079" s="155"/>
      <c r="Q1079" s="155"/>
      <c r="R1079" s="155"/>
      <c r="S1079" s="155"/>
      <c r="T1079" s="155"/>
      <c r="U1079" s="155"/>
      <c r="V1079" s="155"/>
      <c r="W1079" s="155"/>
      <c r="X1079" s="155"/>
      <c r="Y1079" s="155"/>
      <c r="Z1079" s="155"/>
      <c r="AA1079" s="155"/>
      <c r="AB1079" s="155"/>
      <c r="AC1079" s="155"/>
      <c r="AD1079" s="155"/>
      <c r="AE1079" s="155"/>
      <c r="AF1079" s="155"/>
      <c r="AG1079" s="155"/>
      <c r="AH1079" s="155"/>
      <c r="AI1079" s="155"/>
      <c r="AJ1079" s="155"/>
      <c r="AK1079" s="155"/>
      <c r="AL1079" s="155"/>
      <c r="AM1079" s="155"/>
      <c r="AN1079" s="155"/>
      <c r="AO1079" s="155"/>
      <c r="AP1079" s="155"/>
      <c r="AQ1079" s="155"/>
      <c r="AR1079" s="155"/>
      <c r="AS1079" s="155"/>
      <c r="AT1079" s="155"/>
      <c r="AU1079" s="155"/>
      <c r="AV1079" s="155"/>
      <c r="AW1079" s="155"/>
      <c r="AX1079" s="155"/>
    </row>
    <row r="1080" spans="4:50">
      <c r="D1080" s="155"/>
      <c r="E1080" s="155"/>
      <c r="F1080" s="155"/>
      <c r="G1080" s="155"/>
      <c r="H1080" s="155"/>
      <c r="I1080" s="155"/>
      <c r="J1080" s="155"/>
      <c r="K1080" s="155"/>
      <c r="L1080" s="155"/>
      <c r="M1080" s="155"/>
      <c r="N1080" s="155"/>
      <c r="O1080" s="155"/>
      <c r="P1080" s="155"/>
      <c r="Q1080" s="155"/>
      <c r="R1080" s="155"/>
      <c r="S1080" s="155"/>
      <c r="T1080" s="155"/>
      <c r="U1080" s="155"/>
      <c r="V1080" s="155"/>
      <c r="W1080" s="155"/>
      <c r="X1080" s="155"/>
      <c r="Y1080" s="155"/>
      <c r="Z1080" s="155"/>
      <c r="AA1080" s="155"/>
      <c r="AB1080" s="155"/>
      <c r="AC1080" s="155"/>
      <c r="AD1080" s="155"/>
      <c r="AE1080" s="155"/>
      <c r="AF1080" s="155"/>
      <c r="AG1080" s="155"/>
      <c r="AH1080" s="155"/>
      <c r="AI1080" s="155"/>
      <c r="AJ1080" s="155"/>
      <c r="AK1080" s="155"/>
      <c r="AL1080" s="155"/>
      <c r="AM1080" s="155"/>
      <c r="AN1080" s="155"/>
      <c r="AO1080" s="155"/>
      <c r="AP1080" s="155"/>
      <c r="AQ1080" s="155"/>
      <c r="AR1080" s="155"/>
      <c r="AS1080" s="155"/>
      <c r="AT1080" s="155"/>
      <c r="AU1080" s="155"/>
      <c r="AV1080" s="155"/>
      <c r="AW1080" s="155"/>
      <c r="AX1080" s="155"/>
    </row>
    <row r="1081" spans="4:50">
      <c r="D1081" s="155"/>
      <c r="E1081" s="155"/>
      <c r="F1081" s="155"/>
      <c r="G1081" s="155"/>
      <c r="H1081" s="155"/>
      <c r="I1081" s="155"/>
      <c r="J1081" s="155"/>
      <c r="K1081" s="155"/>
      <c r="L1081" s="155"/>
      <c r="M1081" s="155"/>
      <c r="N1081" s="155"/>
      <c r="O1081" s="155"/>
      <c r="P1081" s="155"/>
      <c r="Q1081" s="155"/>
      <c r="R1081" s="155"/>
      <c r="S1081" s="155"/>
      <c r="T1081" s="155"/>
      <c r="U1081" s="155"/>
      <c r="V1081" s="155"/>
      <c r="W1081" s="155"/>
      <c r="X1081" s="155"/>
      <c r="Y1081" s="155"/>
      <c r="Z1081" s="155"/>
      <c r="AA1081" s="155"/>
      <c r="AB1081" s="155"/>
      <c r="AC1081" s="155"/>
      <c r="AD1081" s="155"/>
      <c r="AE1081" s="155"/>
      <c r="AF1081" s="155"/>
      <c r="AG1081" s="155"/>
      <c r="AH1081" s="155"/>
      <c r="AI1081" s="155"/>
      <c r="AJ1081" s="155"/>
      <c r="AK1081" s="155"/>
      <c r="AL1081" s="155"/>
      <c r="AM1081" s="155"/>
      <c r="AN1081" s="155"/>
      <c r="AO1081" s="155"/>
      <c r="AP1081" s="155"/>
      <c r="AQ1081" s="155"/>
      <c r="AR1081" s="155"/>
      <c r="AS1081" s="155"/>
      <c r="AT1081" s="155"/>
      <c r="AU1081" s="155"/>
      <c r="AV1081" s="155"/>
      <c r="AW1081" s="155"/>
      <c r="AX1081" s="155"/>
    </row>
    <row r="1082" spans="4:50">
      <c r="D1082" s="155"/>
      <c r="E1082" s="155"/>
      <c r="F1082" s="155"/>
      <c r="G1082" s="155"/>
      <c r="H1082" s="155"/>
      <c r="I1082" s="155"/>
      <c r="J1082" s="155"/>
      <c r="K1082" s="155"/>
      <c r="L1082" s="155"/>
      <c r="M1082" s="155"/>
      <c r="N1082" s="155"/>
      <c r="O1082" s="155"/>
      <c r="P1082" s="155"/>
      <c r="Q1082" s="155"/>
      <c r="R1082" s="155"/>
      <c r="S1082" s="155"/>
      <c r="T1082" s="155"/>
      <c r="U1082" s="155"/>
      <c r="V1082" s="155"/>
      <c r="W1082" s="155"/>
      <c r="X1082" s="155"/>
      <c r="Y1082" s="155"/>
      <c r="Z1082" s="155"/>
      <c r="AA1082" s="155"/>
      <c r="AB1082" s="155"/>
      <c r="AC1082" s="155"/>
      <c r="AD1082" s="155"/>
      <c r="AE1082" s="155"/>
      <c r="AF1082" s="155"/>
      <c r="AG1082" s="155"/>
      <c r="AH1082" s="155"/>
      <c r="AI1082" s="155"/>
      <c r="AJ1082" s="155"/>
      <c r="AK1082" s="155"/>
      <c r="AL1082" s="155"/>
      <c r="AM1082" s="155"/>
      <c r="AN1082" s="155"/>
      <c r="AO1082" s="155"/>
      <c r="AP1082" s="155"/>
      <c r="AQ1082" s="155"/>
      <c r="AR1082" s="155"/>
      <c r="AS1082" s="155"/>
      <c r="AT1082" s="155"/>
      <c r="AU1082" s="155"/>
      <c r="AV1082" s="155"/>
      <c r="AW1082" s="155"/>
      <c r="AX1082" s="155"/>
    </row>
    <row r="1083" spans="4:50">
      <c r="D1083" s="155"/>
      <c r="E1083" s="155"/>
      <c r="F1083" s="155"/>
      <c r="G1083" s="155"/>
      <c r="H1083" s="155"/>
      <c r="I1083" s="155"/>
      <c r="J1083" s="155"/>
      <c r="K1083" s="155"/>
      <c r="L1083" s="155"/>
      <c r="M1083" s="155"/>
      <c r="N1083" s="155"/>
      <c r="O1083" s="155"/>
      <c r="P1083" s="155"/>
      <c r="Q1083" s="155"/>
      <c r="R1083" s="155"/>
      <c r="S1083" s="155"/>
      <c r="T1083" s="155"/>
      <c r="U1083" s="155"/>
      <c r="V1083" s="155"/>
      <c r="W1083" s="155"/>
      <c r="X1083" s="155"/>
      <c r="Y1083" s="155"/>
      <c r="Z1083" s="155"/>
      <c r="AA1083" s="155"/>
      <c r="AB1083" s="155"/>
      <c r="AC1083" s="155"/>
      <c r="AD1083" s="155"/>
      <c r="AE1083" s="155"/>
      <c r="AF1083" s="155"/>
      <c r="AG1083" s="155"/>
      <c r="AH1083" s="155"/>
      <c r="AI1083" s="155"/>
      <c r="AJ1083" s="155"/>
      <c r="AK1083" s="155"/>
      <c r="AL1083" s="155"/>
      <c r="AM1083" s="155"/>
      <c r="AN1083" s="155"/>
      <c r="AO1083" s="155"/>
      <c r="AP1083" s="155"/>
      <c r="AQ1083" s="155"/>
      <c r="AR1083" s="155"/>
      <c r="AS1083" s="155"/>
      <c r="AT1083" s="155"/>
      <c r="AU1083" s="155"/>
      <c r="AV1083" s="155"/>
      <c r="AW1083" s="155"/>
      <c r="AX1083" s="155"/>
    </row>
    <row r="1084" spans="4:50">
      <c r="D1084" s="155"/>
      <c r="E1084" s="155"/>
      <c r="F1084" s="155"/>
      <c r="G1084" s="155"/>
      <c r="H1084" s="155"/>
      <c r="I1084" s="155"/>
      <c r="J1084" s="155"/>
      <c r="K1084" s="155"/>
      <c r="L1084" s="155"/>
      <c r="M1084" s="155"/>
      <c r="N1084" s="155"/>
      <c r="O1084" s="155"/>
      <c r="P1084" s="155"/>
      <c r="Q1084" s="155"/>
      <c r="R1084" s="155"/>
      <c r="S1084" s="155"/>
      <c r="T1084" s="155"/>
      <c r="U1084" s="155"/>
      <c r="V1084" s="155"/>
      <c r="W1084" s="155"/>
      <c r="X1084" s="155"/>
      <c r="Y1084" s="155"/>
      <c r="Z1084" s="155"/>
      <c r="AA1084" s="155"/>
      <c r="AB1084" s="155"/>
      <c r="AC1084" s="155"/>
      <c r="AD1084" s="155"/>
      <c r="AE1084" s="155"/>
      <c r="AF1084" s="155"/>
      <c r="AG1084" s="155"/>
      <c r="AH1084" s="155"/>
      <c r="AI1084" s="155"/>
      <c r="AJ1084" s="155"/>
      <c r="AK1084" s="155"/>
      <c r="AL1084" s="155"/>
      <c r="AM1084" s="155"/>
      <c r="AN1084" s="155"/>
      <c r="AO1084" s="155"/>
      <c r="AP1084" s="155"/>
      <c r="AQ1084" s="155"/>
      <c r="AR1084" s="155"/>
      <c r="AS1084" s="155"/>
      <c r="AT1084" s="155"/>
      <c r="AU1084" s="155"/>
      <c r="AV1084" s="155"/>
      <c r="AW1084" s="155"/>
      <c r="AX1084" s="155"/>
    </row>
    <row r="1085" spans="4:50">
      <c r="D1085" s="155"/>
      <c r="E1085" s="155"/>
      <c r="F1085" s="155"/>
      <c r="G1085" s="155"/>
      <c r="H1085" s="155"/>
      <c r="I1085" s="155"/>
      <c r="J1085" s="155"/>
      <c r="K1085" s="155"/>
      <c r="L1085" s="155"/>
      <c r="M1085" s="155"/>
      <c r="N1085" s="155"/>
      <c r="O1085" s="155"/>
      <c r="P1085" s="155"/>
      <c r="Q1085" s="155"/>
      <c r="R1085" s="155"/>
      <c r="S1085" s="155"/>
      <c r="T1085" s="155"/>
      <c r="U1085" s="155"/>
      <c r="V1085" s="155"/>
      <c r="W1085" s="155"/>
      <c r="X1085" s="155"/>
      <c r="Y1085" s="155"/>
      <c r="Z1085" s="155"/>
      <c r="AA1085" s="155"/>
      <c r="AB1085" s="155"/>
      <c r="AC1085" s="155"/>
      <c r="AD1085" s="155"/>
      <c r="AE1085" s="155"/>
      <c r="AF1085" s="155"/>
      <c r="AG1085" s="155"/>
      <c r="AH1085" s="155"/>
      <c r="AI1085" s="155"/>
      <c r="AJ1085" s="155"/>
      <c r="AK1085" s="155"/>
      <c r="AL1085" s="155"/>
      <c r="AM1085" s="155"/>
      <c r="AN1085" s="155"/>
      <c r="AO1085" s="155"/>
      <c r="AP1085" s="155"/>
      <c r="AQ1085" s="155"/>
      <c r="AR1085" s="155"/>
      <c r="AS1085" s="155"/>
      <c r="AT1085" s="155"/>
      <c r="AU1085" s="155"/>
      <c r="AV1085" s="155"/>
      <c r="AW1085" s="155"/>
      <c r="AX1085" s="155"/>
    </row>
    <row r="1086" spans="4:50">
      <c r="D1086" s="155"/>
      <c r="E1086" s="155"/>
      <c r="F1086" s="155"/>
      <c r="G1086" s="155"/>
      <c r="H1086" s="155"/>
      <c r="I1086" s="155"/>
      <c r="J1086" s="155"/>
      <c r="K1086" s="155"/>
      <c r="L1086" s="155"/>
      <c r="M1086" s="155"/>
      <c r="N1086" s="155"/>
      <c r="O1086" s="155"/>
      <c r="P1086" s="155"/>
      <c r="Q1086" s="155"/>
      <c r="R1086" s="155"/>
      <c r="S1086" s="155"/>
      <c r="T1086" s="155"/>
      <c r="U1086" s="155"/>
      <c r="V1086" s="155"/>
      <c r="W1086" s="155"/>
      <c r="X1086" s="155"/>
      <c r="Y1086" s="155"/>
      <c r="Z1086" s="155"/>
      <c r="AA1086" s="155"/>
      <c r="AB1086" s="155"/>
      <c r="AC1086" s="155"/>
      <c r="AD1086" s="155"/>
      <c r="AE1086" s="155"/>
      <c r="AF1086" s="155"/>
      <c r="AG1086" s="155"/>
      <c r="AH1086" s="155"/>
      <c r="AI1086" s="155"/>
      <c r="AJ1086" s="155"/>
      <c r="AK1086" s="155"/>
      <c r="AL1086" s="155"/>
      <c r="AM1086" s="155"/>
      <c r="AN1086" s="155"/>
      <c r="AO1086" s="155"/>
      <c r="AP1086" s="155"/>
      <c r="AQ1086" s="155"/>
      <c r="AR1086" s="155"/>
      <c r="AS1086" s="155"/>
      <c r="AT1086" s="155"/>
      <c r="AU1086" s="155"/>
      <c r="AV1086" s="155"/>
      <c r="AW1086" s="155"/>
      <c r="AX1086" s="155"/>
    </row>
    <row r="1087" spans="4:50">
      <c r="D1087" s="155"/>
      <c r="E1087" s="155"/>
      <c r="F1087" s="155"/>
      <c r="G1087" s="155"/>
      <c r="H1087" s="155"/>
      <c r="I1087" s="155"/>
      <c r="J1087" s="155"/>
      <c r="K1087" s="155"/>
      <c r="L1087" s="155"/>
      <c r="M1087" s="155"/>
      <c r="N1087" s="155"/>
      <c r="O1087" s="155"/>
      <c r="P1087" s="155"/>
      <c r="Q1087" s="155"/>
      <c r="R1087" s="155"/>
      <c r="S1087" s="155"/>
      <c r="T1087" s="155"/>
      <c r="U1087" s="155"/>
      <c r="V1087" s="155"/>
      <c r="W1087" s="155"/>
      <c r="X1087" s="155"/>
      <c r="Y1087" s="155"/>
      <c r="Z1087" s="155"/>
      <c r="AA1087" s="155"/>
      <c r="AB1087" s="155"/>
      <c r="AC1087" s="155"/>
      <c r="AD1087" s="155"/>
      <c r="AE1087" s="155"/>
      <c r="AF1087" s="155"/>
      <c r="AG1087" s="155"/>
      <c r="AH1087" s="155"/>
      <c r="AI1087" s="155"/>
      <c r="AJ1087" s="155"/>
      <c r="AK1087" s="155"/>
      <c r="AL1087" s="155"/>
      <c r="AM1087" s="155"/>
      <c r="AN1087" s="155"/>
      <c r="AO1087" s="155"/>
      <c r="AP1087" s="155"/>
      <c r="AQ1087" s="155"/>
      <c r="AR1087" s="155"/>
      <c r="AS1087" s="155"/>
      <c r="AT1087" s="155"/>
      <c r="AU1087" s="155"/>
      <c r="AV1087" s="155"/>
      <c r="AW1087" s="155"/>
      <c r="AX1087" s="155"/>
    </row>
    <row r="1088" spans="4:50">
      <c r="D1088" s="155"/>
      <c r="E1088" s="155"/>
      <c r="F1088" s="155"/>
      <c r="G1088" s="155"/>
      <c r="H1088" s="155"/>
      <c r="I1088" s="155"/>
      <c r="J1088" s="155"/>
      <c r="K1088" s="155"/>
      <c r="L1088" s="155"/>
      <c r="M1088" s="155"/>
      <c r="N1088" s="155"/>
      <c r="O1088" s="155"/>
      <c r="P1088" s="155"/>
      <c r="Q1088" s="155"/>
      <c r="R1088" s="155"/>
      <c r="S1088" s="155"/>
      <c r="T1088" s="155"/>
      <c r="U1088" s="155"/>
      <c r="V1088" s="155"/>
      <c r="W1088" s="155"/>
      <c r="X1088" s="155"/>
      <c r="Y1088" s="155"/>
      <c r="Z1088" s="155"/>
      <c r="AA1088" s="155"/>
      <c r="AB1088" s="155"/>
      <c r="AC1088" s="155"/>
      <c r="AD1088" s="155"/>
      <c r="AE1088" s="155"/>
      <c r="AF1088" s="155"/>
      <c r="AG1088" s="155"/>
      <c r="AH1088" s="155"/>
      <c r="AI1088" s="155"/>
      <c r="AJ1088" s="155"/>
      <c r="AK1088" s="155"/>
      <c r="AL1088" s="155"/>
      <c r="AM1088" s="155"/>
      <c r="AN1088" s="155"/>
      <c r="AO1088" s="155"/>
      <c r="AP1088" s="155"/>
      <c r="AQ1088" s="155"/>
      <c r="AR1088" s="155"/>
      <c r="AS1088" s="155"/>
      <c r="AT1088" s="155"/>
      <c r="AU1088" s="155"/>
      <c r="AV1088" s="155"/>
      <c r="AW1088" s="155"/>
      <c r="AX1088" s="155"/>
    </row>
    <row r="1089" spans="1:53">
      <c r="D1089" s="155"/>
      <c r="E1089" s="155"/>
      <c r="F1089" s="155"/>
      <c r="G1089" s="155"/>
      <c r="H1089" s="155"/>
      <c r="I1089" s="155"/>
      <c r="J1089" s="155"/>
      <c r="K1089" s="155"/>
      <c r="L1089" s="155"/>
      <c r="M1089" s="155"/>
      <c r="N1089" s="155"/>
      <c r="O1089" s="155"/>
      <c r="P1089" s="155"/>
      <c r="Q1089" s="155"/>
      <c r="R1089" s="155"/>
      <c r="S1089" s="155"/>
      <c r="T1089" s="155"/>
      <c r="U1089" s="155"/>
      <c r="V1089" s="155"/>
      <c r="W1089" s="155"/>
      <c r="X1089" s="155"/>
      <c r="Y1089" s="155"/>
      <c r="Z1089" s="155"/>
      <c r="AA1089" s="155"/>
      <c r="AB1089" s="155"/>
      <c r="AC1089" s="155"/>
      <c r="AD1089" s="155"/>
      <c r="AE1089" s="155"/>
      <c r="AF1089" s="155"/>
      <c r="AG1089" s="155"/>
      <c r="AH1089" s="155"/>
      <c r="AI1089" s="155"/>
      <c r="AJ1089" s="155"/>
      <c r="AK1089" s="155"/>
      <c r="AL1089" s="155"/>
      <c r="AM1089" s="155"/>
      <c r="AN1089" s="155"/>
      <c r="AO1089" s="155"/>
      <c r="AP1089" s="155"/>
      <c r="AQ1089" s="155"/>
      <c r="AR1089" s="155"/>
      <c r="AS1089" s="155"/>
      <c r="AT1089" s="155"/>
      <c r="AU1089" s="155"/>
      <c r="AV1089" s="155"/>
      <c r="AW1089" s="155"/>
      <c r="AX1089" s="155"/>
    </row>
    <row r="1090" spans="1:53">
      <c r="D1090" s="155"/>
      <c r="E1090" s="155"/>
      <c r="F1090" s="155"/>
      <c r="G1090" s="155"/>
      <c r="H1090" s="155"/>
      <c r="I1090" s="155"/>
      <c r="J1090" s="155"/>
      <c r="K1090" s="155"/>
      <c r="L1090" s="155"/>
      <c r="M1090" s="155"/>
      <c r="N1090" s="155"/>
      <c r="O1090" s="155"/>
      <c r="P1090" s="155"/>
      <c r="Q1090" s="155"/>
      <c r="R1090" s="155"/>
      <c r="S1090" s="155"/>
      <c r="T1090" s="155"/>
      <c r="U1090" s="155"/>
      <c r="V1090" s="155"/>
      <c r="W1090" s="155"/>
      <c r="X1090" s="155"/>
      <c r="Y1090" s="155"/>
      <c r="Z1090" s="155"/>
      <c r="AA1090" s="155"/>
      <c r="AB1090" s="155"/>
      <c r="AC1090" s="155"/>
      <c r="AD1090" s="155"/>
      <c r="AE1090" s="155"/>
      <c r="AF1090" s="155"/>
      <c r="AG1090" s="155"/>
      <c r="AH1090" s="155"/>
      <c r="AI1090" s="155"/>
      <c r="AJ1090" s="155"/>
      <c r="AK1090" s="155"/>
      <c r="AL1090" s="155"/>
      <c r="AM1090" s="155"/>
      <c r="AN1090" s="155"/>
      <c r="AO1090" s="155"/>
      <c r="AP1090" s="155"/>
      <c r="AQ1090" s="155"/>
      <c r="AR1090" s="155"/>
      <c r="AS1090" s="155"/>
      <c r="AT1090" s="155"/>
      <c r="AU1090" s="155"/>
      <c r="AV1090" s="155"/>
      <c r="AW1090" s="155"/>
      <c r="AX1090" s="155"/>
    </row>
    <row r="1091" spans="1:53">
      <c r="D1091" s="155"/>
      <c r="E1091" s="155"/>
      <c r="F1091" s="155"/>
      <c r="G1091" s="155"/>
      <c r="H1091" s="155"/>
      <c r="I1091" s="155"/>
      <c r="J1091" s="155"/>
      <c r="K1091" s="155"/>
      <c r="L1091" s="155"/>
      <c r="M1091" s="155"/>
      <c r="N1091" s="155"/>
      <c r="O1091" s="155"/>
      <c r="P1091" s="155"/>
      <c r="Q1091" s="155"/>
      <c r="R1091" s="155"/>
      <c r="S1091" s="155"/>
      <c r="T1091" s="155"/>
      <c r="U1091" s="155"/>
      <c r="V1091" s="155"/>
      <c r="W1091" s="155"/>
      <c r="X1091" s="155"/>
      <c r="Y1091" s="155"/>
      <c r="Z1091" s="155"/>
      <c r="AA1091" s="155"/>
      <c r="AB1091" s="155"/>
      <c r="AC1091" s="155"/>
      <c r="AD1091" s="155"/>
      <c r="AE1091" s="155"/>
      <c r="AF1091" s="155"/>
      <c r="AG1091" s="155"/>
      <c r="AH1091" s="155"/>
      <c r="AI1091" s="155"/>
      <c r="AJ1091" s="155"/>
      <c r="AK1091" s="155"/>
      <c r="AL1091" s="155"/>
      <c r="AM1091" s="155"/>
      <c r="AN1091" s="155"/>
      <c r="AO1091" s="155"/>
      <c r="AP1091" s="155"/>
      <c r="AQ1091" s="155"/>
      <c r="AR1091" s="155"/>
      <c r="AS1091" s="155"/>
      <c r="AT1091" s="155"/>
      <c r="AU1091" s="155"/>
      <c r="AV1091" s="155"/>
      <c r="AW1091" s="155"/>
      <c r="AX1091" s="155"/>
    </row>
    <row r="1092" spans="1:53">
      <c r="D1092" s="155"/>
      <c r="E1092" s="155"/>
      <c r="F1092" s="155"/>
      <c r="G1092" s="155"/>
      <c r="H1092" s="155"/>
      <c r="I1092" s="155"/>
      <c r="J1092" s="155"/>
      <c r="K1092" s="155"/>
      <c r="L1092" s="155"/>
      <c r="M1092" s="155"/>
      <c r="N1092" s="155"/>
      <c r="O1092" s="155"/>
      <c r="P1092" s="155"/>
      <c r="Q1092" s="155"/>
      <c r="R1092" s="155"/>
      <c r="S1092" s="155"/>
      <c r="T1092" s="155"/>
      <c r="U1092" s="155"/>
      <c r="V1092" s="155"/>
      <c r="W1092" s="155"/>
      <c r="X1092" s="155"/>
      <c r="Y1092" s="155"/>
      <c r="Z1092" s="155"/>
      <c r="AA1092" s="155"/>
      <c r="AB1092" s="155"/>
      <c r="AC1092" s="155"/>
      <c r="AD1092" s="155"/>
      <c r="AE1092" s="155"/>
      <c r="AF1092" s="155"/>
      <c r="AG1092" s="155"/>
      <c r="AH1092" s="155"/>
      <c r="AI1092" s="155"/>
      <c r="AJ1092" s="155"/>
      <c r="AK1092" s="155"/>
      <c r="AL1092" s="155"/>
      <c r="AM1092" s="155"/>
      <c r="AN1092" s="155"/>
      <c r="AO1092" s="155"/>
      <c r="AP1092" s="155"/>
      <c r="AQ1092" s="155"/>
      <c r="AR1092" s="155"/>
      <c r="AS1092" s="155"/>
      <c r="AT1092" s="155"/>
      <c r="AU1092" s="155"/>
      <c r="AV1092" s="155"/>
      <c r="AW1092" s="155"/>
      <c r="AX1092" s="155"/>
    </row>
    <row r="1093" spans="1:53">
      <c r="D1093" s="155"/>
      <c r="E1093" s="155"/>
      <c r="F1093" s="155"/>
      <c r="G1093" s="155"/>
      <c r="H1093" s="155"/>
      <c r="I1093" s="155"/>
      <c r="J1093" s="155"/>
      <c r="K1093" s="155"/>
      <c r="L1093" s="155"/>
      <c r="M1093" s="155"/>
      <c r="N1093" s="155"/>
      <c r="O1093" s="155"/>
      <c r="P1093" s="155"/>
      <c r="Q1093" s="155"/>
      <c r="R1093" s="155"/>
      <c r="S1093" s="155"/>
      <c r="T1093" s="155"/>
      <c r="U1093" s="155"/>
      <c r="V1093" s="155"/>
      <c r="W1093" s="155"/>
      <c r="X1093" s="155"/>
      <c r="Y1093" s="155"/>
      <c r="Z1093" s="155"/>
      <c r="AA1093" s="155"/>
      <c r="AB1093" s="155"/>
      <c r="AC1093" s="155"/>
      <c r="AD1093" s="155"/>
      <c r="AE1093" s="155"/>
      <c r="AF1093" s="155"/>
      <c r="AG1093" s="155"/>
      <c r="AH1093" s="155"/>
      <c r="AI1093" s="155"/>
      <c r="AJ1093" s="155"/>
      <c r="AK1093" s="155"/>
      <c r="AL1093" s="155"/>
      <c r="AM1093" s="155"/>
      <c r="AN1093" s="155"/>
      <c r="AO1093" s="155"/>
      <c r="AP1093" s="155"/>
      <c r="AQ1093" s="155"/>
      <c r="AR1093" s="155"/>
      <c r="AS1093" s="155"/>
      <c r="AT1093" s="155"/>
      <c r="AU1093" s="155"/>
      <c r="AV1093" s="155"/>
      <c r="AW1093" s="155"/>
      <c r="AX1093" s="155"/>
    </row>
    <row r="1094" spans="1:53">
      <c r="D1094" s="155"/>
      <c r="E1094" s="155"/>
      <c r="F1094" s="155"/>
      <c r="G1094" s="155"/>
      <c r="H1094" s="155"/>
      <c r="I1094" s="155"/>
      <c r="J1094" s="155"/>
      <c r="K1094" s="155"/>
      <c r="L1094" s="155"/>
      <c r="M1094" s="155"/>
      <c r="N1094" s="155"/>
      <c r="O1094" s="155"/>
      <c r="P1094" s="155"/>
      <c r="Q1094" s="155"/>
      <c r="R1094" s="155"/>
      <c r="S1094" s="155"/>
      <c r="T1094" s="155"/>
      <c r="U1094" s="155"/>
      <c r="V1094" s="155"/>
      <c r="W1094" s="155"/>
      <c r="X1094" s="155"/>
      <c r="Y1094" s="155"/>
      <c r="Z1094" s="155"/>
      <c r="AA1094" s="155"/>
      <c r="AB1094" s="155"/>
      <c r="AC1094" s="155"/>
      <c r="AD1094" s="155"/>
      <c r="AE1094" s="155"/>
      <c r="AF1094" s="155"/>
      <c r="AG1094" s="155"/>
      <c r="AH1094" s="155"/>
      <c r="AI1094" s="155"/>
      <c r="AJ1094" s="155"/>
      <c r="AK1094" s="155"/>
      <c r="AL1094" s="155"/>
      <c r="AM1094" s="155"/>
      <c r="AN1094" s="155"/>
      <c r="AO1094" s="155"/>
      <c r="AP1094" s="155"/>
      <c r="AQ1094" s="155"/>
      <c r="AR1094" s="155"/>
      <c r="AS1094" s="155"/>
      <c r="AT1094" s="155"/>
      <c r="AU1094" s="155"/>
      <c r="AV1094" s="155"/>
      <c r="AW1094" s="155"/>
      <c r="AX1094" s="155"/>
    </row>
    <row r="1095" spans="1:53">
      <c r="D1095" s="155"/>
      <c r="E1095" s="155"/>
      <c r="F1095" s="155"/>
      <c r="G1095" s="155"/>
      <c r="H1095" s="155"/>
      <c r="I1095" s="155"/>
      <c r="J1095" s="155"/>
      <c r="K1095" s="155"/>
      <c r="L1095" s="155"/>
      <c r="M1095" s="155"/>
      <c r="N1095" s="155"/>
      <c r="O1095" s="155"/>
      <c r="P1095" s="155"/>
      <c r="Q1095" s="155"/>
      <c r="R1095" s="155"/>
      <c r="S1095" s="155"/>
      <c r="T1095" s="155"/>
      <c r="U1095" s="155"/>
      <c r="V1095" s="155"/>
      <c r="W1095" s="155"/>
      <c r="X1095" s="155"/>
      <c r="Y1095" s="155"/>
      <c r="Z1095" s="155"/>
      <c r="AA1095" s="155"/>
      <c r="AB1095" s="155"/>
      <c r="AC1095" s="155"/>
      <c r="AD1095" s="155"/>
      <c r="AE1095" s="155"/>
      <c r="AF1095" s="155"/>
      <c r="AG1095" s="155"/>
      <c r="AH1095" s="155"/>
      <c r="AI1095" s="155"/>
      <c r="AJ1095" s="155"/>
      <c r="AK1095" s="155"/>
      <c r="AL1095" s="155"/>
      <c r="AM1095" s="155"/>
      <c r="AN1095" s="155"/>
      <c r="AO1095" s="155"/>
      <c r="AP1095" s="155"/>
      <c r="AQ1095" s="155"/>
      <c r="AR1095" s="155"/>
      <c r="AS1095" s="155"/>
      <c r="AT1095" s="155"/>
      <c r="AU1095" s="155"/>
      <c r="AV1095" s="155"/>
      <c r="AW1095" s="155"/>
      <c r="AX1095" s="155"/>
    </row>
    <row r="1096" spans="1:53">
      <c r="D1096" s="155"/>
      <c r="E1096" s="155"/>
      <c r="F1096" s="155"/>
      <c r="G1096" s="155"/>
      <c r="H1096" s="155"/>
      <c r="I1096" s="155"/>
      <c r="J1096" s="155"/>
      <c r="K1096" s="155"/>
      <c r="L1096" s="155"/>
      <c r="M1096" s="155"/>
      <c r="N1096" s="155"/>
      <c r="O1096" s="155"/>
      <c r="P1096" s="155"/>
      <c r="Q1096" s="155"/>
      <c r="R1096" s="155"/>
      <c r="S1096" s="155"/>
      <c r="T1096" s="155"/>
      <c r="U1096" s="155"/>
      <c r="V1096" s="155"/>
      <c r="W1096" s="155"/>
      <c r="X1096" s="155"/>
      <c r="Y1096" s="155"/>
      <c r="Z1096" s="155"/>
      <c r="AA1096" s="155"/>
      <c r="AB1096" s="155"/>
      <c r="AC1096" s="155"/>
      <c r="AD1096" s="155"/>
      <c r="AE1096" s="155"/>
      <c r="AF1096" s="155"/>
      <c r="AG1096" s="155"/>
      <c r="AH1096" s="155"/>
      <c r="AI1096" s="155"/>
      <c r="AJ1096" s="155"/>
      <c r="AK1096" s="155"/>
      <c r="AL1096" s="155"/>
      <c r="AM1096" s="155"/>
      <c r="AN1096" s="155"/>
      <c r="AO1096" s="155"/>
      <c r="AP1096" s="155"/>
      <c r="AQ1096" s="155"/>
      <c r="AR1096" s="155"/>
      <c r="AS1096" s="155"/>
      <c r="AT1096" s="155"/>
      <c r="AU1096" s="155"/>
      <c r="AV1096" s="155"/>
      <c r="AW1096" s="155"/>
      <c r="AX1096" s="155"/>
    </row>
    <row r="1097" spans="1:53">
      <c r="D1097" s="155"/>
      <c r="E1097" s="155"/>
      <c r="F1097" s="155"/>
      <c r="G1097" s="155"/>
      <c r="H1097" s="155"/>
      <c r="I1097" s="155"/>
      <c r="J1097" s="155"/>
      <c r="K1097" s="155"/>
      <c r="L1097" s="155"/>
      <c r="M1097" s="155"/>
      <c r="N1097" s="155"/>
      <c r="O1097" s="155"/>
      <c r="P1097" s="155"/>
      <c r="Q1097" s="155"/>
      <c r="R1097" s="155"/>
      <c r="S1097" s="155"/>
      <c r="T1097" s="155"/>
      <c r="U1097" s="155"/>
      <c r="V1097" s="155"/>
      <c r="W1097" s="155"/>
      <c r="X1097" s="155"/>
      <c r="Y1097" s="155"/>
      <c r="Z1097" s="155"/>
      <c r="AA1097" s="155"/>
      <c r="AB1097" s="155"/>
      <c r="AC1097" s="155"/>
      <c r="AD1097" s="155"/>
      <c r="AE1097" s="155"/>
      <c r="AF1097" s="155"/>
      <c r="AG1097" s="155"/>
      <c r="AH1097" s="155"/>
      <c r="AI1097" s="155"/>
      <c r="AJ1097" s="155"/>
      <c r="AK1097" s="155"/>
      <c r="AL1097" s="155"/>
      <c r="AM1097" s="155"/>
      <c r="AN1097" s="155"/>
      <c r="AO1097" s="155"/>
      <c r="AP1097" s="155"/>
      <c r="AQ1097" s="155"/>
      <c r="AR1097" s="155"/>
      <c r="AS1097" s="155"/>
      <c r="AT1097" s="155"/>
      <c r="AU1097" s="155"/>
      <c r="AV1097" s="155"/>
      <c r="AW1097" s="155"/>
      <c r="AX1097" s="155"/>
    </row>
    <row r="1098" spans="1:53">
      <c r="A1098" s="527"/>
      <c r="B1098" s="527"/>
      <c r="C1098" s="527"/>
      <c r="D1098" s="527"/>
      <c r="E1098" s="527"/>
      <c r="F1098" s="527"/>
      <c r="G1098" s="527"/>
      <c r="H1098" s="527"/>
      <c r="I1098" s="527"/>
      <c r="J1098" s="527"/>
      <c r="K1098" s="527"/>
      <c r="L1098" s="527"/>
      <c r="M1098" s="527"/>
      <c r="N1098" s="527"/>
      <c r="O1098" s="527"/>
      <c r="P1098" s="527"/>
      <c r="Q1098" s="527"/>
      <c r="R1098" s="527"/>
      <c r="S1098" s="527"/>
      <c r="T1098" s="527"/>
      <c r="U1098" s="527"/>
      <c r="V1098" s="527"/>
      <c r="W1098" s="527"/>
      <c r="X1098" s="527"/>
      <c r="Y1098" s="527"/>
      <c r="Z1098" s="527"/>
      <c r="AA1098" s="527"/>
      <c r="AB1098" s="527"/>
      <c r="AC1098" s="527"/>
      <c r="AD1098" s="527"/>
      <c r="AE1098" s="527"/>
      <c r="AF1098" s="527"/>
      <c r="AG1098" s="527"/>
      <c r="AH1098" s="527"/>
      <c r="AI1098" s="527"/>
      <c r="AJ1098" s="527"/>
      <c r="AK1098" s="527"/>
      <c r="AL1098" s="527"/>
      <c r="AM1098" s="527"/>
      <c r="AN1098" s="527"/>
      <c r="AO1098" s="527"/>
      <c r="AP1098" s="527"/>
      <c r="AQ1098" s="527"/>
      <c r="AR1098" s="527"/>
      <c r="AS1098" s="527"/>
      <c r="AT1098" s="527"/>
      <c r="AU1098" s="527"/>
      <c r="AV1098" s="527"/>
      <c r="AW1098" s="527"/>
      <c r="AX1098" s="527"/>
      <c r="AY1098" s="527"/>
      <c r="AZ1098" s="527"/>
      <c r="BA1098" s="527"/>
    </row>
    <row r="1099" spans="1:53">
      <c r="A1099" s="527"/>
      <c r="B1099" s="527"/>
      <c r="C1099" s="527"/>
      <c r="D1099" s="527"/>
      <c r="E1099" s="527"/>
      <c r="F1099" s="527"/>
      <c r="G1099" s="527"/>
      <c r="H1099" s="527"/>
      <c r="I1099" s="527"/>
      <c r="J1099" s="527"/>
      <c r="K1099" s="527"/>
      <c r="L1099" s="527"/>
      <c r="M1099" s="527"/>
      <c r="N1099" s="527"/>
      <c r="O1099" s="527"/>
      <c r="P1099" s="527"/>
      <c r="Q1099" s="527"/>
      <c r="R1099" s="527"/>
      <c r="S1099" s="527"/>
      <c r="T1099" s="527"/>
      <c r="U1099" s="527"/>
      <c r="V1099" s="527"/>
      <c r="W1099" s="527"/>
      <c r="X1099" s="527"/>
      <c r="Y1099" s="527"/>
      <c r="Z1099" s="527"/>
      <c r="AA1099" s="527"/>
      <c r="AB1099" s="527"/>
      <c r="AC1099" s="527"/>
      <c r="AD1099" s="527"/>
      <c r="AE1099" s="527"/>
      <c r="AF1099" s="527"/>
      <c r="AG1099" s="527"/>
      <c r="AH1099" s="527"/>
      <c r="AI1099" s="527"/>
      <c r="AJ1099" s="527"/>
      <c r="AK1099" s="527"/>
      <c r="AL1099" s="527"/>
      <c r="AM1099" s="527"/>
      <c r="AN1099" s="527"/>
      <c r="AO1099" s="527"/>
      <c r="AP1099" s="527"/>
      <c r="AQ1099" s="527"/>
      <c r="AR1099" s="527"/>
      <c r="AS1099" s="527"/>
      <c r="AT1099" s="527"/>
      <c r="AU1099" s="527"/>
      <c r="AV1099" s="527"/>
      <c r="AW1099" s="527"/>
      <c r="AX1099" s="527"/>
      <c r="AY1099" s="527"/>
      <c r="AZ1099" s="527"/>
      <c r="BA1099" s="527"/>
    </row>
    <row r="1100" spans="1:53">
      <c r="A1100" s="527"/>
      <c r="B1100" s="527"/>
      <c r="C1100" s="527"/>
      <c r="D1100" s="527"/>
      <c r="E1100" s="527"/>
      <c r="F1100" s="527"/>
      <c r="G1100" s="527"/>
      <c r="H1100" s="527"/>
      <c r="I1100" s="527"/>
      <c r="J1100" s="527"/>
      <c r="K1100" s="527"/>
      <c r="L1100" s="527"/>
      <c r="M1100" s="527"/>
      <c r="N1100" s="527"/>
      <c r="O1100" s="527"/>
      <c r="P1100" s="527"/>
      <c r="Q1100" s="527"/>
      <c r="R1100" s="527"/>
      <c r="S1100" s="527"/>
      <c r="T1100" s="527"/>
      <c r="U1100" s="527"/>
      <c r="V1100" s="527"/>
      <c r="W1100" s="527"/>
      <c r="X1100" s="527"/>
      <c r="Y1100" s="527"/>
      <c r="Z1100" s="527"/>
      <c r="AA1100" s="527"/>
      <c r="AB1100" s="527"/>
      <c r="AC1100" s="527"/>
      <c r="AD1100" s="527"/>
      <c r="AE1100" s="527"/>
      <c r="AF1100" s="527"/>
      <c r="AG1100" s="527"/>
      <c r="AH1100" s="527"/>
      <c r="AI1100" s="527"/>
      <c r="AJ1100" s="527"/>
      <c r="AK1100" s="527"/>
      <c r="AL1100" s="527"/>
      <c r="AM1100" s="527"/>
      <c r="AN1100" s="527"/>
      <c r="AO1100" s="527"/>
      <c r="AP1100" s="527"/>
      <c r="AQ1100" s="527"/>
      <c r="AR1100" s="527"/>
      <c r="AS1100" s="527"/>
      <c r="AT1100" s="527"/>
      <c r="AU1100" s="527"/>
      <c r="AV1100" s="527"/>
      <c r="AW1100" s="527"/>
      <c r="AX1100" s="527"/>
      <c r="AY1100" s="527"/>
      <c r="AZ1100" s="527"/>
      <c r="BA1100" s="527"/>
    </row>
    <row r="1101" spans="1:53">
      <c r="A1101" s="527"/>
      <c r="B1101" s="527"/>
      <c r="C1101" s="527"/>
      <c r="D1101" s="527"/>
      <c r="E1101" s="527"/>
      <c r="F1101" s="527"/>
      <c r="G1101" s="527"/>
      <c r="H1101" s="527"/>
      <c r="I1101" s="527"/>
      <c r="J1101" s="527"/>
      <c r="K1101" s="527"/>
      <c r="L1101" s="527"/>
      <c r="M1101" s="527"/>
      <c r="N1101" s="527"/>
      <c r="O1101" s="527"/>
      <c r="P1101" s="527"/>
      <c r="Q1101" s="527"/>
      <c r="R1101" s="527"/>
      <c r="S1101" s="527"/>
      <c r="T1101" s="527"/>
      <c r="U1101" s="527"/>
      <c r="V1101" s="527"/>
      <c r="W1101" s="527"/>
      <c r="X1101" s="527"/>
      <c r="Y1101" s="527"/>
      <c r="Z1101" s="527"/>
      <c r="AA1101" s="527"/>
      <c r="AB1101" s="527"/>
      <c r="AC1101" s="527"/>
      <c r="AD1101" s="527"/>
      <c r="AE1101" s="527"/>
      <c r="AF1101" s="527"/>
      <c r="AG1101" s="527"/>
      <c r="AH1101" s="527"/>
      <c r="AI1101" s="527"/>
      <c r="AJ1101" s="527"/>
      <c r="AK1101" s="527"/>
      <c r="AL1101" s="527"/>
      <c r="AM1101" s="527"/>
      <c r="AN1101" s="527"/>
      <c r="AO1101" s="527"/>
      <c r="AP1101" s="527"/>
      <c r="AQ1101" s="527"/>
      <c r="AR1101" s="527"/>
      <c r="AS1101" s="527"/>
      <c r="AT1101" s="527"/>
      <c r="AU1101" s="527"/>
      <c r="AV1101" s="527"/>
      <c r="AW1101" s="527"/>
      <c r="AX1101" s="527"/>
      <c r="AY1101" s="527"/>
      <c r="AZ1101" s="527"/>
      <c r="BA1101" s="527"/>
    </row>
    <row r="1102" spans="1:53">
      <c r="A1102" s="527"/>
      <c r="B1102" s="527"/>
      <c r="C1102" s="527"/>
      <c r="D1102" s="527"/>
      <c r="E1102" s="527"/>
      <c r="F1102" s="527"/>
      <c r="G1102" s="527"/>
      <c r="H1102" s="527"/>
      <c r="I1102" s="527"/>
      <c r="J1102" s="527"/>
      <c r="K1102" s="527"/>
      <c r="L1102" s="527"/>
      <c r="M1102" s="527"/>
      <c r="N1102" s="527"/>
      <c r="O1102" s="527"/>
      <c r="P1102" s="527"/>
      <c r="Q1102" s="527"/>
      <c r="R1102" s="527"/>
      <c r="S1102" s="527"/>
      <c r="T1102" s="527"/>
      <c r="U1102" s="527"/>
      <c r="V1102" s="527"/>
      <c r="W1102" s="527"/>
      <c r="X1102" s="527"/>
      <c r="Y1102" s="527"/>
      <c r="Z1102" s="527"/>
      <c r="AA1102" s="527"/>
      <c r="AB1102" s="527"/>
      <c r="AC1102" s="527"/>
      <c r="AD1102" s="527"/>
      <c r="AE1102" s="527"/>
      <c r="AF1102" s="527"/>
      <c r="AG1102" s="527"/>
      <c r="AH1102" s="527"/>
      <c r="AI1102" s="527"/>
      <c r="AJ1102" s="527"/>
      <c r="AK1102" s="527"/>
      <c r="AL1102" s="527"/>
      <c r="AM1102" s="527"/>
      <c r="AN1102" s="527"/>
      <c r="AO1102" s="527"/>
      <c r="AP1102" s="527"/>
      <c r="AQ1102" s="527"/>
      <c r="AR1102" s="527"/>
      <c r="AS1102" s="527"/>
      <c r="AT1102" s="527"/>
      <c r="AU1102" s="527"/>
      <c r="AV1102" s="527"/>
      <c r="AW1102" s="527"/>
      <c r="AX1102" s="527"/>
      <c r="AY1102" s="527"/>
      <c r="AZ1102" s="527"/>
      <c r="BA1102" s="527"/>
    </row>
    <row r="1103" spans="1:53">
      <c r="A1103" s="527"/>
      <c r="B1103" s="527"/>
      <c r="C1103" s="527"/>
      <c r="D1103" s="527"/>
      <c r="E1103" s="527"/>
      <c r="F1103" s="527"/>
      <c r="G1103" s="527"/>
      <c r="H1103" s="527"/>
      <c r="I1103" s="527"/>
      <c r="J1103" s="527"/>
      <c r="K1103" s="527"/>
      <c r="L1103" s="527"/>
      <c r="M1103" s="527"/>
      <c r="N1103" s="527"/>
      <c r="O1103" s="527"/>
      <c r="P1103" s="527"/>
      <c r="Q1103" s="527"/>
      <c r="R1103" s="527"/>
      <c r="S1103" s="527"/>
      <c r="T1103" s="527"/>
      <c r="U1103" s="527"/>
      <c r="V1103" s="527"/>
      <c r="W1103" s="527"/>
      <c r="X1103" s="527"/>
      <c r="Y1103" s="527"/>
      <c r="Z1103" s="527"/>
      <c r="AA1103" s="527"/>
      <c r="AB1103" s="527"/>
      <c r="AC1103" s="527"/>
      <c r="AD1103" s="527"/>
      <c r="AE1103" s="527"/>
      <c r="AF1103" s="527"/>
      <c r="AG1103" s="527"/>
      <c r="AH1103" s="527"/>
      <c r="AI1103" s="527"/>
      <c r="AJ1103" s="527"/>
      <c r="AK1103" s="527"/>
      <c r="AL1103" s="527"/>
      <c r="AM1103" s="527"/>
      <c r="AN1103" s="527"/>
      <c r="AO1103" s="527"/>
      <c r="AP1103" s="527"/>
      <c r="AQ1103" s="527"/>
      <c r="AR1103" s="527"/>
      <c r="AS1103" s="527"/>
      <c r="AT1103" s="527"/>
      <c r="AU1103" s="527"/>
      <c r="AV1103" s="527"/>
      <c r="AW1103" s="527"/>
      <c r="AX1103" s="527"/>
      <c r="AY1103" s="527"/>
      <c r="AZ1103" s="527"/>
      <c r="BA1103" s="527"/>
    </row>
    <row r="1104" spans="1:53">
      <c r="A1104" s="527"/>
      <c r="B1104" s="527"/>
      <c r="C1104" s="527"/>
      <c r="D1104" s="527"/>
      <c r="E1104" s="527"/>
      <c r="F1104" s="527"/>
      <c r="G1104" s="527"/>
      <c r="H1104" s="527"/>
      <c r="I1104" s="527"/>
      <c r="J1104" s="527"/>
      <c r="K1104" s="527"/>
      <c r="L1104" s="527"/>
      <c r="M1104" s="527"/>
      <c r="N1104" s="527"/>
      <c r="O1104" s="527"/>
      <c r="P1104" s="527"/>
      <c r="Q1104" s="527"/>
      <c r="R1104" s="527"/>
      <c r="S1104" s="527"/>
      <c r="T1104" s="527"/>
      <c r="U1104" s="527"/>
      <c r="V1104" s="527"/>
      <c r="W1104" s="527"/>
      <c r="X1104" s="527"/>
      <c r="Y1104" s="527"/>
      <c r="Z1104" s="527"/>
      <c r="AA1104" s="527"/>
      <c r="AB1104" s="527"/>
      <c r="AC1104" s="527"/>
      <c r="AD1104" s="527"/>
      <c r="AE1104" s="527"/>
      <c r="AF1104" s="527"/>
      <c r="AG1104" s="527"/>
      <c r="AH1104" s="527"/>
      <c r="AI1104" s="527"/>
      <c r="AJ1104" s="527"/>
      <c r="AK1104" s="527"/>
      <c r="AL1104" s="527"/>
      <c r="AM1104" s="527"/>
      <c r="AN1104" s="527"/>
      <c r="AO1104" s="527"/>
      <c r="AP1104" s="527"/>
      <c r="AQ1104" s="527"/>
      <c r="AR1104" s="527"/>
      <c r="AS1104" s="527"/>
      <c r="AT1104" s="527"/>
      <c r="AU1104" s="527"/>
      <c r="AV1104" s="527"/>
      <c r="AW1104" s="527"/>
      <c r="AX1104" s="527"/>
      <c r="AY1104" s="527"/>
      <c r="AZ1104" s="527"/>
      <c r="BA1104" s="527"/>
    </row>
    <row r="1105" spans="1:53">
      <c r="A1105" s="527"/>
      <c r="B1105" s="527"/>
      <c r="C1105" s="527"/>
      <c r="D1105" s="527"/>
      <c r="E1105" s="527"/>
      <c r="F1105" s="527"/>
      <c r="G1105" s="527"/>
      <c r="H1105" s="527"/>
      <c r="I1105" s="527"/>
      <c r="J1105" s="527"/>
      <c r="K1105" s="527"/>
      <c r="L1105" s="527"/>
      <c r="M1105" s="527"/>
      <c r="N1105" s="527"/>
      <c r="O1105" s="527"/>
      <c r="P1105" s="527"/>
      <c r="Q1105" s="527"/>
      <c r="R1105" s="527"/>
      <c r="S1105" s="527"/>
      <c r="T1105" s="527"/>
      <c r="U1105" s="527"/>
      <c r="V1105" s="527"/>
      <c r="W1105" s="527"/>
      <c r="X1105" s="527"/>
      <c r="Y1105" s="527"/>
      <c r="Z1105" s="527"/>
      <c r="AA1105" s="527"/>
      <c r="AB1105" s="527"/>
      <c r="AC1105" s="527"/>
      <c r="AD1105" s="527"/>
      <c r="AE1105" s="527"/>
      <c r="AF1105" s="527"/>
      <c r="AG1105" s="527"/>
      <c r="AH1105" s="527"/>
      <c r="AI1105" s="527"/>
      <c r="AJ1105" s="527"/>
      <c r="AK1105" s="527"/>
      <c r="AL1105" s="527"/>
      <c r="AM1105" s="527"/>
      <c r="AN1105" s="527"/>
      <c r="AO1105" s="527"/>
      <c r="AP1105" s="527"/>
      <c r="AQ1105" s="527"/>
      <c r="AR1105" s="527"/>
      <c r="AS1105" s="527"/>
      <c r="AT1105" s="527"/>
      <c r="AU1105" s="527"/>
      <c r="AV1105" s="527"/>
      <c r="AW1105" s="527"/>
      <c r="AX1105" s="527"/>
      <c r="AY1105" s="527"/>
      <c r="AZ1105" s="527"/>
      <c r="BA1105" s="527"/>
    </row>
    <row r="1106" spans="1:53">
      <c r="A1106" s="527"/>
      <c r="B1106" s="527"/>
      <c r="C1106" s="527"/>
      <c r="D1106" s="527"/>
      <c r="E1106" s="527"/>
      <c r="F1106" s="527"/>
      <c r="G1106" s="527"/>
      <c r="H1106" s="527"/>
      <c r="I1106" s="527"/>
      <c r="J1106" s="527"/>
      <c r="K1106" s="527"/>
      <c r="L1106" s="527"/>
      <c r="M1106" s="527"/>
      <c r="N1106" s="527"/>
      <c r="O1106" s="527"/>
      <c r="P1106" s="527"/>
      <c r="Q1106" s="527"/>
      <c r="R1106" s="527"/>
      <c r="S1106" s="527"/>
      <c r="T1106" s="527"/>
      <c r="U1106" s="527"/>
      <c r="V1106" s="527"/>
      <c r="W1106" s="527"/>
      <c r="X1106" s="527"/>
      <c r="Y1106" s="527"/>
      <c r="Z1106" s="527"/>
      <c r="AA1106" s="527"/>
      <c r="AB1106" s="527"/>
      <c r="AC1106" s="527"/>
      <c r="AD1106" s="527"/>
      <c r="AE1106" s="527"/>
      <c r="AF1106" s="527"/>
      <c r="AG1106" s="527"/>
      <c r="AH1106" s="527"/>
      <c r="AI1106" s="527"/>
      <c r="AJ1106" s="527"/>
      <c r="AK1106" s="527"/>
      <c r="AL1106" s="527"/>
      <c r="AM1106" s="527"/>
      <c r="AN1106" s="527"/>
      <c r="AO1106" s="527"/>
      <c r="AP1106" s="527"/>
      <c r="AQ1106" s="527"/>
      <c r="AR1106" s="527"/>
      <c r="AS1106" s="527"/>
      <c r="AT1106" s="527"/>
      <c r="AU1106" s="527"/>
      <c r="AV1106" s="527"/>
      <c r="AW1106" s="527"/>
      <c r="AX1106" s="527"/>
      <c r="AY1106" s="527"/>
      <c r="AZ1106" s="527"/>
      <c r="BA1106" s="527"/>
    </row>
    <row r="1107" spans="1:53">
      <c r="A1107" s="527"/>
      <c r="B1107" s="527"/>
      <c r="C1107" s="527"/>
      <c r="D1107" s="527"/>
      <c r="E1107" s="527"/>
      <c r="F1107" s="527"/>
      <c r="G1107" s="527"/>
      <c r="H1107" s="527"/>
      <c r="I1107" s="527"/>
      <c r="J1107" s="527"/>
      <c r="K1107" s="527"/>
      <c r="L1107" s="527"/>
      <c r="M1107" s="527"/>
      <c r="N1107" s="527"/>
      <c r="O1107" s="527"/>
      <c r="P1107" s="527"/>
      <c r="Q1107" s="527"/>
      <c r="R1107" s="527"/>
      <c r="S1107" s="527"/>
      <c r="T1107" s="527"/>
      <c r="U1107" s="527"/>
      <c r="V1107" s="527"/>
      <c r="W1107" s="527"/>
      <c r="X1107" s="527"/>
      <c r="Y1107" s="527"/>
      <c r="Z1107" s="527"/>
      <c r="AA1107" s="527"/>
      <c r="AB1107" s="527"/>
      <c r="AC1107" s="527"/>
      <c r="AD1107" s="527"/>
      <c r="AE1107" s="527"/>
      <c r="AF1107" s="527"/>
      <c r="AG1107" s="527"/>
      <c r="AH1107" s="527"/>
      <c r="AI1107" s="527"/>
      <c r="AJ1107" s="527"/>
      <c r="AK1107" s="527"/>
      <c r="AL1107" s="527"/>
      <c r="AM1107" s="527"/>
      <c r="AN1107" s="527"/>
      <c r="AO1107" s="527"/>
      <c r="AP1107" s="527"/>
      <c r="AQ1107" s="527"/>
      <c r="AR1107" s="527"/>
      <c r="AS1107" s="527"/>
      <c r="AT1107" s="527"/>
      <c r="AU1107" s="527"/>
      <c r="AV1107" s="527"/>
      <c r="AW1107" s="527"/>
      <c r="AX1107" s="527"/>
      <c r="AY1107" s="527"/>
      <c r="AZ1107" s="527"/>
      <c r="BA1107" s="527"/>
    </row>
    <row r="1108" spans="1:53">
      <c r="A1108" s="527"/>
      <c r="B1108" s="527"/>
      <c r="C1108" s="527"/>
      <c r="D1108" s="527"/>
      <c r="E1108" s="527"/>
      <c r="F1108" s="527"/>
      <c r="G1108" s="527"/>
      <c r="H1108" s="527"/>
      <c r="I1108" s="527"/>
      <c r="J1108" s="527"/>
      <c r="K1108" s="527"/>
      <c r="L1108" s="527"/>
      <c r="M1108" s="527"/>
      <c r="N1108" s="527"/>
      <c r="O1108" s="527"/>
      <c r="P1108" s="527"/>
      <c r="Q1108" s="527"/>
      <c r="R1108" s="527"/>
      <c r="S1108" s="527"/>
      <c r="T1108" s="527"/>
      <c r="U1108" s="527"/>
      <c r="V1108" s="527"/>
      <c r="W1108" s="527"/>
      <c r="X1108" s="527"/>
      <c r="Y1108" s="527"/>
      <c r="Z1108" s="527"/>
      <c r="AA1108" s="527"/>
      <c r="AB1108" s="527"/>
      <c r="AC1108" s="527"/>
      <c r="AD1108" s="527"/>
      <c r="AE1108" s="527"/>
      <c r="AF1108" s="527"/>
      <c r="AG1108" s="527"/>
      <c r="AH1108" s="527"/>
      <c r="AI1108" s="527"/>
      <c r="AJ1108" s="527"/>
      <c r="AK1108" s="527"/>
      <c r="AL1108" s="527"/>
      <c r="AM1108" s="527"/>
      <c r="AN1108" s="527"/>
      <c r="AO1108" s="527"/>
      <c r="AP1108" s="527"/>
      <c r="AQ1108" s="527"/>
      <c r="AR1108" s="527"/>
      <c r="AS1108" s="527"/>
      <c r="AT1108" s="527"/>
      <c r="AU1108" s="527"/>
      <c r="AV1108" s="527"/>
      <c r="AW1108" s="527"/>
      <c r="AX1108" s="527"/>
      <c r="AY1108" s="527"/>
      <c r="AZ1108" s="527"/>
      <c r="BA1108" s="527"/>
    </row>
    <row r="1109" spans="1:53">
      <c r="A1109" s="527"/>
      <c r="B1109" s="527"/>
      <c r="C1109" s="527"/>
      <c r="D1109" s="527"/>
      <c r="E1109" s="527"/>
      <c r="F1109" s="527"/>
      <c r="G1109" s="527"/>
      <c r="H1109" s="527"/>
      <c r="I1109" s="527"/>
      <c r="J1109" s="527"/>
      <c r="K1109" s="527"/>
      <c r="L1109" s="527"/>
      <c r="M1109" s="527"/>
      <c r="N1109" s="527"/>
      <c r="O1109" s="527"/>
      <c r="P1109" s="527"/>
      <c r="Q1109" s="527"/>
      <c r="R1109" s="527"/>
      <c r="S1109" s="527"/>
      <c r="T1109" s="527"/>
      <c r="U1109" s="527"/>
      <c r="V1109" s="527"/>
      <c r="W1109" s="527"/>
      <c r="X1109" s="527"/>
      <c r="Y1109" s="527"/>
      <c r="Z1109" s="527"/>
      <c r="AA1109" s="527"/>
      <c r="AB1109" s="527"/>
      <c r="AC1109" s="527"/>
      <c r="AD1109" s="527"/>
      <c r="AE1109" s="527"/>
      <c r="AF1109" s="527"/>
      <c r="AG1109" s="527"/>
      <c r="AH1109" s="527"/>
      <c r="AI1109" s="527"/>
      <c r="AJ1109" s="527"/>
      <c r="AK1109" s="527"/>
      <c r="AL1109" s="527"/>
      <c r="AM1109" s="527"/>
      <c r="AN1109" s="527"/>
      <c r="AO1109" s="527"/>
      <c r="AP1109" s="527"/>
      <c r="AQ1109" s="527"/>
      <c r="AR1109" s="527"/>
      <c r="AS1109" s="527"/>
      <c r="AT1109" s="527"/>
      <c r="AU1109" s="527"/>
      <c r="AV1109" s="527"/>
      <c r="AW1109" s="527"/>
      <c r="AX1109" s="527"/>
      <c r="AY1109" s="527"/>
      <c r="AZ1109" s="527"/>
      <c r="BA1109" s="527"/>
    </row>
    <row r="1110" spans="1:53">
      <c r="A1110" s="527"/>
      <c r="B1110" s="527"/>
      <c r="C1110" s="527"/>
      <c r="D1110" s="527"/>
      <c r="E1110" s="527"/>
      <c r="F1110" s="527"/>
      <c r="G1110" s="527"/>
      <c r="H1110" s="527"/>
      <c r="I1110" s="527"/>
      <c r="J1110" s="527"/>
      <c r="K1110" s="527"/>
      <c r="L1110" s="527"/>
      <c r="M1110" s="527"/>
      <c r="N1110" s="527"/>
      <c r="O1110" s="527"/>
      <c r="P1110" s="527"/>
      <c r="Q1110" s="527"/>
      <c r="R1110" s="527"/>
      <c r="S1110" s="527"/>
      <c r="T1110" s="527"/>
      <c r="U1110" s="527"/>
      <c r="V1110" s="527"/>
      <c r="W1110" s="527"/>
      <c r="X1110" s="527"/>
      <c r="Y1110" s="527"/>
      <c r="Z1110" s="527"/>
      <c r="AA1110" s="527"/>
      <c r="AB1110" s="527"/>
      <c r="AC1110" s="527"/>
      <c r="AD1110" s="527"/>
      <c r="AE1110" s="527"/>
      <c r="AF1110" s="527"/>
      <c r="AG1110" s="527"/>
      <c r="AH1110" s="527"/>
      <c r="AI1110" s="527"/>
      <c r="AJ1110" s="527"/>
      <c r="AK1110" s="527"/>
      <c r="AL1110" s="527"/>
      <c r="AM1110" s="527"/>
      <c r="AN1110" s="527"/>
      <c r="AO1110" s="527"/>
      <c r="AP1110" s="527"/>
      <c r="AQ1110" s="527"/>
      <c r="AR1110" s="527"/>
      <c r="AS1110" s="527"/>
      <c r="AT1110" s="527"/>
      <c r="AU1110" s="527"/>
      <c r="AV1110" s="527"/>
      <c r="AW1110" s="527"/>
      <c r="AX1110" s="527"/>
      <c r="AY1110" s="527"/>
      <c r="AZ1110" s="527"/>
      <c r="BA1110" s="527"/>
    </row>
    <row r="1111" spans="1:53">
      <c r="A1111" s="527"/>
      <c r="B1111" s="527"/>
      <c r="C1111" s="527"/>
      <c r="D1111" s="527"/>
      <c r="E1111" s="527"/>
      <c r="F1111" s="527"/>
      <c r="G1111" s="527"/>
      <c r="H1111" s="527"/>
      <c r="I1111" s="527"/>
      <c r="J1111" s="527"/>
      <c r="K1111" s="527"/>
      <c r="L1111" s="527"/>
      <c r="M1111" s="527"/>
      <c r="N1111" s="527"/>
      <c r="O1111" s="527"/>
      <c r="P1111" s="527"/>
      <c r="Q1111" s="527"/>
      <c r="R1111" s="527"/>
      <c r="S1111" s="527"/>
      <c r="T1111" s="527"/>
      <c r="U1111" s="527"/>
      <c r="V1111" s="527"/>
      <c r="W1111" s="527"/>
      <c r="X1111" s="527"/>
      <c r="Y1111" s="527"/>
      <c r="Z1111" s="527"/>
      <c r="AA1111" s="527"/>
      <c r="AB1111" s="527"/>
      <c r="AC1111" s="527"/>
      <c r="AD1111" s="527"/>
      <c r="AE1111" s="527"/>
      <c r="AF1111" s="527"/>
      <c r="AG1111" s="527"/>
      <c r="AH1111" s="527"/>
      <c r="AI1111" s="527"/>
      <c r="AJ1111" s="527"/>
      <c r="AK1111" s="527"/>
      <c r="AL1111" s="527"/>
      <c r="AM1111" s="527"/>
      <c r="AN1111" s="527"/>
      <c r="AO1111" s="527"/>
      <c r="AP1111" s="527"/>
      <c r="AQ1111" s="527"/>
      <c r="AR1111" s="527"/>
      <c r="AS1111" s="527"/>
      <c r="AT1111" s="527"/>
      <c r="AU1111" s="527"/>
      <c r="AV1111" s="527"/>
      <c r="AW1111" s="527"/>
      <c r="AX1111" s="527"/>
      <c r="AY1111" s="527"/>
      <c r="AZ1111" s="527"/>
      <c r="BA1111" s="527"/>
    </row>
    <row r="1112" spans="1:53">
      <c r="A1112" s="527"/>
      <c r="B1112" s="527"/>
      <c r="C1112" s="527"/>
      <c r="D1112" s="527"/>
      <c r="E1112" s="527"/>
      <c r="F1112" s="527"/>
      <c r="G1112" s="527"/>
      <c r="H1112" s="527"/>
      <c r="I1112" s="527"/>
      <c r="J1112" s="527"/>
      <c r="K1112" s="527"/>
      <c r="L1112" s="527"/>
      <c r="M1112" s="527"/>
      <c r="N1112" s="527"/>
      <c r="O1112" s="527"/>
      <c r="P1112" s="527"/>
      <c r="Q1112" s="527"/>
      <c r="R1112" s="527"/>
      <c r="S1112" s="527"/>
      <c r="T1112" s="527"/>
      <c r="U1112" s="527"/>
      <c r="V1112" s="527"/>
      <c r="W1112" s="527"/>
      <c r="X1112" s="527"/>
      <c r="Y1112" s="527"/>
      <c r="Z1112" s="527"/>
      <c r="AA1112" s="527"/>
      <c r="AB1112" s="527"/>
      <c r="AC1112" s="527"/>
      <c r="AD1112" s="527"/>
      <c r="AE1112" s="527"/>
      <c r="AF1112" s="527"/>
      <c r="AG1112" s="527"/>
      <c r="AH1112" s="527"/>
      <c r="AI1112" s="527"/>
      <c r="AJ1112" s="527"/>
      <c r="AK1112" s="527"/>
      <c r="AL1112" s="527"/>
      <c r="AM1112" s="527"/>
      <c r="AN1112" s="527"/>
      <c r="AO1112" s="527"/>
      <c r="AP1112" s="527"/>
      <c r="AQ1112" s="527"/>
      <c r="AR1112" s="527"/>
      <c r="AS1112" s="527"/>
      <c r="AT1112" s="527"/>
      <c r="AU1112" s="527"/>
      <c r="AV1112" s="527"/>
      <c r="AW1112" s="527"/>
      <c r="AX1112" s="527"/>
      <c r="AY1112" s="527"/>
      <c r="AZ1112" s="527"/>
      <c r="BA1112" s="527"/>
    </row>
    <row r="1113" spans="1:53">
      <c r="A1113" s="527"/>
      <c r="B1113" s="527"/>
      <c r="C1113" s="527"/>
      <c r="D1113" s="527"/>
      <c r="E1113" s="527"/>
      <c r="F1113" s="527"/>
      <c r="G1113" s="527"/>
      <c r="H1113" s="527"/>
      <c r="I1113" s="527"/>
      <c r="J1113" s="527"/>
      <c r="K1113" s="527"/>
      <c r="L1113" s="527"/>
      <c r="M1113" s="527"/>
      <c r="N1113" s="527"/>
      <c r="O1113" s="527"/>
      <c r="P1113" s="527"/>
      <c r="Q1113" s="527"/>
      <c r="R1113" s="527"/>
      <c r="S1113" s="527"/>
      <c r="T1113" s="527"/>
      <c r="U1113" s="527"/>
      <c r="V1113" s="527"/>
      <c r="W1113" s="527"/>
      <c r="X1113" s="527"/>
      <c r="Y1113" s="527"/>
      <c r="Z1113" s="527"/>
      <c r="AA1113" s="527"/>
      <c r="AB1113" s="527"/>
      <c r="AC1113" s="527"/>
      <c r="AD1113" s="527"/>
      <c r="AE1113" s="527"/>
      <c r="AF1113" s="527"/>
      <c r="AG1113" s="527"/>
      <c r="AH1113" s="527"/>
      <c r="AI1113" s="527"/>
      <c r="AJ1113" s="527"/>
      <c r="AK1113" s="527"/>
      <c r="AL1113" s="527"/>
      <c r="AM1113" s="527"/>
      <c r="AN1113" s="527"/>
      <c r="AO1113" s="527"/>
      <c r="AP1113" s="527"/>
      <c r="AQ1113" s="527"/>
      <c r="AR1113" s="527"/>
      <c r="AS1113" s="527"/>
      <c r="AT1113" s="527"/>
      <c r="AU1113" s="527"/>
      <c r="AV1113" s="527"/>
      <c r="AW1113" s="527"/>
      <c r="AX1113" s="527"/>
      <c r="AY1113" s="527"/>
      <c r="AZ1113" s="527"/>
      <c r="BA1113" s="527"/>
    </row>
    <row r="1114" spans="1:53">
      <c r="A1114" s="527"/>
      <c r="B1114" s="527"/>
      <c r="C1114" s="527"/>
      <c r="D1114" s="527"/>
      <c r="E1114" s="527"/>
      <c r="F1114" s="527"/>
      <c r="G1114" s="527"/>
      <c r="H1114" s="527"/>
      <c r="I1114" s="527"/>
      <c r="J1114" s="527"/>
      <c r="K1114" s="527"/>
      <c r="L1114" s="527"/>
      <c r="M1114" s="527"/>
      <c r="N1114" s="527"/>
      <c r="O1114" s="527"/>
      <c r="P1114" s="527"/>
      <c r="Q1114" s="527"/>
      <c r="R1114" s="527"/>
      <c r="S1114" s="527"/>
      <c r="T1114" s="527"/>
      <c r="U1114" s="527"/>
      <c r="V1114" s="527"/>
      <c r="W1114" s="527"/>
      <c r="X1114" s="527"/>
      <c r="Y1114" s="527"/>
      <c r="Z1114" s="527"/>
      <c r="AA1114" s="527"/>
      <c r="AB1114" s="527"/>
      <c r="AC1114" s="527"/>
      <c r="AD1114" s="527"/>
      <c r="AE1114" s="527"/>
      <c r="AF1114" s="527"/>
      <c r="AG1114" s="527"/>
      <c r="AH1114" s="527"/>
      <c r="AI1114" s="527"/>
      <c r="AJ1114" s="527"/>
      <c r="AK1114" s="527"/>
      <c r="AL1114" s="527"/>
      <c r="AM1114" s="527"/>
      <c r="AN1114" s="527"/>
      <c r="AO1114" s="527"/>
      <c r="AP1114" s="527"/>
      <c r="AQ1114" s="527"/>
      <c r="AR1114" s="527"/>
      <c r="AS1114" s="527"/>
      <c r="AT1114" s="527"/>
      <c r="AU1114" s="527"/>
      <c r="AV1114" s="527"/>
      <c r="AW1114" s="527"/>
      <c r="AX1114" s="527"/>
      <c r="AY1114" s="527"/>
      <c r="AZ1114" s="527"/>
      <c r="BA1114" s="527"/>
    </row>
    <row r="1115" spans="1:53">
      <c r="A1115" s="527"/>
      <c r="B1115" s="527"/>
      <c r="C1115" s="527"/>
      <c r="D1115" s="527"/>
      <c r="E1115" s="527"/>
      <c r="F1115" s="527"/>
      <c r="G1115" s="527"/>
      <c r="H1115" s="527"/>
      <c r="I1115" s="527"/>
      <c r="J1115" s="527"/>
      <c r="K1115" s="527"/>
      <c r="L1115" s="527"/>
      <c r="M1115" s="527"/>
      <c r="N1115" s="527"/>
      <c r="O1115" s="527"/>
      <c r="P1115" s="527"/>
      <c r="Q1115" s="527"/>
      <c r="R1115" s="527"/>
      <c r="S1115" s="527"/>
      <c r="T1115" s="527"/>
      <c r="U1115" s="527"/>
      <c r="V1115" s="527"/>
      <c r="W1115" s="527"/>
      <c r="X1115" s="527"/>
      <c r="Y1115" s="527"/>
      <c r="Z1115" s="527"/>
      <c r="AA1115" s="527"/>
      <c r="AB1115" s="527"/>
      <c r="AC1115" s="527"/>
      <c r="AD1115" s="527"/>
      <c r="AE1115" s="527"/>
      <c r="AF1115" s="527"/>
      <c r="AG1115" s="527"/>
      <c r="AH1115" s="527"/>
      <c r="AI1115" s="527"/>
      <c r="AJ1115" s="527"/>
      <c r="AK1115" s="527"/>
      <c r="AL1115" s="527"/>
      <c r="AM1115" s="527"/>
      <c r="AN1115" s="527"/>
      <c r="AO1115" s="527"/>
      <c r="AP1115" s="527"/>
      <c r="AQ1115" s="527"/>
      <c r="AR1115" s="527"/>
      <c r="AS1115" s="527"/>
      <c r="AT1115" s="527"/>
      <c r="AU1115" s="527"/>
      <c r="AV1115" s="527"/>
      <c r="AW1115" s="527"/>
      <c r="AX1115" s="527"/>
      <c r="AY1115" s="527"/>
      <c r="AZ1115" s="527"/>
      <c r="BA1115" s="527"/>
    </row>
    <row r="1116" spans="1:53">
      <c r="A1116" s="527"/>
      <c r="B1116" s="527"/>
      <c r="C1116" s="527"/>
      <c r="D1116" s="527"/>
      <c r="E1116" s="527"/>
      <c r="F1116" s="527"/>
      <c r="G1116" s="527"/>
      <c r="H1116" s="527"/>
      <c r="I1116" s="527"/>
      <c r="J1116" s="527"/>
      <c r="K1116" s="527"/>
      <c r="L1116" s="527"/>
      <c r="M1116" s="527"/>
      <c r="N1116" s="527"/>
      <c r="O1116" s="527"/>
      <c r="P1116" s="527"/>
      <c r="Q1116" s="527"/>
      <c r="R1116" s="527"/>
      <c r="S1116" s="527"/>
      <c r="T1116" s="527"/>
      <c r="U1116" s="527"/>
      <c r="V1116" s="527"/>
      <c r="W1116" s="527"/>
      <c r="X1116" s="527"/>
      <c r="Y1116" s="527"/>
      <c r="Z1116" s="527"/>
      <c r="AA1116" s="527"/>
      <c r="AB1116" s="527"/>
      <c r="AC1116" s="527"/>
      <c r="AD1116" s="527"/>
      <c r="AE1116" s="527"/>
      <c r="AF1116" s="527"/>
      <c r="AG1116" s="527"/>
      <c r="AH1116" s="527"/>
      <c r="AI1116" s="527"/>
      <c r="AJ1116" s="527"/>
      <c r="AK1116" s="527"/>
      <c r="AL1116" s="527"/>
      <c r="AM1116" s="527"/>
      <c r="AN1116" s="527"/>
      <c r="AO1116" s="527"/>
      <c r="AP1116" s="527"/>
      <c r="AQ1116" s="527"/>
      <c r="AR1116" s="527"/>
      <c r="AS1116" s="527"/>
      <c r="AT1116" s="527"/>
      <c r="AU1116" s="527"/>
      <c r="AV1116" s="527"/>
      <c r="AW1116" s="527"/>
      <c r="AX1116" s="527"/>
      <c r="AY1116" s="527"/>
      <c r="AZ1116" s="527"/>
      <c r="BA1116" s="527"/>
    </row>
    <row r="1117" spans="1:53">
      <c r="A1117" s="527"/>
      <c r="B1117" s="527"/>
      <c r="C1117" s="527"/>
      <c r="D1117" s="527"/>
      <c r="E1117" s="527"/>
      <c r="F1117" s="527"/>
      <c r="G1117" s="527"/>
      <c r="H1117" s="527"/>
      <c r="I1117" s="527"/>
      <c r="J1117" s="527"/>
      <c r="K1117" s="527"/>
      <c r="L1117" s="527"/>
      <c r="M1117" s="527"/>
      <c r="N1117" s="527"/>
      <c r="O1117" s="527"/>
      <c r="P1117" s="527"/>
      <c r="Q1117" s="527"/>
      <c r="R1117" s="527"/>
      <c r="S1117" s="527"/>
      <c r="T1117" s="527"/>
      <c r="U1117" s="527"/>
      <c r="V1117" s="527"/>
      <c r="W1117" s="527"/>
      <c r="X1117" s="527"/>
      <c r="Y1117" s="527"/>
      <c r="Z1117" s="527"/>
      <c r="AA1117" s="527"/>
      <c r="AB1117" s="527"/>
      <c r="AC1117" s="527"/>
      <c r="AD1117" s="527"/>
      <c r="AE1117" s="527"/>
      <c r="AF1117" s="527"/>
      <c r="AG1117" s="527"/>
      <c r="AH1117" s="527"/>
      <c r="AI1117" s="527"/>
      <c r="AJ1117" s="527"/>
      <c r="AK1117" s="527"/>
      <c r="AL1117" s="527"/>
      <c r="AM1117" s="527"/>
      <c r="AN1117" s="527"/>
      <c r="AO1117" s="527"/>
      <c r="AP1117" s="527"/>
      <c r="AQ1117" s="527"/>
      <c r="AR1117" s="527"/>
      <c r="AS1117" s="527"/>
      <c r="AT1117" s="527"/>
      <c r="AU1117" s="527"/>
      <c r="AV1117" s="527"/>
      <c r="AW1117" s="527"/>
      <c r="AX1117" s="527"/>
      <c r="AY1117" s="527"/>
      <c r="AZ1117" s="527"/>
      <c r="BA1117" s="527"/>
    </row>
    <row r="1118" spans="1:53">
      <c r="D1118" s="155"/>
      <c r="E1118" s="155"/>
      <c r="F1118" s="155"/>
      <c r="G1118" s="155"/>
      <c r="H1118" s="155"/>
      <c r="I1118" s="155"/>
      <c r="J1118" s="155"/>
      <c r="K1118" s="155"/>
      <c r="L1118" s="155"/>
      <c r="M1118" s="155"/>
      <c r="N1118" s="155"/>
      <c r="O1118" s="155"/>
      <c r="P1118" s="155"/>
      <c r="Q1118" s="155"/>
      <c r="R1118" s="155"/>
      <c r="S1118" s="155"/>
      <c r="T1118" s="155"/>
      <c r="U1118" s="155"/>
      <c r="V1118" s="155"/>
      <c r="W1118" s="155"/>
      <c r="X1118" s="155"/>
      <c r="Y1118" s="155"/>
      <c r="Z1118" s="155"/>
      <c r="AA1118" s="155"/>
      <c r="AB1118" s="155"/>
      <c r="AC1118" s="155"/>
      <c r="AD1118" s="155"/>
      <c r="AE1118" s="155"/>
      <c r="AF1118" s="155"/>
      <c r="AG1118" s="155"/>
      <c r="AH1118" s="155"/>
      <c r="AI1118" s="155"/>
      <c r="AJ1118" s="155"/>
      <c r="AK1118" s="155"/>
      <c r="AL1118" s="155"/>
      <c r="AM1118" s="155"/>
      <c r="AN1118" s="155"/>
      <c r="AO1118" s="155"/>
      <c r="AP1118" s="155"/>
      <c r="AQ1118" s="155"/>
      <c r="AR1118" s="155"/>
      <c r="AS1118" s="155"/>
      <c r="AT1118" s="155"/>
      <c r="AU1118" s="155"/>
      <c r="AV1118" s="155"/>
      <c r="AW1118" s="155"/>
      <c r="AX1118" s="155"/>
    </row>
    <row r="1119" spans="1:53">
      <c r="D1119" s="155"/>
      <c r="E1119" s="155"/>
      <c r="F1119" s="155"/>
      <c r="G1119" s="155"/>
      <c r="H1119" s="155"/>
      <c r="I1119" s="155"/>
      <c r="J1119" s="155"/>
      <c r="K1119" s="155"/>
      <c r="L1119" s="155"/>
      <c r="M1119" s="155"/>
      <c r="N1119" s="155"/>
      <c r="O1119" s="155"/>
      <c r="P1119" s="155"/>
      <c r="Q1119" s="155"/>
      <c r="R1119" s="155"/>
      <c r="S1119" s="155"/>
      <c r="T1119" s="155"/>
      <c r="U1119" s="155"/>
      <c r="V1119" s="155"/>
      <c r="W1119" s="155"/>
      <c r="X1119" s="155"/>
      <c r="Y1119" s="155"/>
      <c r="Z1119" s="155"/>
      <c r="AA1119" s="155"/>
      <c r="AB1119" s="155"/>
      <c r="AC1119" s="155"/>
      <c r="AD1119" s="155"/>
      <c r="AE1119" s="155"/>
      <c r="AF1119" s="155"/>
      <c r="AG1119" s="155"/>
      <c r="AH1119" s="155"/>
      <c r="AI1119" s="155"/>
      <c r="AJ1119" s="155"/>
      <c r="AK1119" s="155"/>
      <c r="AL1119" s="155"/>
      <c r="AM1119" s="155"/>
      <c r="AN1119" s="155"/>
      <c r="AO1119" s="155"/>
      <c r="AP1119" s="155"/>
      <c r="AQ1119" s="155"/>
      <c r="AR1119" s="155"/>
      <c r="AS1119" s="155"/>
      <c r="AT1119" s="155"/>
      <c r="AU1119" s="155"/>
      <c r="AV1119" s="155"/>
      <c r="AW1119" s="155"/>
      <c r="AX1119" s="155"/>
    </row>
    <row r="1120" spans="1:53">
      <c r="D1120" s="155"/>
      <c r="E1120" s="155"/>
      <c r="F1120" s="155"/>
      <c r="G1120" s="155"/>
      <c r="H1120" s="155"/>
      <c r="I1120" s="155"/>
      <c r="J1120" s="155"/>
      <c r="K1120" s="155"/>
      <c r="L1120" s="155"/>
      <c r="M1120" s="155"/>
      <c r="N1120" s="155"/>
      <c r="O1120" s="155"/>
      <c r="P1120" s="155"/>
      <c r="Q1120" s="155"/>
      <c r="R1120" s="155"/>
      <c r="S1120" s="155"/>
      <c r="T1120" s="155"/>
      <c r="U1120" s="155"/>
      <c r="V1120" s="155"/>
      <c r="W1120" s="155"/>
      <c r="X1120" s="155"/>
      <c r="Y1120" s="155"/>
      <c r="Z1120" s="155"/>
      <c r="AA1120" s="155"/>
      <c r="AB1120" s="155"/>
      <c r="AC1120" s="155"/>
      <c r="AD1120" s="155"/>
      <c r="AE1120" s="155"/>
      <c r="AF1120" s="155"/>
      <c r="AG1120" s="155"/>
      <c r="AH1120" s="155"/>
      <c r="AI1120" s="155"/>
      <c r="AJ1120" s="155"/>
      <c r="AK1120" s="155"/>
      <c r="AL1120" s="155"/>
      <c r="AM1120" s="155"/>
      <c r="AN1120" s="155"/>
      <c r="AO1120" s="155"/>
      <c r="AP1120" s="155"/>
      <c r="AQ1120" s="155"/>
      <c r="AR1120" s="155"/>
      <c r="AS1120" s="155"/>
      <c r="AT1120" s="155"/>
      <c r="AU1120" s="155"/>
      <c r="AV1120" s="155"/>
      <c r="AW1120" s="155"/>
      <c r="AX1120" s="155"/>
    </row>
    <row r="1121" spans="4:50">
      <c r="D1121" s="155"/>
      <c r="E1121" s="155"/>
      <c r="F1121" s="155"/>
      <c r="G1121" s="155"/>
      <c r="H1121" s="155"/>
      <c r="I1121" s="155"/>
      <c r="J1121" s="155"/>
      <c r="K1121" s="155"/>
      <c r="L1121" s="155"/>
      <c r="M1121" s="155"/>
      <c r="N1121" s="155"/>
      <c r="O1121" s="155"/>
      <c r="P1121" s="155"/>
      <c r="Q1121" s="155"/>
      <c r="R1121" s="155"/>
      <c r="S1121" s="155"/>
      <c r="T1121" s="155"/>
      <c r="U1121" s="155"/>
      <c r="V1121" s="155"/>
      <c r="W1121" s="155"/>
      <c r="X1121" s="155"/>
      <c r="Y1121" s="155"/>
      <c r="Z1121" s="155"/>
      <c r="AA1121" s="155"/>
      <c r="AB1121" s="155"/>
      <c r="AC1121" s="155"/>
      <c r="AD1121" s="155"/>
      <c r="AE1121" s="155"/>
      <c r="AF1121" s="155"/>
      <c r="AG1121" s="155"/>
      <c r="AH1121" s="155"/>
      <c r="AI1121" s="155"/>
      <c r="AJ1121" s="155"/>
      <c r="AK1121" s="155"/>
      <c r="AL1121" s="155"/>
      <c r="AM1121" s="155"/>
      <c r="AN1121" s="155"/>
      <c r="AO1121" s="155"/>
      <c r="AP1121" s="155"/>
      <c r="AQ1121" s="155"/>
      <c r="AR1121" s="155"/>
      <c r="AS1121" s="155"/>
      <c r="AT1121" s="155"/>
      <c r="AU1121" s="155"/>
      <c r="AV1121" s="155"/>
      <c r="AW1121" s="155"/>
      <c r="AX1121" s="155"/>
    </row>
    <row r="1122" spans="4:50">
      <c r="D1122" s="155"/>
      <c r="E1122" s="155"/>
      <c r="F1122" s="155"/>
      <c r="G1122" s="155"/>
      <c r="H1122" s="155"/>
      <c r="I1122" s="155"/>
      <c r="J1122" s="155"/>
      <c r="K1122" s="155"/>
      <c r="L1122" s="155"/>
      <c r="M1122" s="155"/>
      <c r="N1122" s="155"/>
      <c r="O1122" s="155"/>
      <c r="P1122" s="155"/>
      <c r="Q1122" s="155"/>
      <c r="R1122" s="155"/>
      <c r="S1122" s="155"/>
      <c r="T1122" s="155"/>
      <c r="U1122" s="155"/>
      <c r="V1122" s="155"/>
      <c r="W1122" s="155"/>
      <c r="X1122" s="155"/>
      <c r="Y1122" s="155"/>
      <c r="Z1122" s="155"/>
      <c r="AA1122" s="155"/>
      <c r="AB1122" s="155"/>
      <c r="AC1122" s="155"/>
      <c r="AD1122" s="155"/>
      <c r="AE1122" s="155"/>
      <c r="AF1122" s="155"/>
      <c r="AG1122" s="155"/>
      <c r="AH1122" s="155"/>
      <c r="AI1122" s="155"/>
      <c r="AJ1122" s="155"/>
      <c r="AK1122" s="155"/>
      <c r="AL1122" s="155"/>
      <c r="AM1122" s="155"/>
      <c r="AN1122" s="155"/>
      <c r="AO1122" s="155"/>
      <c r="AP1122" s="155"/>
      <c r="AQ1122" s="155"/>
      <c r="AR1122" s="155"/>
      <c r="AS1122" s="155"/>
      <c r="AT1122" s="155"/>
      <c r="AU1122" s="155"/>
      <c r="AV1122" s="155"/>
      <c r="AW1122" s="155"/>
      <c r="AX1122" s="155"/>
    </row>
    <row r="1123" spans="4:50">
      <c r="D1123" s="155"/>
      <c r="E1123" s="155"/>
      <c r="F1123" s="155"/>
      <c r="G1123" s="155"/>
      <c r="H1123" s="155"/>
      <c r="I1123" s="155"/>
      <c r="J1123" s="155"/>
      <c r="K1123" s="155"/>
      <c r="L1123" s="155"/>
      <c r="M1123" s="155"/>
      <c r="N1123" s="155"/>
      <c r="O1123" s="155"/>
      <c r="P1123" s="155"/>
      <c r="Q1123" s="155"/>
      <c r="R1123" s="155"/>
      <c r="S1123" s="155"/>
      <c r="T1123" s="155"/>
      <c r="U1123" s="155"/>
      <c r="V1123" s="155"/>
      <c r="W1123" s="155"/>
      <c r="X1123" s="155"/>
      <c r="Y1123" s="155"/>
      <c r="Z1123" s="155"/>
      <c r="AA1123" s="155"/>
      <c r="AB1123" s="155"/>
      <c r="AC1123" s="155"/>
      <c r="AD1123" s="155"/>
      <c r="AE1123" s="155"/>
      <c r="AF1123" s="155"/>
      <c r="AG1123" s="155"/>
      <c r="AH1123" s="155"/>
      <c r="AI1123" s="155"/>
      <c r="AJ1123" s="155"/>
      <c r="AK1123" s="155"/>
      <c r="AL1123" s="155"/>
      <c r="AM1123" s="155"/>
      <c r="AN1123" s="155"/>
      <c r="AO1123" s="155"/>
      <c r="AP1123" s="155"/>
      <c r="AQ1123" s="155"/>
      <c r="AR1123" s="155"/>
      <c r="AS1123" s="155"/>
      <c r="AT1123" s="155"/>
      <c r="AU1123" s="155"/>
      <c r="AV1123" s="155"/>
      <c r="AW1123" s="155"/>
      <c r="AX1123" s="155"/>
    </row>
    <row r="1124" spans="4:50">
      <c r="D1124" s="155"/>
      <c r="E1124" s="155"/>
      <c r="F1124" s="155"/>
      <c r="G1124" s="155"/>
      <c r="H1124" s="155"/>
      <c r="I1124" s="155"/>
      <c r="J1124" s="155"/>
      <c r="K1124" s="155"/>
      <c r="L1124" s="155"/>
      <c r="M1124" s="155"/>
      <c r="N1124" s="155"/>
      <c r="O1124" s="155"/>
      <c r="P1124" s="155"/>
      <c r="Q1124" s="155"/>
      <c r="R1124" s="155"/>
      <c r="S1124" s="155"/>
      <c r="T1124" s="155"/>
      <c r="U1124" s="155"/>
      <c r="V1124" s="155"/>
      <c r="W1124" s="155"/>
      <c r="X1124" s="155"/>
      <c r="Y1124" s="155"/>
      <c r="Z1124" s="155"/>
      <c r="AA1124" s="155"/>
      <c r="AB1124" s="155"/>
      <c r="AC1124" s="155"/>
      <c r="AD1124" s="155"/>
      <c r="AE1124" s="155"/>
      <c r="AF1124" s="155"/>
      <c r="AG1124" s="155"/>
      <c r="AH1124" s="155"/>
      <c r="AI1124" s="155"/>
      <c r="AJ1124" s="155"/>
      <c r="AK1124" s="155"/>
      <c r="AL1124" s="155"/>
      <c r="AM1124" s="155"/>
      <c r="AN1124" s="155"/>
      <c r="AO1124" s="155"/>
      <c r="AP1124" s="155"/>
      <c r="AQ1124" s="155"/>
      <c r="AR1124" s="155"/>
      <c r="AS1124" s="155"/>
      <c r="AT1124" s="155"/>
      <c r="AU1124" s="155"/>
      <c r="AV1124" s="155"/>
      <c r="AW1124" s="155"/>
      <c r="AX1124" s="155"/>
    </row>
    <row r="1125" spans="4:50">
      <c r="D1125" s="155"/>
      <c r="E1125" s="155"/>
      <c r="F1125" s="155"/>
      <c r="G1125" s="155"/>
      <c r="H1125" s="155"/>
      <c r="I1125" s="155"/>
      <c r="J1125" s="155"/>
      <c r="K1125" s="155"/>
      <c r="L1125" s="155"/>
      <c r="M1125" s="155"/>
      <c r="N1125" s="155"/>
      <c r="O1125" s="155"/>
      <c r="P1125" s="155"/>
      <c r="Q1125" s="155"/>
      <c r="R1125" s="155"/>
      <c r="S1125" s="155"/>
      <c r="T1125" s="155"/>
      <c r="U1125" s="155"/>
      <c r="V1125" s="155"/>
      <c r="W1125" s="155"/>
      <c r="X1125" s="155"/>
      <c r="Y1125" s="155"/>
      <c r="Z1125" s="155"/>
      <c r="AA1125" s="155"/>
      <c r="AB1125" s="155"/>
      <c r="AC1125" s="155"/>
      <c r="AD1125" s="155"/>
      <c r="AE1125" s="155"/>
      <c r="AF1125" s="155"/>
      <c r="AG1125" s="155"/>
      <c r="AH1125" s="155"/>
      <c r="AI1125" s="155"/>
      <c r="AJ1125" s="155"/>
      <c r="AK1125" s="155"/>
      <c r="AL1125" s="155"/>
      <c r="AM1125" s="155"/>
      <c r="AN1125" s="155"/>
      <c r="AO1125" s="155"/>
      <c r="AP1125" s="155"/>
      <c r="AQ1125" s="155"/>
      <c r="AR1125" s="155"/>
      <c r="AS1125" s="155"/>
      <c r="AT1125" s="155"/>
      <c r="AU1125" s="155"/>
      <c r="AV1125" s="155"/>
      <c r="AW1125" s="155"/>
      <c r="AX1125" s="155"/>
    </row>
    <row r="1126" spans="4:50">
      <c r="D1126" s="155"/>
      <c r="E1126" s="155"/>
      <c r="F1126" s="155"/>
      <c r="G1126" s="155"/>
      <c r="H1126" s="155"/>
      <c r="I1126" s="155"/>
      <c r="J1126" s="155"/>
      <c r="K1126" s="155"/>
      <c r="L1126" s="155"/>
      <c r="M1126" s="155"/>
      <c r="N1126" s="155"/>
      <c r="O1126" s="155"/>
      <c r="P1126" s="155"/>
      <c r="Q1126" s="155"/>
      <c r="R1126" s="155"/>
      <c r="S1126" s="155"/>
      <c r="T1126" s="155"/>
      <c r="U1126" s="155"/>
      <c r="V1126" s="155"/>
      <c r="W1126" s="155"/>
      <c r="X1126" s="155"/>
      <c r="Y1126" s="155"/>
      <c r="Z1126" s="155"/>
      <c r="AA1126" s="155"/>
      <c r="AB1126" s="155"/>
      <c r="AC1126" s="155"/>
      <c r="AD1126" s="155"/>
      <c r="AE1126" s="155"/>
      <c r="AF1126" s="155"/>
      <c r="AG1126" s="155"/>
      <c r="AH1126" s="155"/>
      <c r="AI1126" s="155"/>
      <c r="AJ1126" s="155"/>
      <c r="AK1126" s="155"/>
      <c r="AL1126" s="155"/>
      <c r="AM1126" s="155"/>
      <c r="AN1126" s="155"/>
      <c r="AO1126" s="155"/>
      <c r="AP1126" s="155"/>
      <c r="AQ1126" s="155"/>
      <c r="AR1126" s="155"/>
      <c r="AS1126" s="155"/>
      <c r="AT1126" s="155"/>
      <c r="AU1126" s="155"/>
      <c r="AV1126" s="155"/>
      <c r="AW1126" s="155"/>
      <c r="AX1126" s="155"/>
    </row>
    <row r="1127" spans="4:50">
      <c r="D1127" s="155"/>
      <c r="E1127" s="155"/>
      <c r="F1127" s="155"/>
      <c r="G1127" s="155"/>
      <c r="H1127" s="155"/>
      <c r="I1127" s="155"/>
      <c r="J1127" s="155"/>
      <c r="K1127" s="155"/>
      <c r="L1127" s="155"/>
      <c r="M1127" s="155"/>
      <c r="N1127" s="155"/>
      <c r="O1127" s="155"/>
      <c r="P1127" s="155"/>
      <c r="Q1127" s="155"/>
      <c r="R1127" s="155"/>
      <c r="S1127" s="155"/>
      <c r="T1127" s="155"/>
      <c r="U1127" s="155"/>
      <c r="V1127" s="155"/>
      <c r="W1127" s="155"/>
      <c r="X1127" s="155"/>
      <c r="Y1127" s="155"/>
      <c r="Z1127" s="155"/>
      <c r="AA1127" s="155"/>
      <c r="AB1127" s="155"/>
      <c r="AC1127" s="155"/>
      <c r="AD1127" s="155"/>
      <c r="AE1127" s="155"/>
      <c r="AF1127" s="155"/>
      <c r="AG1127" s="155"/>
      <c r="AH1127" s="155"/>
      <c r="AI1127" s="155"/>
      <c r="AJ1127" s="155"/>
      <c r="AK1127" s="155"/>
      <c r="AL1127" s="155"/>
      <c r="AM1127" s="155"/>
      <c r="AN1127" s="155"/>
      <c r="AO1127" s="155"/>
      <c r="AP1127" s="155"/>
      <c r="AQ1127" s="155"/>
      <c r="AR1127" s="155"/>
      <c r="AS1127" s="155"/>
      <c r="AT1127" s="155"/>
      <c r="AU1127" s="155"/>
      <c r="AV1127" s="155"/>
      <c r="AW1127" s="155"/>
      <c r="AX1127" s="155"/>
    </row>
    <row r="1128" spans="4:50">
      <c r="D1128" s="155"/>
      <c r="E1128" s="155"/>
      <c r="F1128" s="155"/>
      <c r="G1128" s="155"/>
      <c r="H1128" s="155"/>
      <c r="I1128" s="155"/>
      <c r="J1128" s="155"/>
      <c r="K1128" s="155"/>
      <c r="L1128" s="155"/>
      <c r="M1128" s="155"/>
      <c r="N1128" s="155"/>
      <c r="O1128" s="155"/>
      <c r="P1128" s="155"/>
      <c r="Q1128" s="155"/>
      <c r="R1128" s="155"/>
      <c r="S1128" s="155"/>
      <c r="T1128" s="155"/>
      <c r="U1128" s="155"/>
      <c r="V1128" s="155"/>
      <c r="W1128" s="155"/>
      <c r="X1128" s="155"/>
      <c r="Y1128" s="155"/>
      <c r="Z1128" s="155"/>
      <c r="AA1128" s="155"/>
      <c r="AB1128" s="155"/>
      <c r="AC1128" s="155"/>
      <c r="AD1128" s="155"/>
      <c r="AE1128" s="155"/>
      <c r="AF1128" s="155"/>
      <c r="AG1128" s="155"/>
      <c r="AH1128" s="155"/>
      <c r="AI1128" s="155"/>
      <c r="AJ1128" s="155"/>
      <c r="AK1128" s="155"/>
      <c r="AL1128" s="155"/>
      <c r="AM1128" s="155"/>
      <c r="AN1128" s="155"/>
      <c r="AO1128" s="155"/>
      <c r="AP1128" s="155"/>
      <c r="AQ1128" s="155"/>
      <c r="AR1128" s="155"/>
      <c r="AS1128" s="155"/>
      <c r="AT1128" s="155"/>
      <c r="AU1128" s="155"/>
      <c r="AV1128" s="155"/>
      <c r="AW1128" s="155"/>
      <c r="AX1128" s="155"/>
    </row>
    <row r="1129" spans="4:50">
      <c r="D1129" s="155"/>
      <c r="E1129" s="155"/>
      <c r="F1129" s="155"/>
      <c r="G1129" s="155"/>
      <c r="H1129" s="155"/>
      <c r="I1129" s="155"/>
      <c r="J1129" s="155"/>
      <c r="K1129" s="155"/>
      <c r="L1129" s="155"/>
      <c r="M1129" s="155"/>
      <c r="N1129" s="155"/>
      <c r="O1129" s="155"/>
      <c r="P1129" s="155"/>
      <c r="Q1129" s="155"/>
      <c r="R1129" s="155"/>
      <c r="S1129" s="155"/>
      <c r="T1129" s="155"/>
      <c r="U1129" s="155"/>
      <c r="V1129" s="155"/>
      <c r="W1129" s="155"/>
      <c r="X1129" s="155"/>
      <c r="Y1129" s="155"/>
      <c r="Z1129" s="155"/>
      <c r="AA1129" s="155"/>
      <c r="AB1129" s="155"/>
      <c r="AC1129" s="155"/>
      <c r="AD1129" s="155"/>
      <c r="AE1129" s="155"/>
      <c r="AF1129" s="155"/>
      <c r="AG1129" s="155"/>
      <c r="AH1129" s="155"/>
      <c r="AI1129" s="155"/>
      <c r="AJ1129" s="155"/>
      <c r="AK1129" s="155"/>
      <c r="AL1129" s="155"/>
      <c r="AM1129" s="155"/>
      <c r="AN1129" s="155"/>
      <c r="AO1129" s="155"/>
      <c r="AP1129" s="155"/>
      <c r="AQ1129" s="155"/>
      <c r="AR1129" s="155"/>
      <c r="AS1129" s="155"/>
      <c r="AT1129" s="155"/>
      <c r="AU1129" s="155"/>
      <c r="AV1129" s="155"/>
      <c r="AW1129" s="155"/>
      <c r="AX1129" s="155"/>
    </row>
    <row r="1130" spans="4:50">
      <c r="D1130" s="155"/>
      <c r="E1130" s="155"/>
      <c r="F1130" s="155"/>
      <c r="G1130" s="155"/>
      <c r="H1130" s="155"/>
      <c r="I1130" s="155"/>
      <c r="J1130" s="155"/>
      <c r="K1130" s="155"/>
      <c r="L1130" s="155"/>
      <c r="M1130" s="155"/>
      <c r="N1130" s="155"/>
      <c r="O1130" s="155"/>
      <c r="P1130" s="155"/>
      <c r="Q1130" s="155"/>
      <c r="R1130" s="155"/>
      <c r="S1130" s="155"/>
      <c r="T1130" s="155"/>
      <c r="U1130" s="155"/>
      <c r="V1130" s="155"/>
      <c r="W1130" s="155"/>
      <c r="X1130" s="155"/>
      <c r="Y1130" s="155"/>
      <c r="Z1130" s="155"/>
      <c r="AA1130" s="155"/>
      <c r="AB1130" s="155"/>
      <c r="AC1130" s="155"/>
      <c r="AD1130" s="155"/>
      <c r="AE1130" s="155"/>
      <c r="AF1130" s="155"/>
      <c r="AG1130" s="155"/>
      <c r="AH1130" s="155"/>
      <c r="AI1130" s="155"/>
      <c r="AJ1130" s="155"/>
      <c r="AK1130" s="155"/>
      <c r="AL1130" s="155"/>
      <c r="AM1130" s="155"/>
      <c r="AN1130" s="155"/>
      <c r="AO1130" s="155"/>
      <c r="AP1130" s="155"/>
      <c r="AQ1130" s="155"/>
      <c r="AR1130" s="155"/>
      <c r="AS1130" s="155"/>
      <c r="AT1130" s="155"/>
      <c r="AU1130" s="155"/>
      <c r="AV1130" s="155"/>
      <c r="AW1130" s="155"/>
      <c r="AX1130" s="155"/>
    </row>
    <row r="1131" spans="4:50">
      <c r="D1131" s="155"/>
      <c r="E1131" s="155"/>
      <c r="F1131" s="155"/>
      <c r="G1131" s="155"/>
      <c r="H1131" s="155"/>
      <c r="I1131" s="155"/>
      <c r="J1131" s="155"/>
      <c r="K1131" s="155"/>
      <c r="L1131" s="155"/>
      <c r="M1131" s="155"/>
      <c r="N1131" s="155"/>
      <c r="O1131" s="155"/>
      <c r="P1131" s="155"/>
      <c r="Q1131" s="155"/>
      <c r="R1131" s="155"/>
      <c r="S1131" s="155"/>
      <c r="T1131" s="155"/>
      <c r="U1131" s="155"/>
      <c r="V1131" s="155"/>
      <c r="W1131" s="155"/>
      <c r="X1131" s="155"/>
      <c r="Y1131" s="155"/>
      <c r="Z1131" s="155"/>
      <c r="AA1131" s="155"/>
      <c r="AB1131" s="155"/>
      <c r="AC1131" s="155"/>
      <c r="AD1131" s="155"/>
      <c r="AE1131" s="155"/>
      <c r="AF1131" s="155"/>
      <c r="AG1131" s="155"/>
      <c r="AH1131" s="155"/>
      <c r="AI1131" s="155"/>
      <c r="AJ1131" s="155"/>
      <c r="AK1131" s="155"/>
      <c r="AL1131" s="155"/>
      <c r="AM1131" s="155"/>
      <c r="AN1131" s="155"/>
      <c r="AO1131" s="155"/>
      <c r="AP1131" s="155"/>
      <c r="AQ1131" s="155"/>
      <c r="AR1131" s="155"/>
      <c r="AS1131" s="155"/>
      <c r="AT1131" s="155"/>
      <c r="AU1131" s="155"/>
      <c r="AV1131" s="155"/>
      <c r="AW1131" s="155"/>
      <c r="AX1131" s="155"/>
    </row>
    <row r="1132" spans="4:50">
      <c r="D1132" s="155"/>
      <c r="E1132" s="155"/>
      <c r="F1132" s="155"/>
      <c r="G1132" s="155"/>
      <c r="H1132" s="155"/>
      <c r="I1132" s="155"/>
      <c r="J1132" s="155"/>
      <c r="K1132" s="155"/>
      <c r="L1132" s="155"/>
      <c r="M1132" s="155"/>
      <c r="N1132" s="155"/>
      <c r="O1132" s="155"/>
      <c r="P1132" s="155"/>
      <c r="Q1132" s="155"/>
      <c r="R1132" s="155"/>
      <c r="S1132" s="155"/>
      <c r="T1132" s="155"/>
      <c r="U1132" s="155"/>
      <c r="V1132" s="155"/>
      <c r="W1132" s="155"/>
      <c r="X1132" s="155"/>
      <c r="Y1132" s="155"/>
      <c r="Z1132" s="155"/>
      <c r="AA1132" s="155"/>
      <c r="AB1132" s="155"/>
      <c r="AC1132" s="155"/>
      <c r="AD1132" s="155"/>
      <c r="AE1132" s="155"/>
      <c r="AF1132" s="155"/>
      <c r="AG1132" s="155"/>
      <c r="AH1132" s="155"/>
      <c r="AI1132" s="155"/>
      <c r="AJ1132" s="155"/>
      <c r="AK1132" s="155"/>
      <c r="AL1132" s="155"/>
      <c r="AM1132" s="155"/>
      <c r="AN1132" s="155"/>
      <c r="AO1132" s="155"/>
      <c r="AP1132" s="155"/>
      <c r="AQ1132" s="155"/>
      <c r="AR1132" s="155"/>
      <c r="AS1132" s="155"/>
      <c r="AT1132" s="155"/>
      <c r="AU1132" s="155"/>
      <c r="AV1132" s="155"/>
      <c r="AW1132" s="155"/>
      <c r="AX1132" s="155"/>
    </row>
    <row r="1133" spans="4:50">
      <c r="D1133" s="155"/>
      <c r="E1133" s="155"/>
      <c r="F1133" s="155"/>
      <c r="G1133" s="155"/>
      <c r="H1133" s="155"/>
      <c r="I1133" s="155"/>
      <c r="J1133" s="155"/>
      <c r="K1133" s="155"/>
      <c r="L1133" s="155"/>
      <c r="M1133" s="155"/>
      <c r="N1133" s="155"/>
      <c r="O1133" s="155"/>
      <c r="P1133" s="155"/>
      <c r="Q1133" s="155"/>
      <c r="R1133" s="155"/>
      <c r="S1133" s="155"/>
      <c r="T1133" s="155"/>
      <c r="U1133" s="155"/>
      <c r="V1133" s="155"/>
      <c r="W1133" s="155"/>
      <c r="X1133" s="155"/>
      <c r="Y1133" s="155"/>
      <c r="Z1133" s="155"/>
      <c r="AA1133" s="155"/>
      <c r="AB1133" s="155"/>
      <c r="AC1133" s="155"/>
      <c r="AD1133" s="155"/>
      <c r="AE1133" s="155"/>
      <c r="AF1133" s="155"/>
      <c r="AG1133" s="155"/>
      <c r="AH1133" s="155"/>
      <c r="AI1133" s="155"/>
      <c r="AJ1133" s="155"/>
      <c r="AK1133" s="155"/>
      <c r="AL1133" s="155"/>
      <c r="AM1133" s="155"/>
      <c r="AN1133" s="155"/>
      <c r="AO1133" s="155"/>
      <c r="AP1133" s="155"/>
      <c r="AQ1133" s="155"/>
      <c r="AR1133" s="155"/>
      <c r="AS1133" s="155"/>
      <c r="AT1133" s="155"/>
      <c r="AU1133" s="155"/>
      <c r="AV1133" s="155"/>
      <c r="AW1133" s="155"/>
      <c r="AX1133" s="155"/>
    </row>
    <row r="1134" spans="4:50">
      <c r="D1134" s="155"/>
      <c r="E1134" s="155"/>
      <c r="F1134" s="155"/>
      <c r="G1134" s="155"/>
      <c r="H1134" s="155"/>
      <c r="I1134" s="155"/>
      <c r="J1134" s="155"/>
      <c r="K1134" s="155"/>
      <c r="L1134" s="155"/>
      <c r="M1134" s="155"/>
      <c r="N1134" s="155"/>
      <c r="O1134" s="155"/>
      <c r="P1134" s="155"/>
      <c r="Q1134" s="155"/>
      <c r="R1134" s="155"/>
      <c r="S1134" s="155"/>
      <c r="T1134" s="155"/>
      <c r="U1134" s="155"/>
      <c r="V1134" s="155"/>
      <c r="W1134" s="155"/>
      <c r="X1134" s="155"/>
      <c r="Y1134" s="155"/>
      <c r="Z1134" s="155"/>
      <c r="AA1134" s="155"/>
      <c r="AB1134" s="155"/>
      <c r="AC1134" s="155"/>
      <c r="AD1134" s="155"/>
      <c r="AE1134" s="155"/>
      <c r="AF1134" s="155"/>
      <c r="AG1134" s="155"/>
      <c r="AH1134" s="155"/>
      <c r="AI1134" s="155"/>
      <c r="AJ1134" s="155"/>
      <c r="AK1134" s="155"/>
      <c r="AL1134" s="155"/>
      <c r="AM1134" s="155"/>
      <c r="AN1134" s="155"/>
      <c r="AO1134" s="155"/>
      <c r="AP1134" s="155"/>
      <c r="AQ1134" s="155"/>
      <c r="AR1134" s="155"/>
      <c r="AS1134" s="155"/>
      <c r="AT1134" s="155"/>
      <c r="AU1134" s="155"/>
      <c r="AV1134" s="155"/>
      <c r="AW1134" s="155"/>
      <c r="AX1134" s="155"/>
    </row>
    <row r="1135" spans="4:50">
      <c r="D1135" s="155"/>
      <c r="E1135" s="155"/>
      <c r="F1135" s="155"/>
      <c r="G1135" s="155"/>
      <c r="H1135" s="155"/>
      <c r="I1135" s="155"/>
      <c r="J1135" s="155"/>
      <c r="K1135" s="155"/>
      <c r="L1135" s="155"/>
      <c r="M1135" s="155"/>
      <c r="N1135" s="155"/>
      <c r="O1135" s="155"/>
      <c r="P1135" s="155"/>
      <c r="Q1135" s="155"/>
      <c r="R1135" s="155"/>
      <c r="S1135" s="155"/>
      <c r="T1135" s="155"/>
      <c r="U1135" s="155"/>
      <c r="V1135" s="155"/>
      <c r="W1135" s="155"/>
      <c r="X1135" s="155"/>
      <c r="Y1135" s="155"/>
      <c r="Z1135" s="155"/>
      <c r="AA1135" s="155"/>
      <c r="AB1135" s="155"/>
      <c r="AC1135" s="155"/>
      <c r="AD1135" s="155"/>
      <c r="AE1135" s="155"/>
      <c r="AF1135" s="155"/>
      <c r="AG1135" s="155"/>
      <c r="AH1135" s="155"/>
      <c r="AI1135" s="155"/>
      <c r="AJ1135" s="155"/>
      <c r="AK1135" s="155"/>
      <c r="AL1135" s="155"/>
      <c r="AM1135" s="155"/>
      <c r="AN1135" s="155"/>
      <c r="AO1135" s="155"/>
      <c r="AP1135" s="155"/>
      <c r="AQ1135" s="155"/>
      <c r="AR1135" s="155"/>
      <c r="AS1135" s="155"/>
      <c r="AT1135" s="155"/>
      <c r="AU1135" s="155"/>
      <c r="AV1135" s="155"/>
      <c r="AW1135" s="155"/>
      <c r="AX1135" s="155"/>
    </row>
    <row r="1136" spans="4:50">
      <c r="D1136" s="155"/>
      <c r="E1136" s="155"/>
      <c r="F1136" s="155"/>
      <c r="G1136" s="155"/>
      <c r="H1136" s="155"/>
      <c r="I1136" s="155"/>
      <c r="J1136" s="155"/>
      <c r="K1136" s="155"/>
      <c r="L1136" s="155"/>
      <c r="M1136" s="155"/>
      <c r="N1136" s="155"/>
      <c r="O1136" s="155"/>
      <c r="P1136" s="155"/>
      <c r="Q1136" s="155"/>
      <c r="R1136" s="155"/>
      <c r="S1136" s="155"/>
      <c r="T1136" s="155"/>
      <c r="U1136" s="155"/>
      <c r="V1136" s="155"/>
      <c r="W1136" s="155"/>
      <c r="X1136" s="155"/>
      <c r="Y1136" s="155"/>
      <c r="Z1136" s="155"/>
      <c r="AA1136" s="155"/>
      <c r="AB1136" s="155"/>
      <c r="AC1136" s="155"/>
      <c r="AD1136" s="155"/>
      <c r="AE1136" s="155"/>
      <c r="AF1136" s="155"/>
      <c r="AG1136" s="155"/>
      <c r="AH1136" s="155"/>
      <c r="AI1136" s="155"/>
      <c r="AJ1136" s="155"/>
      <c r="AK1136" s="155"/>
      <c r="AL1136" s="155"/>
      <c r="AM1136" s="155"/>
      <c r="AN1136" s="155"/>
      <c r="AO1136" s="155"/>
      <c r="AP1136" s="155"/>
      <c r="AQ1136" s="155"/>
      <c r="AR1136" s="155"/>
      <c r="AS1136" s="155"/>
      <c r="AT1136" s="155"/>
      <c r="AU1136" s="155"/>
      <c r="AV1136" s="155"/>
      <c r="AW1136" s="155"/>
      <c r="AX1136" s="155"/>
    </row>
    <row r="1137" spans="4:50">
      <c r="D1137" s="155"/>
      <c r="E1137" s="155"/>
      <c r="F1137" s="155"/>
      <c r="G1137" s="155"/>
      <c r="H1137" s="155"/>
      <c r="I1137" s="155"/>
      <c r="J1137" s="155"/>
      <c r="K1137" s="155"/>
      <c r="L1137" s="155"/>
      <c r="M1137" s="155"/>
      <c r="N1137" s="155"/>
      <c r="O1137" s="155"/>
      <c r="P1137" s="155"/>
      <c r="Q1137" s="155"/>
      <c r="R1137" s="155"/>
      <c r="S1137" s="155"/>
      <c r="T1137" s="155"/>
      <c r="U1137" s="155"/>
      <c r="V1137" s="155"/>
      <c r="W1137" s="155"/>
      <c r="X1137" s="155"/>
      <c r="Y1137" s="155"/>
      <c r="Z1137" s="155"/>
      <c r="AA1137" s="155"/>
      <c r="AB1137" s="155"/>
      <c r="AC1137" s="155"/>
      <c r="AD1137" s="155"/>
      <c r="AE1137" s="155"/>
      <c r="AF1137" s="155"/>
      <c r="AG1137" s="155"/>
      <c r="AH1137" s="155"/>
      <c r="AI1137" s="155"/>
      <c r="AJ1137" s="155"/>
      <c r="AK1137" s="155"/>
      <c r="AL1137" s="155"/>
      <c r="AM1137" s="155"/>
      <c r="AN1137" s="155"/>
      <c r="AO1137" s="155"/>
      <c r="AP1137" s="155"/>
      <c r="AQ1137" s="155"/>
      <c r="AR1137" s="155"/>
      <c r="AS1137" s="155"/>
      <c r="AT1137" s="155"/>
      <c r="AU1137" s="155"/>
      <c r="AV1137" s="155"/>
      <c r="AW1137" s="155"/>
      <c r="AX1137" s="155"/>
    </row>
    <row r="1138" spans="4:50">
      <c r="D1138" s="155"/>
      <c r="E1138" s="155"/>
      <c r="F1138" s="155"/>
      <c r="G1138" s="155"/>
      <c r="H1138" s="155"/>
      <c r="I1138" s="155"/>
      <c r="J1138" s="155"/>
      <c r="K1138" s="155"/>
      <c r="L1138" s="155"/>
      <c r="M1138" s="155"/>
      <c r="N1138" s="155"/>
      <c r="O1138" s="155"/>
      <c r="P1138" s="155"/>
      <c r="Q1138" s="155"/>
      <c r="R1138" s="155"/>
      <c r="S1138" s="155"/>
      <c r="T1138" s="155"/>
      <c r="U1138" s="155"/>
      <c r="V1138" s="155"/>
      <c r="W1138" s="155"/>
      <c r="X1138" s="155"/>
      <c r="Y1138" s="155"/>
      <c r="Z1138" s="155"/>
      <c r="AA1138" s="155"/>
      <c r="AB1138" s="155"/>
      <c r="AC1138" s="155"/>
      <c r="AD1138" s="155"/>
      <c r="AE1138" s="155"/>
      <c r="AF1138" s="155"/>
      <c r="AG1138" s="155"/>
      <c r="AH1138" s="155"/>
      <c r="AI1138" s="155"/>
      <c r="AJ1138" s="155"/>
      <c r="AK1138" s="155"/>
      <c r="AL1138" s="155"/>
      <c r="AM1138" s="155"/>
      <c r="AN1138" s="155"/>
      <c r="AO1138" s="155"/>
      <c r="AP1138" s="155"/>
      <c r="AQ1138" s="155"/>
      <c r="AR1138" s="155"/>
      <c r="AS1138" s="155"/>
      <c r="AT1138" s="155"/>
      <c r="AU1138" s="155"/>
      <c r="AV1138" s="155"/>
      <c r="AW1138" s="155"/>
      <c r="AX1138" s="155"/>
    </row>
    <row r="1139" spans="4:50">
      <c r="D1139" s="155"/>
      <c r="E1139" s="155"/>
      <c r="F1139" s="155"/>
      <c r="G1139" s="155"/>
      <c r="H1139" s="155"/>
      <c r="I1139" s="155"/>
      <c r="J1139" s="155"/>
      <c r="K1139" s="155"/>
      <c r="L1139" s="155"/>
      <c r="M1139" s="155"/>
      <c r="N1139" s="155"/>
      <c r="O1139" s="155"/>
      <c r="P1139" s="155"/>
      <c r="Q1139" s="155"/>
      <c r="R1139" s="155"/>
      <c r="S1139" s="155"/>
      <c r="T1139" s="155"/>
      <c r="U1139" s="155"/>
      <c r="V1139" s="155"/>
      <c r="W1139" s="155"/>
      <c r="X1139" s="155"/>
      <c r="Y1139" s="155"/>
      <c r="Z1139" s="155"/>
      <c r="AA1139" s="155"/>
      <c r="AB1139" s="155"/>
      <c r="AC1139" s="155"/>
      <c r="AD1139" s="155"/>
      <c r="AE1139" s="155"/>
      <c r="AF1139" s="155"/>
      <c r="AG1139" s="155"/>
      <c r="AH1139" s="155"/>
      <c r="AI1139" s="155"/>
      <c r="AJ1139" s="155"/>
      <c r="AK1139" s="155"/>
      <c r="AL1139" s="155"/>
      <c r="AM1139" s="155"/>
      <c r="AN1139" s="155"/>
      <c r="AO1139" s="155"/>
      <c r="AP1139" s="155"/>
      <c r="AQ1139" s="155"/>
      <c r="AR1139" s="155"/>
      <c r="AS1139" s="155"/>
      <c r="AT1139" s="155"/>
      <c r="AU1139" s="155"/>
      <c r="AV1139" s="155"/>
      <c r="AW1139" s="155"/>
      <c r="AX1139" s="155"/>
    </row>
    <row r="1140" spans="4:50">
      <c r="D1140" s="155"/>
      <c r="E1140" s="155"/>
      <c r="F1140" s="155"/>
      <c r="G1140" s="155"/>
      <c r="H1140" s="155"/>
      <c r="I1140" s="155"/>
      <c r="J1140" s="155"/>
      <c r="K1140" s="155"/>
      <c r="L1140" s="155"/>
      <c r="M1140" s="155"/>
      <c r="N1140" s="155"/>
      <c r="O1140" s="155"/>
      <c r="P1140" s="155"/>
      <c r="Q1140" s="155"/>
      <c r="R1140" s="155"/>
      <c r="S1140" s="155"/>
      <c r="T1140" s="155"/>
      <c r="U1140" s="155"/>
      <c r="V1140" s="155"/>
      <c r="W1140" s="155"/>
      <c r="X1140" s="155"/>
      <c r="Y1140" s="155"/>
      <c r="Z1140" s="155"/>
      <c r="AA1140" s="155"/>
      <c r="AB1140" s="155"/>
      <c r="AC1140" s="155"/>
      <c r="AD1140" s="155"/>
      <c r="AE1140" s="155"/>
      <c r="AF1140" s="155"/>
      <c r="AG1140" s="155"/>
      <c r="AH1140" s="155"/>
      <c r="AI1140" s="155"/>
      <c r="AJ1140" s="155"/>
      <c r="AK1140" s="155"/>
      <c r="AL1140" s="155"/>
      <c r="AM1140" s="155"/>
      <c r="AN1140" s="155"/>
      <c r="AO1140" s="155"/>
      <c r="AP1140" s="155"/>
      <c r="AQ1140" s="155"/>
      <c r="AR1140" s="155"/>
      <c r="AS1140" s="155"/>
      <c r="AT1140" s="155"/>
      <c r="AU1140" s="155"/>
      <c r="AV1140" s="155"/>
      <c r="AW1140" s="155"/>
      <c r="AX1140" s="155"/>
    </row>
    <row r="1141" spans="4:50">
      <c r="D1141" s="155"/>
      <c r="E1141" s="155"/>
      <c r="F1141" s="155"/>
      <c r="G1141" s="155"/>
      <c r="H1141" s="155"/>
      <c r="I1141" s="155"/>
      <c r="J1141" s="155"/>
      <c r="K1141" s="155"/>
      <c r="L1141" s="155"/>
      <c r="M1141" s="155"/>
      <c r="N1141" s="155"/>
      <c r="O1141" s="155"/>
      <c r="P1141" s="155"/>
      <c r="Q1141" s="155"/>
      <c r="R1141" s="155"/>
      <c r="S1141" s="155"/>
      <c r="T1141" s="155"/>
      <c r="U1141" s="155"/>
      <c r="V1141" s="155"/>
      <c r="W1141" s="155"/>
      <c r="X1141" s="155"/>
      <c r="Y1141" s="155"/>
      <c r="Z1141" s="155"/>
      <c r="AA1141" s="155"/>
      <c r="AB1141" s="155"/>
      <c r="AC1141" s="155"/>
      <c r="AD1141" s="155"/>
      <c r="AE1141" s="155"/>
      <c r="AF1141" s="155"/>
      <c r="AG1141" s="155"/>
      <c r="AH1141" s="155"/>
      <c r="AI1141" s="155"/>
      <c r="AJ1141" s="155"/>
      <c r="AK1141" s="155"/>
      <c r="AL1141" s="155"/>
      <c r="AM1141" s="155"/>
      <c r="AN1141" s="155"/>
      <c r="AO1141" s="155"/>
      <c r="AP1141" s="155"/>
      <c r="AQ1141" s="155"/>
      <c r="AR1141" s="155"/>
      <c r="AS1141" s="155"/>
      <c r="AT1141" s="155"/>
      <c r="AU1141" s="155"/>
      <c r="AV1141" s="155"/>
      <c r="AW1141" s="155"/>
      <c r="AX1141" s="155"/>
    </row>
    <row r="1142" spans="4:50">
      <c r="D1142" s="155"/>
      <c r="E1142" s="155"/>
      <c r="F1142" s="155"/>
      <c r="G1142" s="155"/>
      <c r="H1142" s="155"/>
      <c r="I1142" s="155"/>
      <c r="J1142" s="155"/>
      <c r="K1142" s="155"/>
      <c r="L1142" s="155"/>
      <c r="M1142" s="155"/>
      <c r="N1142" s="155"/>
      <c r="O1142" s="155"/>
      <c r="P1142" s="155"/>
      <c r="Q1142" s="155"/>
      <c r="R1142" s="155"/>
      <c r="S1142" s="155"/>
      <c r="T1142" s="155"/>
      <c r="U1142" s="155"/>
      <c r="V1142" s="155"/>
      <c r="W1142" s="155"/>
      <c r="X1142" s="155"/>
      <c r="Y1142" s="155"/>
      <c r="Z1142" s="155"/>
      <c r="AA1142" s="155"/>
      <c r="AB1142" s="155"/>
      <c r="AC1142" s="155"/>
      <c r="AD1142" s="155"/>
      <c r="AE1142" s="155"/>
      <c r="AF1142" s="155"/>
      <c r="AG1142" s="155"/>
      <c r="AH1142" s="155"/>
      <c r="AI1142" s="155"/>
      <c r="AJ1142" s="155"/>
      <c r="AK1142" s="155"/>
      <c r="AL1142" s="155"/>
      <c r="AM1142" s="155"/>
      <c r="AN1142" s="155"/>
      <c r="AO1142" s="155"/>
      <c r="AP1142" s="155"/>
      <c r="AQ1142" s="155"/>
      <c r="AR1142" s="155"/>
      <c r="AS1142" s="155"/>
      <c r="AT1142" s="155"/>
      <c r="AU1142" s="155"/>
      <c r="AV1142" s="155"/>
      <c r="AW1142" s="155"/>
      <c r="AX1142" s="155"/>
    </row>
    <row r="1143" spans="4:50">
      <c r="D1143" s="155"/>
      <c r="E1143" s="155"/>
      <c r="F1143" s="155"/>
      <c r="G1143" s="155"/>
      <c r="H1143" s="155"/>
      <c r="I1143" s="155"/>
      <c r="J1143" s="155"/>
      <c r="K1143" s="155"/>
      <c r="L1143" s="155"/>
      <c r="M1143" s="155"/>
      <c r="N1143" s="155"/>
      <c r="O1143" s="155"/>
      <c r="P1143" s="155"/>
      <c r="Q1143" s="155"/>
      <c r="R1143" s="155"/>
      <c r="S1143" s="155"/>
      <c r="T1143" s="155"/>
      <c r="U1143" s="155"/>
      <c r="V1143" s="155"/>
      <c r="W1143" s="155"/>
      <c r="X1143" s="155"/>
      <c r="Y1143" s="155"/>
      <c r="Z1143" s="155"/>
      <c r="AA1143" s="155"/>
      <c r="AB1143" s="155"/>
      <c r="AC1143" s="155"/>
      <c r="AD1143" s="155"/>
      <c r="AE1143" s="155"/>
      <c r="AF1143" s="155"/>
      <c r="AG1143" s="155"/>
      <c r="AH1143" s="155"/>
      <c r="AI1143" s="155"/>
      <c r="AJ1143" s="155"/>
      <c r="AK1143" s="155"/>
      <c r="AL1143" s="155"/>
      <c r="AM1143" s="155"/>
      <c r="AN1143" s="155"/>
      <c r="AO1143" s="155"/>
      <c r="AP1143" s="155"/>
      <c r="AQ1143" s="155"/>
      <c r="AR1143" s="155"/>
      <c r="AS1143" s="155"/>
      <c r="AT1143" s="155"/>
      <c r="AU1143" s="155"/>
      <c r="AV1143" s="155"/>
      <c r="AW1143" s="155"/>
      <c r="AX1143" s="155"/>
    </row>
    <row r="1144" spans="4:50">
      <c r="D1144" s="155"/>
      <c r="E1144" s="155"/>
      <c r="F1144" s="155"/>
      <c r="G1144" s="155"/>
      <c r="H1144" s="155"/>
      <c r="I1144" s="155"/>
      <c r="J1144" s="155"/>
      <c r="K1144" s="155"/>
      <c r="L1144" s="155"/>
      <c r="M1144" s="155"/>
      <c r="N1144" s="155"/>
      <c r="O1144" s="155"/>
      <c r="P1144" s="155"/>
      <c r="Q1144" s="155"/>
      <c r="R1144" s="155"/>
      <c r="S1144" s="155"/>
      <c r="T1144" s="155"/>
      <c r="U1144" s="155"/>
      <c r="V1144" s="155"/>
      <c r="W1144" s="155"/>
      <c r="X1144" s="155"/>
      <c r="Y1144" s="155"/>
      <c r="Z1144" s="155"/>
      <c r="AA1144" s="155"/>
      <c r="AB1144" s="155"/>
      <c r="AC1144" s="155"/>
      <c r="AD1144" s="155"/>
      <c r="AE1144" s="155"/>
      <c r="AF1144" s="155"/>
      <c r="AG1144" s="155"/>
      <c r="AH1144" s="155"/>
      <c r="AI1144" s="155"/>
      <c r="AJ1144" s="155"/>
      <c r="AK1144" s="155"/>
      <c r="AL1144" s="155"/>
      <c r="AM1144" s="155"/>
      <c r="AN1144" s="155"/>
      <c r="AO1144" s="155"/>
      <c r="AP1144" s="155"/>
      <c r="AQ1144" s="155"/>
      <c r="AR1144" s="155"/>
      <c r="AS1144" s="155"/>
      <c r="AT1144" s="155"/>
      <c r="AU1144" s="155"/>
      <c r="AV1144" s="155"/>
      <c r="AW1144" s="155"/>
      <c r="AX1144" s="155"/>
    </row>
    <row r="1145" spans="4:50">
      <c r="D1145" s="155"/>
      <c r="E1145" s="155"/>
      <c r="F1145" s="155"/>
      <c r="G1145" s="155"/>
      <c r="H1145" s="155"/>
      <c r="I1145" s="155"/>
      <c r="J1145" s="155"/>
      <c r="K1145" s="155"/>
      <c r="L1145" s="155"/>
      <c r="M1145" s="155"/>
      <c r="N1145" s="155"/>
      <c r="O1145" s="155"/>
      <c r="P1145" s="155"/>
      <c r="Q1145" s="155"/>
      <c r="R1145" s="155"/>
      <c r="S1145" s="155"/>
      <c r="T1145" s="155"/>
      <c r="U1145" s="155"/>
      <c r="V1145" s="155"/>
      <c r="W1145" s="155"/>
      <c r="X1145" s="155"/>
      <c r="Y1145" s="155"/>
      <c r="Z1145" s="155"/>
      <c r="AA1145" s="155"/>
      <c r="AB1145" s="155"/>
      <c r="AC1145" s="155"/>
      <c r="AD1145" s="155"/>
      <c r="AE1145" s="155"/>
      <c r="AF1145" s="155"/>
      <c r="AG1145" s="155"/>
      <c r="AH1145" s="155"/>
      <c r="AI1145" s="155"/>
      <c r="AJ1145" s="155"/>
      <c r="AK1145" s="155"/>
      <c r="AL1145" s="155"/>
      <c r="AM1145" s="155"/>
      <c r="AN1145" s="155"/>
      <c r="AO1145" s="155"/>
      <c r="AP1145" s="155"/>
      <c r="AQ1145" s="155"/>
      <c r="AR1145" s="155"/>
      <c r="AS1145" s="155"/>
      <c r="AT1145" s="155"/>
      <c r="AU1145" s="155"/>
      <c r="AV1145" s="155"/>
      <c r="AW1145" s="155"/>
      <c r="AX1145" s="155"/>
    </row>
    <row r="1146" spans="4:50">
      <c r="D1146" s="155"/>
      <c r="E1146" s="155"/>
      <c r="F1146" s="155"/>
      <c r="G1146" s="155"/>
      <c r="H1146" s="155"/>
      <c r="I1146" s="155"/>
      <c r="J1146" s="155"/>
      <c r="K1146" s="155"/>
      <c r="L1146" s="155"/>
      <c r="M1146" s="155"/>
      <c r="N1146" s="155"/>
      <c r="O1146" s="155"/>
      <c r="P1146" s="155"/>
      <c r="Q1146" s="155"/>
      <c r="R1146" s="155"/>
      <c r="S1146" s="155"/>
      <c r="T1146" s="155"/>
      <c r="U1146" s="155"/>
      <c r="V1146" s="155"/>
      <c r="W1146" s="155"/>
      <c r="X1146" s="155"/>
      <c r="Y1146" s="155"/>
      <c r="Z1146" s="155"/>
      <c r="AA1146" s="155"/>
      <c r="AB1146" s="155"/>
      <c r="AC1146" s="155"/>
      <c r="AD1146" s="155"/>
      <c r="AE1146" s="155"/>
      <c r="AF1146" s="155"/>
      <c r="AG1146" s="155"/>
      <c r="AH1146" s="155"/>
      <c r="AI1146" s="155"/>
      <c r="AJ1146" s="155"/>
      <c r="AK1146" s="155"/>
      <c r="AL1146" s="155"/>
      <c r="AM1146" s="155"/>
      <c r="AN1146" s="155"/>
      <c r="AO1146" s="155"/>
      <c r="AP1146" s="155"/>
      <c r="AQ1146" s="155"/>
      <c r="AR1146" s="155"/>
      <c r="AS1146" s="155"/>
      <c r="AT1146" s="155"/>
      <c r="AU1146" s="155"/>
      <c r="AV1146" s="155"/>
      <c r="AW1146" s="155"/>
      <c r="AX1146" s="155"/>
    </row>
    <row r="1147" spans="4:50">
      <c r="D1147" s="155"/>
      <c r="E1147" s="155"/>
      <c r="F1147" s="155"/>
      <c r="G1147" s="155"/>
      <c r="H1147" s="155"/>
      <c r="I1147" s="155"/>
      <c r="J1147" s="155"/>
      <c r="K1147" s="155"/>
      <c r="L1147" s="155"/>
      <c r="M1147" s="155"/>
      <c r="N1147" s="155"/>
      <c r="O1147" s="155"/>
      <c r="P1147" s="155"/>
      <c r="Q1147" s="155"/>
      <c r="R1147" s="155"/>
      <c r="S1147" s="155"/>
      <c r="T1147" s="155"/>
      <c r="U1147" s="155"/>
      <c r="V1147" s="155"/>
      <c r="W1147" s="155"/>
      <c r="X1147" s="155"/>
      <c r="Y1147" s="155"/>
      <c r="Z1147" s="155"/>
      <c r="AA1147" s="155"/>
      <c r="AB1147" s="155"/>
      <c r="AC1147" s="155"/>
      <c r="AD1147" s="155"/>
      <c r="AE1147" s="155"/>
      <c r="AF1147" s="155"/>
      <c r="AG1147" s="155"/>
      <c r="AH1147" s="155"/>
      <c r="AI1147" s="155"/>
      <c r="AJ1147" s="155"/>
      <c r="AK1147" s="155"/>
      <c r="AL1147" s="155"/>
      <c r="AM1147" s="155"/>
      <c r="AN1147" s="155"/>
      <c r="AO1147" s="155"/>
      <c r="AP1147" s="155"/>
      <c r="AQ1147" s="155"/>
      <c r="AR1147" s="155"/>
      <c r="AS1147" s="155"/>
      <c r="AT1147" s="155"/>
      <c r="AU1147" s="155"/>
      <c r="AV1147" s="155"/>
      <c r="AW1147" s="155"/>
      <c r="AX1147" s="155"/>
    </row>
    <row r="1148" spans="4:50">
      <c r="D1148" s="155"/>
      <c r="E1148" s="155"/>
      <c r="F1148" s="155"/>
      <c r="G1148" s="155"/>
      <c r="H1148" s="155"/>
      <c r="I1148" s="155"/>
      <c r="J1148" s="155"/>
      <c r="K1148" s="155"/>
      <c r="L1148" s="155"/>
      <c r="M1148" s="155"/>
      <c r="N1148" s="155"/>
      <c r="O1148" s="155"/>
      <c r="P1148" s="155"/>
      <c r="Q1148" s="155"/>
      <c r="R1148" s="155"/>
      <c r="S1148" s="155"/>
      <c r="T1148" s="155"/>
      <c r="U1148" s="155"/>
      <c r="V1148" s="155"/>
      <c r="W1148" s="155"/>
      <c r="X1148" s="155"/>
      <c r="Y1148" s="155"/>
      <c r="Z1148" s="155"/>
      <c r="AA1148" s="155"/>
      <c r="AB1148" s="155"/>
      <c r="AC1148" s="155"/>
      <c r="AD1148" s="155"/>
      <c r="AE1148" s="155"/>
      <c r="AF1148" s="155"/>
      <c r="AG1148" s="155"/>
      <c r="AH1148" s="155"/>
      <c r="AI1148" s="155"/>
      <c r="AJ1148" s="155"/>
      <c r="AK1148" s="155"/>
      <c r="AL1148" s="155"/>
      <c r="AM1148" s="155"/>
      <c r="AN1148" s="155"/>
      <c r="AO1148" s="155"/>
      <c r="AP1148" s="155"/>
      <c r="AQ1148" s="155"/>
      <c r="AR1148" s="155"/>
      <c r="AS1148" s="155"/>
      <c r="AT1148" s="155"/>
      <c r="AU1148" s="155"/>
      <c r="AV1148" s="155"/>
      <c r="AW1148" s="155"/>
      <c r="AX1148" s="155"/>
    </row>
    <row r="1149" spans="4:50">
      <c r="D1149" s="155"/>
      <c r="E1149" s="155"/>
      <c r="F1149" s="155"/>
      <c r="G1149" s="155"/>
      <c r="H1149" s="155"/>
      <c r="I1149" s="155"/>
      <c r="J1149" s="155"/>
      <c r="K1149" s="155"/>
      <c r="L1149" s="155"/>
      <c r="M1149" s="155"/>
      <c r="N1149" s="155"/>
      <c r="O1149" s="155"/>
      <c r="P1149" s="155"/>
      <c r="Q1149" s="155"/>
      <c r="R1149" s="155"/>
      <c r="S1149" s="155"/>
      <c r="T1149" s="155"/>
      <c r="U1149" s="155"/>
      <c r="V1149" s="155"/>
      <c r="W1149" s="155"/>
      <c r="X1149" s="155"/>
      <c r="Y1149" s="155"/>
      <c r="Z1149" s="155"/>
      <c r="AA1149" s="155"/>
      <c r="AB1149" s="155"/>
      <c r="AC1149" s="155"/>
      <c r="AD1149" s="155"/>
      <c r="AE1149" s="155"/>
      <c r="AF1149" s="155"/>
      <c r="AG1149" s="155"/>
      <c r="AH1149" s="155"/>
      <c r="AI1149" s="155"/>
      <c r="AJ1149" s="155"/>
      <c r="AK1149" s="155"/>
      <c r="AL1149" s="155"/>
      <c r="AM1149" s="155"/>
      <c r="AN1149" s="155"/>
      <c r="AO1149" s="155"/>
      <c r="AP1149" s="155"/>
      <c r="AQ1149" s="155"/>
      <c r="AR1149" s="155"/>
      <c r="AS1149" s="155"/>
      <c r="AT1149" s="155"/>
      <c r="AU1149" s="155"/>
      <c r="AV1149" s="155"/>
      <c r="AW1149" s="155"/>
      <c r="AX1149" s="155"/>
    </row>
    <row r="1150" spans="4:50">
      <c r="D1150" s="155"/>
      <c r="E1150" s="155"/>
      <c r="F1150" s="155"/>
      <c r="G1150" s="155"/>
      <c r="H1150" s="155"/>
      <c r="I1150" s="155"/>
      <c r="J1150" s="155"/>
      <c r="K1150" s="155"/>
      <c r="L1150" s="155"/>
      <c r="M1150" s="155"/>
      <c r="N1150" s="155"/>
      <c r="O1150" s="155"/>
      <c r="P1150" s="155"/>
      <c r="Q1150" s="155"/>
      <c r="R1150" s="155"/>
      <c r="S1150" s="155"/>
      <c r="T1150" s="155"/>
      <c r="U1150" s="155"/>
      <c r="V1150" s="155"/>
      <c r="W1150" s="155"/>
      <c r="X1150" s="155"/>
      <c r="Y1150" s="155"/>
      <c r="Z1150" s="155"/>
      <c r="AA1150" s="155"/>
      <c r="AB1150" s="155"/>
      <c r="AC1150" s="155"/>
      <c r="AD1150" s="155"/>
      <c r="AE1150" s="155"/>
      <c r="AF1150" s="155"/>
      <c r="AG1150" s="155"/>
      <c r="AH1150" s="155"/>
      <c r="AI1150" s="155"/>
      <c r="AJ1150" s="155"/>
      <c r="AK1150" s="155"/>
      <c r="AL1150" s="155"/>
      <c r="AM1150" s="155"/>
      <c r="AN1150" s="155"/>
      <c r="AO1150" s="155"/>
      <c r="AP1150" s="155"/>
      <c r="AQ1150" s="155"/>
      <c r="AR1150" s="155"/>
      <c r="AS1150" s="155"/>
      <c r="AT1150" s="155"/>
      <c r="AU1150" s="155"/>
      <c r="AV1150" s="155"/>
      <c r="AW1150" s="155"/>
      <c r="AX1150" s="155"/>
    </row>
    <row r="1151" spans="4:50">
      <c r="D1151" s="155"/>
      <c r="E1151" s="155"/>
      <c r="F1151" s="155"/>
      <c r="G1151" s="155"/>
      <c r="H1151" s="155"/>
      <c r="I1151" s="155"/>
      <c r="J1151" s="155"/>
      <c r="K1151" s="155"/>
      <c r="L1151" s="155"/>
      <c r="M1151" s="155"/>
      <c r="N1151" s="155"/>
      <c r="O1151" s="155"/>
      <c r="P1151" s="155"/>
      <c r="Q1151" s="155"/>
      <c r="R1151" s="155"/>
      <c r="S1151" s="155"/>
      <c r="T1151" s="155"/>
      <c r="U1151" s="155"/>
      <c r="V1151" s="155"/>
      <c r="W1151" s="155"/>
      <c r="X1151" s="155"/>
      <c r="Y1151" s="155"/>
      <c r="Z1151" s="155"/>
      <c r="AA1151" s="155"/>
      <c r="AB1151" s="155"/>
      <c r="AC1151" s="155"/>
      <c r="AD1151" s="155"/>
      <c r="AE1151" s="155"/>
      <c r="AF1151" s="155"/>
      <c r="AG1151" s="155"/>
      <c r="AH1151" s="155"/>
      <c r="AI1151" s="155"/>
      <c r="AJ1151" s="155"/>
      <c r="AK1151" s="155"/>
      <c r="AL1151" s="155"/>
      <c r="AM1151" s="155"/>
      <c r="AN1151" s="155"/>
      <c r="AO1151" s="155"/>
      <c r="AP1151" s="155"/>
      <c r="AQ1151" s="155"/>
      <c r="AR1151" s="155"/>
      <c r="AS1151" s="155"/>
      <c r="AT1151" s="155"/>
      <c r="AU1151" s="155"/>
      <c r="AV1151" s="155"/>
      <c r="AW1151" s="155"/>
      <c r="AX1151" s="155"/>
    </row>
    <row r="1152" spans="4:50">
      <c r="D1152" s="155"/>
      <c r="E1152" s="155"/>
      <c r="F1152" s="155"/>
      <c r="G1152" s="155"/>
      <c r="H1152" s="155"/>
      <c r="I1152" s="155"/>
      <c r="J1152" s="155"/>
      <c r="K1152" s="155"/>
      <c r="L1152" s="155"/>
      <c r="M1152" s="155"/>
      <c r="N1152" s="155"/>
      <c r="O1152" s="155"/>
      <c r="P1152" s="155"/>
      <c r="Q1152" s="155"/>
      <c r="R1152" s="155"/>
      <c r="S1152" s="155"/>
      <c r="T1152" s="155"/>
      <c r="U1152" s="155"/>
      <c r="V1152" s="155"/>
      <c r="W1152" s="155"/>
      <c r="X1152" s="155"/>
      <c r="Y1152" s="155"/>
      <c r="Z1152" s="155"/>
      <c r="AA1152" s="155"/>
      <c r="AB1152" s="155"/>
      <c r="AC1152" s="155"/>
      <c r="AD1152" s="155"/>
      <c r="AE1152" s="155"/>
      <c r="AF1152" s="155"/>
      <c r="AG1152" s="155"/>
      <c r="AH1152" s="155"/>
      <c r="AI1152" s="155"/>
      <c r="AJ1152" s="155"/>
      <c r="AK1152" s="155"/>
      <c r="AL1152" s="155"/>
      <c r="AM1152" s="155"/>
      <c r="AN1152" s="155"/>
      <c r="AO1152" s="155"/>
      <c r="AP1152" s="155"/>
      <c r="AQ1152" s="155"/>
      <c r="AR1152" s="155"/>
      <c r="AS1152" s="155"/>
      <c r="AT1152" s="155"/>
      <c r="AU1152" s="155"/>
      <c r="AV1152" s="155"/>
      <c r="AW1152" s="155"/>
      <c r="AX1152" s="155"/>
    </row>
    <row r="1153" spans="4:50">
      <c r="D1153" s="155"/>
      <c r="E1153" s="155"/>
      <c r="F1153" s="155"/>
      <c r="G1153" s="155"/>
      <c r="H1153" s="155"/>
      <c r="I1153" s="155"/>
      <c r="J1153" s="155"/>
      <c r="K1153" s="155"/>
      <c r="L1153" s="155"/>
      <c r="M1153" s="155"/>
      <c r="N1153" s="155"/>
      <c r="O1153" s="155"/>
      <c r="P1153" s="155"/>
      <c r="Q1153" s="155"/>
      <c r="R1153" s="155"/>
      <c r="S1153" s="155"/>
      <c r="T1153" s="155"/>
      <c r="U1153" s="155"/>
      <c r="V1153" s="155"/>
      <c r="W1153" s="155"/>
      <c r="X1153" s="155"/>
      <c r="Y1153" s="155"/>
      <c r="Z1153" s="155"/>
      <c r="AA1153" s="155"/>
      <c r="AB1153" s="155"/>
      <c r="AC1153" s="155"/>
      <c r="AD1153" s="155"/>
      <c r="AE1153" s="155"/>
      <c r="AF1153" s="155"/>
      <c r="AG1153" s="155"/>
      <c r="AH1153" s="155"/>
      <c r="AI1153" s="155"/>
      <c r="AJ1153" s="155"/>
      <c r="AK1153" s="155"/>
      <c r="AL1153" s="155"/>
      <c r="AM1153" s="155"/>
      <c r="AN1153" s="155"/>
      <c r="AO1153" s="155"/>
      <c r="AP1153" s="155"/>
      <c r="AQ1153" s="155"/>
      <c r="AR1153" s="155"/>
      <c r="AS1153" s="155"/>
      <c r="AT1153" s="155"/>
      <c r="AU1153" s="155"/>
      <c r="AV1153" s="155"/>
      <c r="AW1153" s="155"/>
      <c r="AX1153" s="155"/>
    </row>
    <row r="1154" spans="4:50">
      <c r="D1154" s="155"/>
      <c r="E1154" s="155"/>
      <c r="F1154" s="155"/>
      <c r="G1154" s="155"/>
      <c r="H1154" s="155"/>
      <c r="I1154" s="155"/>
      <c r="J1154" s="155"/>
      <c r="K1154" s="155"/>
      <c r="L1154" s="155"/>
      <c r="M1154" s="155"/>
      <c r="N1154" s="155"/>
      <c r="O1154" s="155"/>
      <c r="P1154" s="155"/>
      <c r="Q1154" s="155"/>
      <c r="R1154" s="155"/>
      <c r="S1154" s="155"/>
      <c r="T1154" s="155"/>
      <c r="U1154" s="155"/>
      <c r="V1154" s="155"/>
      <c r="W1154" s="155"/>
      <c r="X1154" s="155"/>
      <c r="Y1154" s="155"/>
      <c r="Z1154" s="155"/>
      <c r="AA1154" s="155"/>
      <c r="AB1154" s="155"/>
      <c r="AC1154" s="155"/>
      <c r="AD1154" s="155"/>
      <c r="AE1154" s="155"/>
      <c r="AF1154" s="155"/>
      <c r="AG1154" s="155"/>
      <c r="AH1154" s="155"/>
      <c r="AI1154" s="155"/>
      <c r="AJ1154" s="155"/>
      <c r="AK1154" s="155"/>
      <c r="AL1154" s="155"/>
      <c r="AM1154" s="155"/>
      <c r="AN1154" s="155"/>
      <c r="AO1154" s="155"/>
      <c r="AP1154" s="155"/>
      <c r="AQ1154" s="155"/>
      <c r="AR1154" s="155"/>
      <c r="AS1154" s="155"/>
      <c r="AT1154" s="155"/>
      <c r="AU1154" s="155"/>
      <c r="AV1154" s="155"/>
      <c r="AW1154" s="155"/>
      <c r="AX1154" s="155"/>
    </row>
    <row r="1155" spans="4:50">
      <c r="D1155" s="155"/>
      <c r="E1155" s="155"/>
      <c r="F1155" s="155"/>
      <c r="G1155" s="155"/>
      <c r="H1155" s="155"/>
      <c r="I1155" s="155"/>
      <c r="J1155" s="155"/>
      <c r="K1155" s="155"/>
      <c r="L1155" s="155"/>
      <c r="M1155" s="155"/>
      <c r="N1155" s="155"/>
      <c r="O1155" s="155"/>
      <c r="P1155" s="155"/>
      <c r="Q1155" s="155"/>
      <c r="R1155" s="155"/>
      <c r="S1155" s="155"/>
      <c r="T1155" s="155"/>
      <c r="U1155" s="155"/>
      <c r="V1155" s="155"/>
      <c r="W1155" s="155"/>
      <c r="X1155" s="155"/>
      <c r="Y1155" s="155"/>
      <c r="Z1155" s="155"/>
      <c r="AA1155" s="155"/>
      <c r="AB1155" s="155"/>
      <c r="AC1155" s="155"/>
      <c r="AD1155" s="155"/>
      <c r="AE1155" s="155"/>
      <c r="AF1155" s="155"/>
      <c r="AG1155" s="155"/>
      <c r="AH1155" s="155"/>
      <c r="AI1155" s="155"/>
      <c r="AJ1155" s="155"/>
      <c r="AK1155" s="155"/>
      <c r="AL1155" s="155"/>
      <c r="AM1155" s="155"/>
      <c r="AN1155" s="155"/>
      <c r="AO1155" s="155"/>
      <c r="AP1155" s="155"/>
      <c r="AQ1155" s="155"/>
      <c r="AR1155" s="155"/>
      <c r="AS1155" s="155"/>
      <c r="AT1155" s="155"/>
      <c r="AU1155" s="155"/>
      <c r="AV1155" s="155"/>
      <c r="AW1155" s="155"/>
      <c r="AX1155" s="155"/>
    </row>
    <row r="1156" spans="4:50">
      <c r="D1156" s="155"/>
      <c r="E1156" s="155"/>
      <c r="F1156" s="155"/>
      <c r="G1156" s="155"/>
      <c r="H1156" s="155"/>
      <c r="I1156" s="155"/>
      <c r="J1156" s="155"/>
      <c r="K1156" s="155"/>
      <c r="L1156" s="155"/>
      <c r="M1156" s="155"/>
      <c r="N1156" s="155"/>
      <c r="O1156" s="155"/>
      <c r="P1156" s="155"/>
      <c r="Q1156" s="155"/>
      <c r="R1156" s="155"/>
      <c r="S1156" s="155"/>
      <c r="T1156" s="155"/>
      <c r="U1156" s="155"/>
      <c r="V1156" s="155"/>
      <c r="W1156" s="155"/>
      <c r="X1156" s="155"/>
      <c r="Y1156" s="155"/>
      <c r="Z1156" s="155"/>
      <c r="AA1156" s="155"/>
      <c r="AB1156" s="155"/>
      <c r="AC1156" s="155"/>
      <c r="AD1156" s="155"/>
      <c r="AE1156" s="155"/>
      <c r="AF1156" s="155"/>
      <c r="AG1156" s="155"/>
      <c r="AH1156" s="155"/>
      <c r="AI1156" s="155"/>
      <c r="AJ1156" s="155"/>
      <c r="AK1156" s="155"/>
      <c r="AL1156" s="155"/>
      <c r="AM1156" s="155"/>
      <c r="AN1156" s="155"/>
      <c r="AO1156" s="155"/>
      <c r="AP1156" s="155"/>
      <c r="AQ1156" s="155"/>
      <c r="AR1156" s="155"/>
      <c r="AS1156" s="155"/>
      <c r="AT1156" s="155"/>
      <c r="AU1156" s="155"/>
      <c r="AV1156" s="155"/>
      <c r="AW1156" s="155"/>
      <c r="AX1156" s="155"/>
    </row>
    <row r="1157" spans="4:50">
      <c r="D1157" s="155"/>
      <c r="E1157" s="155"/>
      <c r="F1157" s="155"/>
      <c r="G1157" s="155"/>
      <c r="H1157" s="155"/>
      <c r="I1157" s="155"/>
      <c r="J1157" s="155"/>
      <c r="K1157" s="155"/>
      <c r="L1157" s="155"/>
      <c r="M1157" s="155"/>
      <c r="N1157" s="155"/>
      <c r="O1157" s="155"/>
      <c r="P1157" s="155"/>
      <c r="Q1157" s="155"/>
      <c r="R1157" s="155"/>
      <c r="S1157" s="155"/>
      <c r="T1157" s="155"/>
      <c r="U1157" s="155"/>
      <c r="V1157" s="155"/>
      <c r="W1157" s="155"/>
      <c r="X1157" s="155"/>
      <c r="Y1157" s="155"/>
      <c r="Z1157" s="155"/>
      <c r="AA1157" s="155"/>
      <c r="AB1157" s="155"/>
      <c r="AC1157" s="155"/>
      <c r="AD1157" s="155"/>
      <c r="AE1157" s="155"/>
      <c r="AF1157" s="155"/>
      <c r="AG1157" s="155"/>
      <c r="AH1157" s="155"/>
      <c r="AI1157" s="155"/>
      <c r="AJ1157" s="155"/>
      <c r="AK1157" s="155"/>
      <c r="AL1157" s="155"/>
      <c r="AM1157" s="155"/>
      <c r="AN1157" s="155"/>
      <c r="AO1157" s="155"/>
      <c r="AP1157" s="155"/>
      <c r="AQ1157" s="155"/>
      <c r="AR1157" s="155"/>
      <c r="AS1157" s="155"/>
      <c r="AT1157" s="155"/>
      <c r="AU1157" s="155"/>
      <c r="AV1157" s="155"/>
      <c r="AW1157" s="155"/>
      <c r="AX1157" s="155"/>
    </row>
    <row r="1158" spans="4:50">
      <c r="D1158" s="155"/>
      <c r="E1158" s="155"/>
      <c r="F1158" s="155"/>
      <c r="G1158" s="155"/>
      <c r="H1158" s="155"/>
      <c r="I1158" s="155"/>
      <c r="J1158" s="155"/>
      <c r="K1158" s="155"/>
      <c r="L1158" s="155"/>
      <c r="M1158" s="155"/>
      <c r="N1158" s="155"/>
      <c r="O1158" s="155"/>
      <c r="P1158" s="155"/>
      <c r="Q1158" s="155"/>
      <c r="R1158" s="155"/>
      <c r="S1158" s="155"/>
      <c r="T1158" s="155"/>
      <c r="U1158" s="155"/>
      <c r="V1158" s="155"/>
      <c r="W1158" s="155"/>
      <c r="X1158" s="155"/>
      <c r="Y1158" s="155"/>
      <c r="Z1158" s="155"/>
      <c r="AA1158" s="155"/>
      <c r="AB1158" s="155"/>
      <c r="AC1158" s="155"/>
      <c r="AD1158" s="155"/>
      <c r="AE1158" s="155"/>
      <c r="AF1158" s="155"/>
      <c r="AG1158" s="155"/>
      <c r="AH1158" s="155"/>
      <c r="AI1158" s="155"/>
      <c r="AJ1158" s="155"/>
      <c r="AK1158" s="155"/>
      <c r="AL1158" s="155"/>
      <c r="AM1158" s="155"/>
      <c r="AN1158" s="155"/>
      <c r="AO1158" s="155"/>
      <c r="AP1158" s="155"/>
      <c r="AQ1158" s="155"/>
      <c r="AR1158" s="155"/>
      <c r="AS1158" s="155"/>
      <c r="AT1158" s="155"/>
      <c r="AU1158" s="155"/>
      <c r="AV1158" s="155"/>
      <c r="AW1158" s="155"/>
      <c r="AX1158" s="155"/>
    </row>
    <row r="1159" spans="4:50">
      <c r="D1159" s="155"/>
      <c r="E1159" s="155"/>
      <c r="F1159" s="155"/>
      <c r="G1159" s="155"/>
      <c r="H1159" s="155"/>
      <c r="I1159" s="155"/>
      <c r="J1159" s="155"/>
      <c r="K1159" s="155"/>
      <c r="L1159" s="155"/>
      <c r="M1159" s="155"/>
      <c r="N1159" s="155"/>
      <c r="O1159" s="155"/>
      <c r="P1159" s="155"/>
      <c r="Q1159" s="155"/>
      <c r="R1159" s="155"/>
      <c r="S1159" s="155"/>
      <c r="T1159" s="155"/>
      <c r="U1159" s="155"/>
      <c r="V1159" s="155"/>
      <c r="W1159" s="155"/>
      <c r="X1159" s="155"/>
      <c r="Y1159" s="155"/>
      <c r="Z1159" s="155"/>
      <c r="AA1159" s="155"/>
      <c r="AB1159" s="155"/>
      <c r="AC1159" s="155"/>
      <c r="AD1159" s="155"/>
      <c r="AE1159" s="155"/>
      <c r="AF1159" s="155"/>
      <c r="AG1159" s="155"/>
      <c r="AH1159" s="155"/>
      <c r="AI1159" s="155"/>
      <c r="AJ1159" s="155"/>
      <c r="AK1159" s="155"/>
      <c r="AL1159" s="155"/>
      <c r="AM1159" s="155"/>
      <c r="AN1159" s="155"/>
      <c r="AO1159" s="155"/>
      <c r="AP1159" s="155"/>
      <c r="AQ1159" s="155"/>
      <c r="AR1159" s="155"/>
      <c r="AS1159" s="155"/>
      <c r="AT1159" s="155"/>
      <c r="AU1159" s="155"/>
      <c r="AV1159" s="155"/>
      <c r="AW1159" s="155"/>
      <c r="AX1159" s="155"/>
    </row>
    <row r="1160" spans="4:50">
      <c r="D1160" s="155"/>
      <c r="E1160" s="155"/>
      <c r="F1160" s="155"/>
      <c r="G1160" s="155"/>
      <c r="H1160" s="155"/>
      <c r="I1160" s="155"/>
      <c r="J1160" s="155"/>
      <c r="K1160" s="155"/>
      <c r="L1160" s="155"/>
      <c r="M1160" s="155"/>
      <c r="N1160" s="155"/>
      <c r="O1160" s="155"/>
      <c r="P1160" s="155"/>
      <c r="Q1160" s="155"/>
      <c r="R1160" s="155"/>
      <c r="S1160" s="155"/>
      <c r="T1160" s="155"/>
      <c r="U1160" s="155"/>
      <c r="V1160" s="155"/>
      <c r="W1160" s="155"/>
      <c r="X1160" s="155"/>
      <c r="Y1160" s="155"/>
      <c r="Z1160" s="155"/>
      <c r="AA1160" s="155"/>
      <c r="AB1160" s="155"/>
      <c r="AC1160" s="155"/>
      <c r="AD1160" s="155"/>
      <c r="AE1160" s="155"/>
      <c r="AF1160" s="155"/>
      <c r="AG1160" s="155"/>
      <c r="AH1160" s="155"/>
      <c r="AI1160" s="155"/>
      <c r="AJ1160" s="155"/>
      <c r="AK1160" s="155"/>
      <c r="AL1160" s="155"/>
      <c r="AM1160" s="155"/>
      <c r="AN1160" s="155"/>
      <c r="AO1160" s="155"/>
      <c r="AP1160" s="155"/>
      <c r="AQ1160" s="155"/>
      <c r="AR1160" s="155"/>
      <c r="AS1160" s="155"/>
      <c r="AT1160" s="155"/>
      <c r="AU1160" s="155"/>
      <c r="AV1160" s="155"/>
      <c r="AW1160" s="155"/>
      <c r="AX1160" s="155"/>
    </row>
    <row r="1161" spans="4:50">
      <c r="D1161" s="155"/>
      <c r="E1161" s="155"/>
      <c r="F1161" s="155"/>
      <c r="G1161" s="155"/>
      <c r="H1161" s="155"/>
      <c r="I1161" s="155"/>
      <c r="J1161" s="155"/>
      <c r="K1161" s="155"/>
      <c r="L1161" s="155"/>
      <c r="M1161" s="155"/>
      <c r="N1161" s="155"/>
      <c r="O1161" s="155"/>
      <c r="P1161" s="155"/>
      <c r="Q1161" s="155"/>
      <c r="R1161" s="155"/>
      <c r="S1161" s="155"/>
      <c r="T1161" s="155"/>
      <c r="U1161" s="155"/>
      <c r="V1161" s="155"/>
      <c r="W1161" s="155"/>
      <c r="X1161" s="155"/>
      <c r="Y1161" s="155"/>
      <c r="Z1161" s="155"/>
      <c r="AA1161" s="155"/>
      <c r="AB1161" s="155"/>
      <c r="AC1161" s="155"/>
      <c r="AD1161" s="155"/>
      <c r="AE1161" s="155"/>
      <c r="AF1161" s="155"/>
      <c r="AG1161" s="155"/>
      <c r="AH1161" s="155"/>
      <c r="AI1161" s="155"/>
      <c r="AJ1161" s="155"/>
      <c r="AK1161" s="155"/>
      <c r="AL1161" s="155"/>
      <c r="AM1161" s="155"/>
      <c r="AN1161" s="155"/>
      <c r="AO1161" s="155"/>
      <c r="AP1161" s="155"/>
      <c r="AQ1161" s="155"/>
      <c r="AR1161" s="155"/>
      <c r="AS1161" s="155"/>
      <c r="AT1161" s="155"/>
      <c r="AU1161" s="155"/>
      <c r="AV1161" s="155"/>
      <c r="AW1161" s="155"/>
      <c r="AX1161" s="155"/>
    </row>
    <row r="1162" spans="4:50">
      <c r="D1162" s="155"/>
      <c r="E1162" s="155"/>
      <c r="F1162" s="155"/>
      <c r="G1162" s="155"/>
      <c r="H1162" s="155"/>
      <c r="I1162" s="155"/>
      <c r="J1162" s="155"/>
      <c r="K1162" s="155"/>
      <c r="L1162" s="155"/>
      <c r="M1162" s="155"/>
      <c r="N1162" s="155"/>
      <c r="O1162" s="155"/>
      <c r="P1162" s="155"/>
      <c r="Q1162" s="155"/>
      <c r="R1162" s="155"/>
      <c r="S1162" s="155"/>
      <c r="T1162" s="155"/>
      <c r="U1162" s="155"/>
      <c r="V1162" s="155"/>
      <c r="W1162" s="155"/>
      <c r="X1162" s="155"/>
      <c r="Y1162" s="155"/>
      <c r="Z1162" s="155"/>
      <c r="AA1162" s="155"/>
      <c r="AB1162" s="155"/>
      <c r="AC1162" s="155"/>
      <c r="AD1162" s="155"/>
      <c r="AE1162" s="155"/>
      <c r="AF1162" s="155"/>
      <c r="AG1162" s="155"/>
      <c r="AH1162" s="155"/>
      <c r="AI1162" s="155"/>
      <c r="AJ1162" s="155"/>
      <c r="AK1162" s="155"/>
      <c r="AL1162" s="155"/>
      <c r="AM1162" s="155"/>
      <c r="AN1162" s="155"/>
      <c r="AO1162" s="155"/>
      <c r="AP1162" s="155"/>
      <c r="AQ1162" s="155"/>
      <c r="AR1162" s="155"/>
      <c r="AS1162" s="155"/>
      <c r="AT1162" s="155"/>
      <c r="AU1162" s="155"/>
      <c r="AV1162" s="155"/>
      <c r="AW1162" s="155"/>
      <c r="AX1162" s="155"/>
    </row>
    <row r="1163" spans="4:50">
      <c r="D1163" s="155"/>
      <c r="E1163" s="155"/>
      <c r="F1163" s="155"/>
      <c r="G1163" s="155"/>
      <c r="H1163" s="155"/>
      <c r="I1163" s="155"/>
      <c r="J1163" s="155"/>
      <c r="K1163" s="155"/>
      <c r="L1163" s="155"/>
      <c r="M1163" s="155"/>
      <c r="N1163" s="155"/>
      <c r="O1163" s="155"/>
      <c r="P1163" s="155"/>
      <c r="Q1163" s="155"/>
      <c r="R1163" s="155"/>
      <c r="S1163" s="155"/>
      <c r="T1163" s="155"/>
      <c r="U1163" s="155"/>
      <c r="V1163" s="155"/>
      <c r="W1163" s="155"/>
      <c r="X1163" s="155"/>
      <c r="Y1163" s="155"/>
      <c r="Z1163" s="155"/>
      <c r="AA1163" s="155"/>
      <c r="AB1163" s="155"/>
      <c r="AC1163" s="155"/>
      <c r="AD1163" s="155"/>
      <c r="AE1163" s="155"/>
      <c r="AF1163" s="155"/>
      <c r="AG1163" s="155"/>
      <c r="AH1163" s="155"/>
      <c r="AI1163" s="155"/>
      <c r="AJ1163" s="155"/>
      <c r="AK1163" s="155"/>
      <c r="AL1163" s="155"/>
      <c r="AM1163" s="155"/>
      <c r="AN1163" s="155"/>
      <c r="AO1163" s="155"/>
      <c r="AP1163" s="155"/>
      <c r="AQ1163" s="155"/>
      <c r="AR1163" s="155"/>
      <c r="AS1163" s="155"/>
      <c r="AT1163" s="155"/>
      <c r="AU1163" s="155"/>
      <c r="AV1163" s="155"/>
      <c r="AW1163" s="155"/>
      <c r="AX1163" s="155"/>
    </row>
    <row r="1164" spans="4:50">
      <c r="D1164" s="155"/>
      <c r="E1164" s="155"/>
      <c r="F1164" s="155"/>
      <c r="G1164" s="155"/>
      <c r="H1164" s="155"/>
      <c r="I1164" s="155"/>
      <c r="J1164" s="155"/>
      <c r="K1164" s="155"/>
      <c r="L1164" s="155"/>
      <c r="M1164" s="155"/>
      <c r="N1164" s="155"/>
      <c r="O1164" s="155"/>
      <c r="P1164" s="155"/>
      <c r="Q1164" s="155"/>
      <c r="R1164" s="155"/>
      <c r="S1164" s="155"/>
      <c r="T1164" s="155"/>
      <c r="U1164" s="155"/>
      <c r="V1164" s="155"/>
      <c r="W1164" s="155"/>
      <c r="X1164" s="155"/>
      <c r="Y1164" s="155"/>
      <c r="Z1164" s="155"/>
      <c r="AA1164" s="155"/>
      <c r="AB1164" s="155"/>
      <c r="AC1164" s="155"/>
      <c r="AD1164" s="155"/>
      <c r="AE1164" s="155"/>
      <c r="AF1164" s="155"/>
      <c r="AG1164" s="155"/>
      <c r="AH1164" s="155"/>
      <c r="AI1164" s="155"/>
      <c r="AJ1164" s="155"/>
      <c r="AK1164" s="155"/>
      <c r="AL1164" s="155"/>
      <c r="AM1164" s="155"/>
      <c r="AN1164" s="155"/>
      <c r="AO1164" s="155"/>
      <c r="AP1164" s="155"/>
      <c r="AQ1164" s="155"/>
      <c r="AR1164" s="155"/>
      <c r="AS1164" s="155"/>
      <c r="AT1164" s="155"/>
      <c r="AU1164" s="155"/>
      <c r="AV1164" s="155"/>
      <c r="AW1164" s="155"/>
      <c r="AX1164" s="155"/>
    </row>
    <row r="1165" spans="4:50">
      <c r="D1165" s="155"/>
      <c r="E1165" s="155"/>
      <c r="F1165" s="155"/>
      <c r="G1165" s="155"/>
      <c r="H1165" s="155"/>
      <c r="I1165" s="155"/>
      <c r="J1165" s="155"/>
      <c r="K1165" s="155"/>
      <c r="L1165" s="155"/>
      <c r="M1165" s="155"/>
      <c r="N1165" s="155"/>
      <c r="O1165" s="155"/>
      <c r="P1165" s="155"/>
      <c r="Q1165" s="155"/>
      <c r="R1165" s="155"/>
      <c r="S1165" s="155"/>
      <c r="T1165" s="155"/>
      <c r="U1165" s="155"/>
      <c r="V1165" s="155"/>
      <c r="W1165" s="155"/>
      <c r="X1165" s="155"/>
      <c r="Y1165" s="155"/>
      <c r="Z1165" s="155"/>
      <c r="AA1165" s="155"/>
      <c r="AB1165" s="155"/>
      <c r="AC1165" s="155"/>
      <c r="AD1165" s="155"/>
      <c r="AE1165" s="155"/>
      <c r="AF1165" s="155"/>
      <c r="AG1165" s="155"/>
      <c r="AH1165" s="155"/>
      <c r="AI1165" s="155"/>
      <c r="AJ1165" s="155"/>
      <c r="AK1165" s="155"/>
      <c r="AL1165" s="155"/>
      <c r="AM1165" s="155"/>
      <c r="AN1165" s="155"/>
      <c r="AO1165" s="155"/>
      <c r="AP1165" s="155"/>
      <c r="AQ1165" s="155"/>
      <c r="AR1165" s="155"/>
      <c r="AS1165" s="155"/>
      <c r="AT1165" s="155"/>
      <c r="AU1165" s="155"/>
      <c r="AV1165" s="155"/>
      <c r="AW1165" s="155"/>
      <c r="AX1165" s="155"/>
    </row>
    <row r="1166" spans="4:50">
      <c r="D1166" s="155"/>
      <c r="E1166" s="155"/>
      <c r="F1166" s="155"/>
      <c r="G1166" s="155"/>
      <c r="H1166" s="155"/>
      <c r="I1166" s="155"/>
      <c r="J1166" s="155"/>
      <c r="K1166" s="155"/>
      <c r="L1166" s="155"/>
      <c r="M1166" s="155"/>
      <c r="N1166" s="155"/>
      <c r="O1166" s="155"/>
      <c r="P1166" s="155"/>
      <c r="Q1166" s="155"/>
      <c r="R1166" s="155"/>
      <c r="S1166" s="155"/>
      <c r="T1166" s="155"/>
      <c r="U1166" s="155"/>
      <c r="V1166" s="155"/>
      <c r="W1166" s="155"/>
      <c r="X1166" s="155"/>
      <c r="Y1166" s="155"/>
      <c r="Z1166" s="155"/>
      <c r="AA1166" s="155"/>
      <c r="AB1166" s="155"/>
      <c r="AC1166" s="155"/>
      <c r="AD1166" s="155"/>
      <c r="AE1166" s="155"/>
      <c r="AF1166" s="155"/>
      <c r="AG1166" s="155"/>
      <c r="AH1166" s="155"/>
      <c r="AI1166" s="155"/>
      <c r="AJ1166" s="155"/>
      <c r="AK1166" s="155"/>
      <c r="AL1166" s="155"/>
      <c r="AM1166" s="155"/>
      <c r="AN1166" s="155"/>
      <c r="AO1166" s="155"/>
      <c r="AP1166" s="155"/>
      <c r="AQ1166" s="155"/>
      <c r="AR1166" s="155"/>
      <c r="AS1166" s="155"/>
      <c r="AT1166" s="155"/>
      <c r="AU1166" s="155"/>
      <c r="AV1166" s="155"/>
      <c r="AW1166" s="155"/>
      <c r="AX1166" s="155"/>
    </row>
    <row r="1167" spans="4:50">
      <c r="D1167" s="155"/>
      <c r="E1167" s="155"/>
      <c r="F1167" s="155"/>
      <c r="G1167" s="155"/>
      <c r="H1167" s="155"/>
      <c r="I1167" s="155"/>
      <c r="J1167" s="155"/>
      <c r="K1167" s="155"/>
      <c r="L1167" s="155"/>
      <c r="M1167" s="155"/>
      <c r="N1167" s="155"/>
      <c r="O1167" s="155"/>
      <c r="P1167" s="155"/>
      <c r="Q1167" s="155"/>
      <c r="R1167" s="155"/>
      <c r="S1167" s="155"/>
      <c r="T1167" s="155"/>
      <c r="U1167" s="155"/>
      <c r="V1167" s="155"/>
      <c r="W1167" s="155"/>
      <c r="X1167" s="155"/>
      <c r="Y1167" s="155"/>
      <c r="Z1167" s="155"/>
      <c r="AA1167" s="155"/>
      <c r="AB1167" s="155"/>
      <c r="AC1167" s="155"/>
      <c r="AD1167" s="155"/>
      <c r="AE1167" s="155"/>
      <c r="AF1167" s="155"/>
      <c r="AG1167" s="155"/>
      <c r="AH1167" s="155"/>
      <c r="AI1167" s="155"/>
      <c r="AJ1167" s="155"/>
      <c r="AK1167" s="155"/>
      <c r="AL1167" s="155"/>
      <c r="AM1167" s="155"/>
      <c r="AN1167" s="155"/>
      <c r="AO1167" s="155"/>
      <c r="AP1167" s="155"/>
      <c r="AQ1167" s="155"/>
      <c r="AR1167" s="155"/>
      <c r="AS1167" s="155"/>
      <c r="AT1167" s="155"/>
      <c r="AU1167" s="155"/>
      <c r="AV1167" s="155"/>
      <c r="AW1167" s="155"/>
      <c r="AX1167" s="155"/>
    </row>
    <row r="1168" spans="4:50">
      <c r="D1168" s="155"/>
      <c r="E1168" s="155"/>
      <c r="F1168" s="155"/>
      <c r="G1168" s="155"/>
      <c r="H1168" s="155"/>
      <c r="I1168" s="155"/>
      <c r="J1168" s="155"/>
      <c r="K1168" s="155"/>
      <c r="L1168" s="155"/>
      <c r="M1168" s="155"/>
      <c r="N1168" s="155"/>
      <c r="O1168" s="155"/>
      <c r="P1168" s="155"/>
      <c r="Q1168" s="155"/>
      <c r="R1168" s="155"/>
      <c r="S1168" s="155"/>
      <c r="T1168" s="155"/>
      <c r="U1168" s="155"/>
      <c r="V1168" s="155"/>
      <c r="W1168" s="155"/>
      <c r="X1168" s="155"/>
      <c r="Y1168" s="155"/>
      <c r="Z1168" s="155"/>
      <c r="AA1168" s="155"/>
      <c r="AB1168" s="155"/>
      <c r="AC1168" s="155"/>
      <c r="AD1168" s="155"/>
      <c r="AE1168" s="155"/>
      <c r="AF1168" s="155"/>
      <c r="AG1168" s="155"/>
      <c r="AH1168" s="155"/>
      <c r="AI1168" s="155"/>
      <c r="AJ1168" s="155"/>
      <c r="AK1168" s="155"/>
      <c r="AL1168" s="155"/>
      <c r="AM1168" s="155"/>
      <c r="AN1168" s="155"/>
      <c r="AO1168" s="155"/>
      <c r="AP1168" s="155"/>
      <c r="AQ1168" s="155"/>
      <c r="AR1168" s="155"/>
      <c r="AS1168" s="155"/>
      <c r="AT1168" s="155"/>
      <c r="AU1168" s="155"/>
      <c r="AV1168" s="155"/>
      <c r="AW1168" s="155"/>
      <c r="AX1168" s="155"/>
    </row>
    <row r="1169" spans="4:50">
      <c r="D1169" s="155"/>
      <c r="E1169" s="155"/>
      <c r="F1169" s="155"/>
      <c r="G1169" s="155"/>
      <c r="H1169" s="155"/>
      <c r="I1169" s="155"/>
      <c r="J1169" s="155"/>
      <c r="K1169" s="155"/>
      <c r="L1169" s="155"/>
      <c r="M1169" s="155"/>
      <c r="N1169" s="155"/>
      <c r="O1169" s="155"/>
      <c r="P1169" s="155"/>
      <c r="Q1169" s="155"/>
      <c r="R1169" s="155"/>
      <c r="S1169" s="155"/>
      <c r="T1169" s="155"/>
      <c r="U1169" s="155"/>
      <c r="V1169" s="155"/>
      <c r="W1169" s="155"/>
      <c r="X1169" s="155"/>
      <c r="Y1169" s="155"/>
      <c r="Z1169" s="155"/>
      <c r="AA1169" s="155"/>
      <c r="AB1169" s="155"/>
      <c r="AC1169" s="155"/>
      <c r="AD1169" s="155"/>
      <c r="AE1169" s="155"/>
      <c r="AF1169" s="155"/>
      <c r="AG1169" s="155"/>
      <c r="AH1169" s="155"/>
      <c r="AI1169" s="155"/>
      <c r="AJ1169" s="155"/>
      <c r="AK1169" s="155"/>
      <c r="AL1169" s="155"/>
      <c r="AM1169" s="155"/>
      <c r="AN1169" s="155"/>
      <c r="AO1169" s="155"/>
      <c r="AP1169" s="155"/>
      <c r="AQ1169" s="155"/>
      <c r="AR1169" s="155"/>
      <c r="AS1169" s="155"/>
      <c r="AT1169" s="155"/>
      <c r="AU1169" s="155"/>
      <c r="AV1169" s="155"/>
      <c r="AW1169" s="155"/>
      <c r="AX1169" s="155"/>
    </row>
    <row r="1170" spans="4:50">
      <c r="D1170" s="155"/>
      <c r="E1170" s="155"/>
      <c r="F1170" s="155"/>
      <c r="G1170" s="155"/>
      <c r="H1170" s="155"/>
      <c r="I1170" s="155"/>
      <c r="J1170" s="155"/>
      <c r="K1170" s="155"/>
      <c r="L1170" s="155"/>
      <c r="M1170" s="155"/>
      <c r="N1170" s="155"/>
      <c r="O1170" s="155"/>
      <c r="P1170" s="155"/>
      <c r="Q1170" s="155"/>
      <c r="R1170" s="155"/>
      <c r="S1170" s="155"/>
      <c r="T1170" s="155"/>
      <c r="U1170" s="155"/>
      <c r="V1170" s="155"/>
      <c r="W1170" s="155"/>
      <c r="X1170" s="155"/>
      <c r="Y1170" s="155"/>
      <c r="Z1170" s="155"/>
      <c r="AA1170" s="155"/>
      <c r="AB1170" s="155"/>
      <c r="AC1170" s="155"/>
      <c r="AD1170" s="155"/>
      <c r="AE1170" s="155"/>
      <c r="AF1170" s="155"/>
      <c r="AG1170" s="155"/>
      <c r="AH1170" s="155"/>
      <c r="AI1170" s="155"/>
      <c r="AJ1170" s="155"/>
      <c r="AK1170" s="155"/>
      <c r="AL1170" s="155"/>
      <c r="AM1170" s="155"/>
      <c r="AN1170" s="155"/>
      <c r="AO1170" s="155"/>
      <c r="AP1170" s="155"/>
      <c r="AQ1170" s="155"/>
      <c r="AR1170" s="155"/>
      <c r="AS1170" s="155"/>
      <c r="AT1170" s="155"/>
      <c r="AU1170" s="155"/>
      <c r="AV1170" s="155"/>
      <c r="AW1170" s="155"/>
      <c r="AX1170" s="155"/>
    </row>
    <row r="1171" spans="4:50">
      <c r="D1171" s="155"/>
      <c r="E1171" s="155"/>
      <c r="F1171" s="155"/>
      <c r="G1171" s="155"/>
      <c r="H1171" s="155"/>
      <c r="I1171" s="155"/>
      <c r="J1171" s="155"/>
      <c r="K1171" s="155"/>
      <c r="L1171" s="155"/>
      <c r="M1171" s="155"/>
      <c r="N1171" s="155"/>
      <c r="O1171" s="155"/>
      <c r="P1171" s="155"/>
      <c r="Q1171" s="155"/>
      <c r="R1171" s="155"/>
      <c r="S1171" s="155"/>
      <c r="T1171" s="155"/>
      <c r="U1171" s="155"/>
      <c r="V1171" s="155"/>
      <c r="W1171" s="155"/>
      <c r="X1171" s="155"/>
      <c r="Y1171" s="155"/>
      <c r="Z1171" s="155"/>
      <c r="AA1171" s="155"/>
      <c r="AB1171" s="155"/>
      <c r="AC1171" s="155"/>
      <c r="AD1171" s="155"/>
      <c r="AE1171" s="155"/>
      <c r="AF1171" s="155"/>
      <c r="AG1171" s="155"/>
      <c r="AH1171" s="155"/>
      <c r="AI1171" s="155"/>
      <c r="AJ1171" s="155"/>
      <c r="AK1171" s="155"/>
      <c r="AL1171" s="155"/>
      <c r="AM1171" s="155"/>
      <c r="AN1171" s="155"/>
      <c r="AO1171" s="155"/>
      <c r="AP1171" s="155"/>
      <c r="AQ1171" s="155"/>
      <c r="AR1171" s="155"/>
      <c r="AS1171" s="155"/>
      <c r="AT1171" s="155"/>
      <c r="AU1171" s="155"/>
      <c r="AV1171" s="155"/>
      <c r="AW1171" s="155"/>
      <c r="AX1171" s="155"/>
    </row>
    <row r="1172" spans="4:50">
      <c r="D1172" s="155"/>
      <c r="E1172" s="155"/>
      <c r="F1172" s="155"/>
      <c r="G1172" s="155"/>
      <c r="H1172" s="155"/>
      <c r="I1172" s="155"/>
      <c r="J1172" s="155"/>
      <c r="K1172" s="155"/>
      <c r="L1172" s="155"/>
      <c r="M1172" s="155"/>
      <c r="N1172" s="155"/>
      <c r="O1172" s="155"/>
      <c r="P1172" s="155"/>
      <c r="Q1172" s="155"/>
      <c r="R1172" s="155"/>
      <c r="S1172" s="155"/>
      <c r="T1172" s="155"/>
      <c r="U1172" s="155"/>
      <c r="V1172" s="155"/>
      <c r="W1172" s="155"/>
      <c r="X1172" s="155"/>
      <c r="Y1172" s="155"/>
      <c r="Z1172" s="155"/>
      <c r="AA1172" s="155"/>
      <c r="AB1172" s="155"/>
      <c r="AC1172" s="155"/>
      <c r="AD1172" s="155"/>
      <c r="AE1172" s="155"/>
      <c r="AF1172" s="155"/>
      <c r="AG1172" s="155"/>
      <c r="AH1172" s="155"/>
      <c r="AI1172" s="155"/>
      <c r="AJ1172" s="155"/>
      <c r="AK1172" s="155"/>
      <c r="AL1172" s="155"/>
      <c r="AM1172" s="155"/>
      <c r="AN1172" s="155"/>
      <c r="AO1172" s="155"/>
      <c r="AP1172" s="155"/>
      <c r="AQ1172" s="155"/>
      <c r="AR1172" s="155"/>
      <c r="AS1172" s="155"/>
      <c r="AT1172" s="155"/>
      <c r="AU1172" s="155"/>
      <c r="AV1172" s="155"/>
      <c r="AW1172" s="155"/>
      <c r="AX1172" s="155"/>
    </row>
    <row r="1173" spans="4:50">
      <c r="D1173" s="155"/>
      <c r="E1173" s="155"/>
      <c r="F1173" s="155"/>
      <c r="G1173" s="155"/>
      <c r="H1173" s="155"/>
      <c r="I1173" s="155"/>
      <c r="J1173" s="155"/>
      <c r="K1173" s="155"/>
      <c r="L1173" s="155"/>
      <c r="M1173" s="155"/>
      <c r="N1173" s="155"/>
      <c r="O1173" s="155"/>
      <c r="P1173" s="155"/>
      <c r="Q1173" s="155"/>
      <c r="R1173" s="155"/>
      <c r="S1173" s="155"/>
      <c r="T1173" s="155"/>
      <c r="U1173" s="155"/>
      <c r="V1173" s="155"/>
      <c r="W1173" s="155"/>
      <c r="X1173" s="155"/>
      <c r="Y1173" s="155"/>
      <c r="Z1173" s="155"/>
      <c r="AA1173" s="155"/>
      <c r="AB1173" s="155"/>
      <c r="AC1173" s="155"/>
      <c r="AD1173" s="155"/>
      <c r="AE1173" s="155"/>
      <c r="AF1173" s="155"/>
      <c r="AG1173" s="155"/>
      <c r="AH1173" s="155"/>
      <c r="AI1173" s="155"/>
      <c r="AJ1173" s="155"/>
      <c r="AK1173" s="155"/>
      <c r="AL1173" s="155"/>
      <c r="AM1173" s="155"/>
      <c r="AN1173" s="155"/>
      <c r="AO1173" s="155"/>
      <c r="AP1173" s="155"/>
      <c r="AQ1173" s="155"/>
      <c r="AR1173" s="155"/>
      <c r="AS1173" s="155"/>
      <c r="AT1173" s="155"/>
      <c r="AU1173" s="155"/>
      <c r="AV1173" s="155"/>
      <c r="AW1173" s="155"/>
      <c r="AX1173" s="155"/>
    </row>
    <row r="1174" spans="4:50">
      <c r="D1174" s="155"/>
      <c r="E1174" s="155"/>
      <c r="F1174" s="155"/>
      <c r="G1174" s="155"/>
      <c r="H1174" s="155"/>
      <c r="I1174" s="155"/>
      <c r="J1174" s="155"/>
      <c r="K1174" s="155"/>
      <c r="L1174" s="155"/>
      <c r="M1174" s="155"/>
      <c r="N1174" s="155"/>
      <c r="O1174" s="155"/>
      <c r="P1174" s="155"/>
      <c r="Q1174" s="155"/>
      <c r="R1174" s="155"/>
      <c r="S1174" s="155"/>
      <c r="T1174" s="155"/>
      <c r="U1174" s="155"/>
      <c r="V1174" s="155"/>
      <c r="W1174" s="155"/>
      <c r="X1174" s="155"/>
      <c r="Y1174" s="155"/>
      <c r="Z1174" s="155"/>
      <c r="AA1174" s="155"/>
      <c r="AB1174" s="155"/>
      <c r="AC1174" s="155"/>
      <c r="AD1174" s="155"/>
      <c r="AE1174" s="155"/>
      <c r="AF1174" s="155"/>
      <c r="AG1174" s="155"/>
      <c r="AH1174" s="155"/>
      <c r="AI1174" s="155"/>
      <c r="AJ1174" s="155"/>
      <c r="AK1174" s="155"/>
      <c r="AL1174" s="155"/>
      <c r="AM1174" s="155"/>
      <c r="AN1174" s="155"/>
      <c r="AO1174" s="155"/>
      <c r="AP1174" s="155"/>
      <c r="AQ1174" s="155"/>
      <c r="AR1174" s="155"/>
      <c r="AS1174" s="155"/>
      <c r="AT1174" s="155"/>
      <c r="AU1174" s="155"/>
      <c r="AV1174" s="155"/>
      <c r="AW1174" s="155"/>
      <c r="AX1174" s="155"/>
    </row>
    <row r="1175" spans="4:50">
      <c r="D1175" s="155"/>
      <c r="E1175" s="155"/>
      <c r="F1175" s="155"/>
      <c r="G1175" s="155"/>
      <c r="H1175" s="155"/>
      <c r="I1175" s="155"/>
      <c r="J1175" s="155"/>
      <c r="K1175" s="155"/>
      <c r="L1175" s="155"/>
      <c r="M1175" s="155"/>
      <c r="N1175" s="155"/>
      <c r="O1175" s="155"/>
      <c r="P1175" s="155"/>
      <c r="Q1175" s="155"/>
      <c r="R1175" s="155"/>
      <c r="S1175" s="155"/>
      <c r="T1175" s="155"/>
      <c r="U1175" s="155"/>
      <c r="V1175" s="155"/>
      <c r="W1175" s="155"/>
      <c r="X1175" s="155"/>
      <c r="Y1175" s="155"/>
      <c r="Z1175" s="155"/>
      <c r="AA1175" s="155"/>
      <c r="AB1175" s="155"/>
      <c r="AC1175" s="155"/>
      <c r="AD1175" s="155"/>
      <c r="AE1175" s="155"/>
      <c r="AF1175" s="155"/>
      <c r="AG1175" s="155"/>
      <c r="AH1175" s="155"/>
      <c r="AI1175" s="155"/>
      <c r="AJ1175" s="155"/>
      <c r="AK1175" s="155"/>
      <c r="AL1175" s="155"/>
      <c r="AM1175" s="155"/>
      <c r="AN1175" s="155"/>
      <c r="AO1175" s="155"/>
      <c r="AP1175" s="155"/>
      <c r="AQ1175" s="155"/>
      <c r="AR1175" s="155"/>
      <c r="AS1175" s="155"/>
      <c r="AT1175" s="155"/>
      <c r="AU1175" s="155"/>
      <c r="AV1175" s="155"/>
      <c r="AW1175" s="155"/>
      <c r="AX1175" s="155"/>
    </row>
    <row r="1176" spans="4:50">
      <c r="D1176" s="155"/>
      <c r="E1176" s="155"/>
      <c r="F1176" s="155"/>
      <c r="G1176" s="155"/>
      <c r="H1176" s="155"/>
      <c r="I1176" s="155"/>
      <c r="J1176" s="155"/>
      <c r="K1176" s="155"/>
      <c r="L1176" s="155"/>
      <c r="M1176" s="155"/>
      <c r="N1176" s="155"/>
      <c r="O1176" s="155"/>
      <c r="P1176" s="155"/>
      <c r="Q1176" s="155"/>
      <c r="R1176" s="155"/>
      <c r="S1176" s="155"/>
      <c r="T1176" s="155"/>
      <c r="U1176" s="155"/>
      <c r="V1176" s="155"/>
      <c r="W1176" s="155"/>
      <c r="X1176" s="155"/>
      <c r="Y1176" s="155"/>
      <c r="Z1176" s="155"/>
      <c r="AA1176" s="155"/>
      <c r="AB1176" s="155"/>
      <c r="AC1176" s="155"/>
      <c r="AD1176" s="155"/>
      <c r="AE1176" s="155"/>
      <c r="AF1176" s="155"/>
      <c r="AG1176" s="155"/>
      <c r="AH1176" s="155"/>
      <c r="AI1176" s="155"/>
      <c r="AJ1176" s="155"/>
      <c r="AK1176" s="155"/>
      <c r="AL1176" s="155"/>
      <c r="AM1176" s="155"/>
      <c r="AN1176" s="155"/>
      <c r="AO1176" s="155"/>
      <c r="AP1176" s="155"/>
      <c r="AQ1176" s="155"/>
      <c r="AR1176" s="155"/>
      <c r="AS1176" s="155"/>
      <c r="AT1176" s="155"/>
      <c r="AU1176" s="155"/>
      <c r="AV1176" s="155"/>
      <c r="AW1176" s="155"/>
      <c r="AX1176" s="155"/>
    </row>
    <row r="1177" spans="4:50">
      <c r="D1177" s="155"/>
      <c r="E1177" s="155"/>
      <c r="F1177" s="155"/>
      <c r="G1177" s="155"/>
      <c r="H1177" s="155"/>
      <c r="I1177" s="155"/>
      <c r="J1177" s="155"/>
      <c r="K1177" s="155"/>
      <c r="L1177" s="155"/>
      <c r="M1177" s="155"/>
      <c r="N1177" s="155"/>
      <c r="O1177" s="155"/>
      <c r="P1177" s="155"/>
      <c r="Q1177" s="155"/>
      <c r="R1177" s="155"/>
      <c r="S1177" s="155"/>
      <c r="T1177" s="155"/>
      <c r="U1177" s="155"/>
      <c r="V1177" s="155"/>
      <c r="W1177" s="155"/>
      <c r="X1177" s="155"/>
      <c r="Y1177" s="155"/>
      <c r="Z1177" s="155"/>
      <c r="AA1177" s="155"/>
      <c r="AB1177" s="155"/>
      <c r="AC1177" s="155"/>
      <c r="AD1177" s="155"/>
      <c r="AE1177" s="155"/>
      <c r="AF1177" s="155"/>
      <c r="AG1177" s="155"/>
      <c r="AH1177" s="155"/>
      <c r="AI1177" s="155"/>
      <c r="AJ1177" s="155"/>
      <c r="AK1177" s="155"/>
      <c r="AL1177" s="155"/>
      <c r="AM1177" s="155"/>
      <c r="AN1177" s="155"/>
      <c r="AO1177" s="155"/>
      <c r="AP1177" s="155"/>
      <c r="AQ1177" s="155"/>
      <c r="AR1177" s="155"/>
      <c r="AS1177" s="155"/>
      <c r="AT1177" s="155"/>
      <c r="AU1177" s="155"/>
      <c r="AV1177" s="155"/>
      <c r="AW1177" s="155"/>
      <c r="AX1177" s="155"/>
    </row>
    <row r="1178" spans="4:50">
      <c r="D1178" s="155"/>
      <c r="E1178" s="155"/>
      <c r="F1178" s="155"/>
      <c r="G1178" s="155"/>
      <c r="H1178" s="155"/>
      <c r="I1178" s="155"/>
      <c r="J1178" s="155"/>
      <c r="K1178" s="155"/>
      <c r="L1178" s="155"/>
      <c r="M1178" s="155"/>
      <c r="N1178" s="155"/>
      <c r="O1178" s="155"/>
      <c r="P1178" s="155"/>
      <c r="Q1178" s="155"/>
      <c r="R1178" s="155"/>
      <c r="S1178" s="155"/>
      <c r="T1178" s="155"/>
      <c r="U1178" s="155"/>
      <c r="V1178" s="155"/>
      <c r="W1178" s="155"/>
      <c r="X1178" s="155"/>
      <c r="Y1178" s="155"/>
      <c r="Z1178" s="155"/>
      <c r="AA1178" s="155"/>
      <c r="AB1178" s="155"/>
      <c r="AC1178" s="155"/>
      <c r="AD1178" s="155"/>
      <c r="AE1178" s="155"/>
      <c r="AF1178" s="155"/>
      <c r="AG1178" s="155"/>
      <c r="AH1178" s="155"/>
      <c r="AI1178" s="155"/>
      <c r="AJ1178" s="155"/>
      <c r="AK1178" s="155"/>
      <c r="AL1178" s="155"/>
      <c r="AM1178" s="155"/>
      <c r="AN1178" s="155"/>
      <c r="AO1178" s="155"/>
      <c r="AP1178" s="155"/>
      <c r="AQ1178" s="155"/>
      <c r="AR1178" s="155"/>
      <c r="AS1178" s="155"/>
      <c r="AT1178" s="155"/>
      <c r="AU1178" s="155"/>
      <c r="AV1178" s="155"/>
      <c r="AW1178" s="155"/>
      <c r="AX1178" s="155"/>
    </row>
    <row r="1179" spans="4:50">
      <c r="D1179" s="155"/>
      <c r="E1179" s="155"/>
      <c r="F1179" s="155"/>
      <c r="G1179" s="155"/>
      <c r="H1179" s="155"/>
      <c r="I1179" s="155"/>
      <c r="J1179" s="155"/>
      <c r="K1179" s="155"/>
      <c r="L1179" s="155"/>
      <c r="M1179" s="155"/>
      <c r="N1179" s="155"/>
      <c r="O1179" s="155"/>
      <c r="P1179" s="155"/>
      <c r="Q1179" s="155"/>
      <c r="R1179" s="155"/>
      <c r="S1179" s="155"/>
      <c r="T1179" s="155"/>
      <c r="U1179" s="155"/>
      <c r="V1179" s="155"/>
      <c r="W1179" s="155"/>
      <c r="X1179" s="155"/>
      <c r="Y1179" s="155"/>
      <c r="Z1179" s="155"/>
      <c r="AA1179" s="155"/>
      <c r="AB1179" s="155"/>
      <c r="AC1179" s="155"/>
      <c r="AD1179" s="155"/>
      <c r="AE1179" s="155"/>
      <c r="AF1179" s="155"/>
      <c r="AG1179" s="155"/>
      <c r="AH1179" s="155"/>
      <c r="AI1179" s="155"/>
      <c r="AJ1179" s="155"/>
      <c r="AK1179" s="155"/>
      <c r="AL1179" s="155"/>
      <c r="AM1179" s="155"/>
      <c r="AN1179" s="155"/>
      <c r="AO1179" s="155"/>
      <c r="AP1179" s="155"/>
      <c r="AQ1179" s="155"/>
      <c r="AR1179" s="155"/>
      <c r="AS1179" s="155"/>
      <c r="AT1179" s="155"/>
      <c r="AU1179" s="155"/>
      <c r="AV1179" s="155"/>
      <c r="AW1179" s="155"/>
      <c r="AX1179" s="155"/>
    </row>
    <row r="1180" spans="4:50">
      <c r="D1180" s="155"/>
      <c r="E1180" s="155"/>
      <c r="F1180" s="155"/>
      <c r="G1180" s="155"/>
      <c r="H1180" s="155"/>
      <c r="I1180" s="155"/>
      <c r="J1180" s="155"/>
      <c r="K1180" s="155"/>
      <c r="L1180" s="155"/>
      <c r="M1180" s="155"/>
      <c r="N1180" s="155"/>
      <c r="O1180" s="155"/>
      <c r="P1180" s="155"/>
      <c r="Q1180" s="155"/>
      <c r="R1180" s="155"/>
      <c r="S1180" s="155"/>
      <c r="T1180" s="155"/>
      <c r="U1180" s="155"/>
      <c r="V1180" s="155"/>
      <c r="W1180" s="155"/>
      <c r="X1180" s="155"/>
      <c r="Y1180" s="155"/>
      <c r="Z1180" s="155"/>
      <c r="AA1180" s="155"/>
      <c r="AB1180" s="155"/>
      <c r="AC1180" s="155"/>
      <c r="AD1180" s="155"/>
      <c r="AE1180" s="155"/>
      <c r="AF1180" s="155"/>
      <c r="AG1180" s="155"/>
      <c r="AH1180" s="155"/>
      <c r="AI1180" s="155"/>
      <c r="AJ1180" s="155"/>
      <c r="AK1180" s="155"/>
      <c r="AL1180" s="155"/>
      <c r="AM1180" s="155"/>
      <c r="AN1180" s="155"/>
      <c r="AO1180" s="155"/>
      <c r="AP1180" s="155"/>
      <c r="AQ1180" s="155"/>
      <c r="AR1180" s="155"/>
      <c r="AS1180" s="155"/>
      <c r="AT1180" s="155"/>
      <c r="AU1180" s="155"/>
      <c r="AV1180" s="155"/>
      <c r="AW1180" s="155"/>
      <c r="AX1180" s="155"/>
    </row>
    <row r="1181" spans="4:50">
      <c r="D1181" s="155"/>
      <c r="E1181" s="155"/>
      <c r="F1181" s="155"/>
      <c r="G1181" s="155"/>
      <c r="H1181" s="155"/>
      <c r="I1181" s="155"/>
      <c r="J1181" s="155"/>
      <c r="K1181" s="155"/>
      <c r="L1181" s="155"/>
      <c r="M1181" s="155"/>
      <c r="N1181" s="155"/>
      <c r="O1181" s="155"/>
      <c r="P1181" s="155"/>
      <c r="Q1181" s="155"/>
      <c r="R1181" s="155"/>
      <c r="S1181" s="155"/>
      <c r="T1181" s="155"/>
      <c r="U1181" s="155"/>
      <c r="V1181" s="155"/>
      <c r="W1181" s="155"/>
      <c r="X1181" s="155"/>
      <c r="Y1181" s="155"/>
      <c r="Z1181" s="155"/>
      <c r="AA1181" s="155"/>
      <c r="AB1181" s="155"/>
      <c r="AC1181" s="155"/>
      <c r="AD1181" s="155"/>
      <c r="AE1181" s="155"/>
      <c r="AF1181" s="155"/>
      <c r="AG1181" s="155"/>
      <c r="AH1181" s="155"/>
      <c r="AI1181" s="155"/>
      <c r="AJ1181" s="155"/>
      <c r="AK1181" s="155"/>
      <c r="AL1181" s="155"/>
      <c r="AM1181" s="155"/>
      <c r="AN1181" s="155"/>
      <c r="AO1181" s="155"/>
      <c r="AP1181" s="155"/>
      <c r="AQ1181" s="155"/>
      <c r="AR1181" s="155"/>
      <c r="AS1181" s="155"/>
      <c r="AT1181" s="155"/>
      <c r="AU1181" s="155"/>
      <c r="AV1181" s="155"/>
      <c r="AW1181" s="155"/>
      <c r="AX1181" s="155"/>
    </row>
    <row r="1182" spans="4:50">
      <c r="D1182" s="155"/>
      <c r="E1182" s="155"/>
      <c r="F1182" s="155"/>
      <c r="G1182" s="155"/>
      <c r="H1182" s="155"/>
      <c r="I1182" s="155"/>
      <c r="J1182" s="155"/>
      <c r="K1182" s="155"/>
      <c r="L1182" s="155"/>
      <c r="M1182" s="155"/>
      <c r="N1182" s="155"/>
      <c r="O1182" s="155"/>
      <c r="P1182" s="155"/>
      <c r="Q1182" s="155"/>
      <c r="R1182" s="155"/>
      <c r="S1182" s="155"/>
      <c r="T1182" s="155"/>
      <c r="U1182" s="155"/>
      <c r="V1182" s="155"/>
      <c r="W1182" s="155"/>
      <c r="X1182" s="155"/>
      <c r="Y1182" s="155"/>
      <c r="Z1182" s="155"/>
      <c r="AA1182" s="155"/>
      <c r="AB1182" s="155"/>
      <c r="AC1182" s="155"/>
      <c r="AD1182" s="155"/>
      <c r="AE1182" s="155"/>
      <c r="AF1182" s="155"/>
      <c r="AG1182" s="155"/>
      <c r="AH1182" s="155"/>
      <c r="AI1182" s="155"/>
      <c r="AJ1182" s="155"/>
      <c r="AK1182" s="155"/>
      <c r="AL1182" s="155"/>
      <c r="AM1182" s="155"/>
      <c r="AN1182" s="155"/>
      <c r="AO1182" s="155"/>
      <c r="AP1182" s="155"/>
      <c r="AQ1182" s="155"/>
      <c r="AR1182" s="155"/>
      <c r="AS1182" s="155"/>
      <c r="AT1182" s="155"/>
      <c r="AU1182" s="155"/>
      <c r="AV1182" s="155"/>
      <c r="AW1182" s="155"/>
      <c r="AX1182" s="155"/>
    </row>
    <row r="1183" spans="4:50">
      <c r="D1183" s="155"/>
      <c r="E1183" s="155"/>
      <c r="F1183" s="155"/>
      <c r="G1183" s="155"/>
      <c r="H1183" s="155"/>
      <c r="I1183" s="155"/>
      <c r="J1183" s="155"/>
      <c r="K1183" s="155"/>
      <c r="L1183" s="155"/>
      <c r="M1183" s="155"/>
      <c r="N1183" s="155"/>
      <c r="O1183" s="155"/>
      <c r="P1183" s="155"/>
      <c r="Q1183" s="155"/>
      <c r="R1183" s="155"/>
      <c r="S1183" s="155"/>
      <c r="T1183" s="155"/>
      <c r="U1183" s="155"/>
      <c r="V1183" s="155"/>
      <c r="W1183" s="155"/>
      <c r="X1183" s="155"/>
      <c r="Y1183" s="155"/>
      <c r="Z1183" s="155"/>
      <c r="AA1183" s="155"/>
      <c r="AB1183" s="155"/>
      <c r="AC1183" s="155"/>
      <c r="AD1183" s="155"/>
      <c r="AE1183" s="155"/>
      <c r="AF1183" s="155"/>
      <c r="AG1183" s="155"/>
      <c r="AH1183" s="155"/>
      <c r="AI1183" s="155"/>
      <c r="AJ1183" s="155"/>
      <c r="AK1183" s="155"/>
      <c r="AL1183" s="155"/>
      <c r="AM1183" s="155"/>
      <c r="AN1183" s="155"/>
      <c r="AO1183" s="155"/>
      <c r="AP1183" s="155"/>
      <c r="AQ1183" s="155"/>
      <c r="AR1183" s="155"/>
      <c r="AS1183" s="155"/>
      <c r="AT1183" s="155"/>
      <c r="AU1183" s="155"/>
      <c r="AV1183" s="155"/>
      <c r="AW1183" s="155"/>
      <c r="AX1183" s="155"/>
    </row>
    <row r="1184" spans="4:50">
      <c r="D1184" s="155"/>
      <c r="E1184" s="155"/>
      <c r="F1184" s="155"/>
      <c r="G1184" s="155"/>
      <c r="H1184" s="155"/>
      <c r="I1184" s="155"/>
      <c r="J1184" s="155"/>
      <c r="K1184" s="155"/>
      <c r="L1184" s="155"/>
      <c r="M1184" s="155"/>
      <c r="N1184" s="155"/>
      <c r="O1184" s="155"/>
      <c r="P1184" s="155"/>
      <c r="Q1184" s="155"/>
      <c r="R1184" s="155"/>
      <c r="S1184" s="155"/>
      <c r="T1184" s="155"/>
      <c r="U1184" s="155"/>
      <c r="V1184" s="155"/>
      <c r="W1184" s="155"/>
      <c r="X1184" s="155"/>
      <c r="Y1184" s="155"/>
      <c r="Z1184" s="155"/>
      <c r="AA1184" s="155"/>
      <c r="AB1184" s="155"/>
      <c r="AC1184" s="155"/>
      <c r="AD1184" s="155"/>
      <c r="AE1184" s="155"/>
      <c r="AF1184" s="155"/>
      <c r="AG1184" s="155"/>
      <c r="AH1184" s="155"/>
      <c r="AI1184" s="155"/>
      <c r="AJ1184" s="155"/>
      <c r="AK1184" s="155"/>
      <c r="AL1184" s="155"/>
      <c r="AM1184" s="155"/>
      <c r="AN1184" s="155"/>
      <c r="AO1184" s="155"/>
      <c r="AP1184" s="155"/>
      <c r="AQ1184" s="155"/>
      <c r="AR1184" s="155"/>
      <c r="AS1184" s="155"/>
      <c r="AT1184" s="155"/>
      <c r="AU1184" s="155"/>
      <c r="AV1184" s="155"/>
      <c r="AW1184" s="155"/>
      <c r="AX1184" s="155"/>
    </row>
    <row r="1185" spans="4:50">
      <c r="D1185" s="155"/>
      <c r="E1185" s="155"/>
      <c r="F1185" s="155"/>
      <c r="G1185" s="155"/>
      <c r="H1185" s="155"/>
      <c r="I1185" s="155"/>
      <c r="J1185" s="155"/>
      <c r="K1185" s="155"/>
      <c r="L1185" s="155"/>
      <c r="M1185" s="155"/>
      <c r="N1185" s="155"/>
      <c r="O1185" s="155"/>
      <c r="P1185" s="155"/>
      <c r="Q1185" s="155"/>
      <c r="R1185" s="155"/>
      <c r="S1185" s="155"/>
      <c r="T1185" s="155"/>
      <c r="U1185" s="155"/>
      <c r="V1185" s="155"/>
      <c r="W1185" s="155"/>
      <c r="X1185" s="155"/>
      <c r="Y1185" s="155"/>
      <c r="Z1185" s="155"/>
      <c r="AA1185" s="155"/>
      <c r="AB1185" s="155"/>
      <c r="AC1185" s="155"/>
      <c r="AD1185" s="155"/>
      <c r="AE1185" s="155"/>
      <c r="AF1185" s="155"/>
      <c r="AG1185" s="155"/>
      <c r="AH1185" s="155"/>
      <c r="AI1185" s="155"/>
      <c r="AJ1185" s="155"/>
      <c r="AK1185" s="155"/>
      <c r="AL1185" s="155"/>
      <c r="AM1185" s="155"/>
      <c r="AN1185" s="155"/>
      <c r="AO1185" s="155"/>
      <c r="AP1185" s="155"/>
      <c r="AQ1185" s="155"/>
      <c r="AR1185" s="155"/>
      <c r="AS1185" s="155"/>
      <c r="AT1185" s="155"/>
      <c r="AU1185" s="155"/>
      <c r="AV1185" s="155"/>
      <c r="AW1185" s="155"/>
      <c r="AX1185" s="155"/>
    </row>
    <row r="1186" spans="4:50">
      <c r="D1186" s="155"/>
      <c r="E1186" s="155"/>
      <c r="F1186" s="155"/>
      <c r="G1186" s="155"/>
      <c r="H1186" s="155"/>
      <c r="I1186" s="155"/>
      <c r="J1186" s="155"/>
      <c r="K1186" s="155"/>
      <c r="L1186" s="155"/>
      <c r="M1186" s="155"/>
      <c r="N1186" s="155"/>
      <c r="O1186" s="155"/>
      <c r="P1186" s="155"/>
      <c r="Q1186" s="155"/>
      <c r="R1186" s="155"/>
      <c r="S1186" s="155"/>
      <c r="T1186" s="155"/>
      <c r="U1186" s="155"/>
      <c r="V1186" s="155"/>
      <c r="W1186" s="155"/>
      <c r="X1186" s="155"/>
      <c r="Y1186" s="155"/>
      <c r="Z1186" s="155"/>
      <c r="AA1186" s="155"/>
      <c r="AB1186" s="155"/>
      <c r="AC1186" s="155"/>
      <c r="AD1186" s="155"/>
      <c r="AE1186" s="155"/>
      <c r="AF1186" s="155"/>
      <c r="AG1186" s="155"/>
      <c r="AH1186" s="155"/>
      <c r="AI1186" s="155"/>
      <c r="AJ1186" s="155"/>
      <c r="AK1186" s="155"/>
      <c r="AL1186" s="155"/>
      <c r="AM1186" s="155"/>
      <c r="AN1186" s="155"/>
      <c r="AO1186" s="155"/>
      <c r="AP1186" s="155"/>
      <c r="AQ1186" s="155"/>
      <c r="AR1186" s="155"/>
      <c r="AS1186" s="155"/>
      <c r="AT1186" s="155"/>
      <c r="AU1186" s="155"/>
      <c r="AV1186" s="155"/>
      <c r="AW1186" s="155"/>
      <c r="AX1186" s="155"/>
    </row>
    <row r="1187" spans="4:50">
      <c r="D1187" s="155"/>
      <c r="E1187" s="155"/>
      <c r="F1187" s="155"/>
      <c r="G1187" s="155"/>
      <c r="H1187" s="155"/>
      <c r="I1187" s="155"/>
      <c r="J1187" s="155"/>
      <c r="K1187" s="155"/>
      <c r="L1187" s="155"/>
      <c r="M1187" s="155"/>
      <c r="N1187" s="155"/>
      <c r="O1187" s="155"/>
      <c r="P1187" s="155"/>
      <c r="Q1187" s="155"/>
      <c r="R1187" s="155"/>
      <c r="S1187" s="155"/>
      <c r="T1187" s="155"/>
      <c r="U1187" s="155"/>
      <c r="V1187" s="155"/>
      <c r="W1187" s="155"/>
      <c r="X1187" s="155"/>
      <c r="Y1187" s="155"/>
      <c r="Z1187" s="155"/>
      <c r="AA1187" s="155"/>
      <c r="AB1187" s="155"/>
      <c r="AC1187" s="155"/>
      <c r="AD1187" s="155"/>
      <c r="AE1187" s="155"/>
      <c r="AF1187" s="155"/>
      <c r="AG1187" s="155"/>
      <c r="AH1187" s="155"/>
      <c r="AI1187" s="155"/>
      <c r="AJ1187" s="155"/>
      <c r="AK1187" s="155"/>
      <c r="AL1187" s="155"/>
      <c r="AM1187" s="155"/>
      <c r="AN1187" s="155"/>
      <c r="AO1187" s="155"/>
      <c r="AP1187" s="155"/>
      <c r="AQ1187" s="155"/>
      <c r="AR1187" s="155"/>
      <c r="AS1187" s="155"/>
      <c r="AT1187" s="155"/>
      <c r="AU1187" s="155"/>
      <c r="AV1187" s="155"/>
      <c r="AW1187" s="155"/>
      <c r="AX1187" s="155"/>
    </row>
    <row r="1188" spans="4:50">
      <c r="D1188" s="155"/>
      <c r="E1188" s="155"/>
      <c r="F1188" s="155"/>
      <c r="G1188" s="155"/>
      <c r="H1188" s="155"/>
      <c r="I1188" s="155"/>
      <c r="J1188" s="155"/>
      <c r="K1188" s="155"/>
      <c r="L1188" s="155"/>
      <c r="M1188" s="155"/>
      <c r="N1188" s="155"/>
      <c r="O1188" s="155"/>
      <c r="P1188" s="155"/>
      <c r="Q1188" s="155"/>
      <c r="R1188" s="155"/>
      <c r="S1188" s="155"/>
      <c r="T1188" s="155"/>
      <c r="U1188" s="155"/>
      <c r="V1188" s="155"/>
      <c r="W1188" s="155"/>
      <c r="X1188" s="155"/>
      <c r="Y1188" s="155"/>
      <c r="Z1188" s="155"/>
      <c r="AA1188" s="155"/>
      <c r="AB1188" s="155"/>
      <c r="AC1188" s="155"/>
      <c r="AD1188" s="155"/>
      <c r="AE1188" s="155"/>
      <c r="AF1188" s="155"/>
      <c r="AG1188" s="155"/>
      <c r="AH1188" s="155"/>
      <c r="AI1188" s="155"/>
      <c r="AJ1188" s="155"/>
      <c r="AK1188" s="155"/>
      <c r="AL1188" s="155"/>
      <c r="AM1188" s="155"/>
      <c r="AN1188" s="155"/>
      <c r="AO1188" s="155"/>
      <c r="AP1188" s="155"/>
      <c r="AQ1188" s="155"/>
      <c r="AR1188" s="155"/>
      <c r="AS1188" s="155"/>
      <c r="AT1188" s="155"/>
      <c r="AU1188" s="155"/>
      <c r="AV1188" s="155"/>
      <c r="AW1188" s="155"/>
      <c r="AX1188" s="155"/>
    </row>
    <row r="1189" spans="4:50">
      <c r="D1189" s="155"/>
      <c r="E1189" s="155"/>
      <c r="F1189" s="155"/>
      <c r="G1189" s="155"/>
      <c r="H1189" s="155"/>
      <c r="I1189" s="155"/>
      <c r="J1189" s="155"/>
      <c r="K1189" s="155"/>
      <c r="L1189" s="155"/>
      <c r="M1189" s="155"/>
      <c r="N1189" s="155"/>
      <c r="O1189" s="155"/>
      <c r="P1189" s="155"/>
      <c r="Q1189" s="155"/>
      <c r="R1189" s="155"/>
      <c r="S1189" s="155"/>
      <c r="T1189" s="155"/>
      <c r="U1189" s="155"/>
      <c r="V1189" s="155"/>
      <c r="W1189" s="155"/>
      <c r="X1189" s="155"/>
      <c r="Y1189" s="155"/>
      <c r="Z1189" s="155"/>
      <c r="AA1189" s="155"/>
      <c r="AB1189" s="155"/>
      <c r="AC1189" s="155"/>
      <c r="AD1189" s="155"/>
      <c r="AE1189" s="155"/>
      <c r="AF1189" s="155"/>
      <c r="AG1189" s="155"/>
      <c r="AH1189" s="155"/>
      <c r="AI1189" s="155"/>
      <c r="AJ1189" s="155"/>
      <c r="AK1189" s="155"/>
      <c r="AL1189" s="155"/>
      <c r="AM1189" s="155"/>
      <c r="AN1189" s="155"/>
      <c r="AO1189" s="155"/>
      <c r="AP1189" s="155"/>
      <c r="AQ1189" s="155"/>
      <c r="AR1189" s="155"/>
      <c r="AS1189" s="155"/>
      <c r="AT1189" s="155"/>
      <c r="AU1189" s="155"/>
      <c r="AV1189" s="155"/>
      <c r="AW1189" s="155"/>
      <c r="AX1189" s="155"/>
    </row>
    <row r="1190" spans="4:50">
      <c r="D1190" s="155"/>
      <c r="E1190" s="155"/>
      <c r="F1190" s="155"/>
      <c r="G1190" s="155"/>
      <c r="H1190" s="155"/>
      <c r="I1190" s="155"/>
      <c r="J1190" s="155"/>
      <c r="K1190" s="155"/>
      <c r="L1190" s="155"/>
      <c r="M1190" s="155"/>
      <c r="N1190" s="155"/>
      <c r="O1190" s="155"/>
      <c r="P1190" s="155"/>
      <c r="Q1190" s="155"/>
      <c r="R1190" s="155"/>
      <c r="S1190" s="155"/>
      <c r="T1190" s="155"/>
      <c r="U1190" s="155"/>
      <c r="V1190" s="155"/>
      <c r="W1190" s="155"/>
      <c r="X1190" s="155"/>
      <c r="Y1190" s="155"/>
      <c r="Z1190" s="155"/>
      <c r="AA1190" s="155"/>
      <c r="AB1190" s="155"/>
      <c r="AC1190" s="155"/>
      <c r="AD1190" s="155"/>
      <c r="AE1190" s="155"/>
      <c r="AF1190" s="155"/>
      <c r="AG1190" s="155"/>
      <c r="AH1190" s="155"/>
      <c r="AI1190" s="155"/>
      <c r="AJ1190" s="155"/>
      <c r="AK1190" s="155"/>
      <c r="AL1190" s="155"/>
      <c r="AM1190" s="155"/>
      <c r="AN1190" s="155"/>
      <c r="AO1190" s="155"/>
      <c r="AP1190" s="155"/>
      <c r="AQ1190" s="155"/>
      <c r="AR1190" s="155"/>
      <c r="AS1190" s="155"/>
      <c r="AT1190" s="155"/>
      <c r="AU1190" s="155"/>
      <c r="AV1190" s="155"/>
      <c r="AW1190" s="155"/>
      <c r="AX1190" s="155"/>
    </row>
    <row r="1191" spans="4:50">
      <c r="D1191" s="155"/>
      <c r="E1191" s="155"/>
      <c r="F1191" s="155"/>
      <c r="G1191" s="155"/>
      <c r="H1191" s="155"/>
      <c r="I1191" s="155"/>
      <c r="J1191" s="155"/>
      <c r="K1191" s="155"/>
      <c r="L1191" s="155"/>
      <c r="M1191" s="155"/>
      <c r="N1191" s="155"/>
      <c r="O1191" s="155"/>
      <c r="P1191" s="155"/>
      <c r="Q1191" s="155"/>
      <c r="R1191" s="155"/>
      <c r="S1191" s="155"/>
      <c r="T1191" s="155"/>
      <c r="U1191" s="155"/>
      <c r="V1191" s="155"/>
      <c r="W1191" s="155"/>
      <c r="X1191" s="155"/>
      <c r="Y1191" s="155"/>
      <c r="Z1191" s="155"/>
      <c r="AA1191" s="155"/>
      <c r="AB1191" s="155"/>
      <c r="AC1191" s="155"/>
      <c r="AD1191" s="155"/>
      <c r="AE1191" s="155"/>
      <c r="AF1191" s="155"/>
      <c r="AG1191" s="155"/>
      <c r="AH1191" s="155"/>
      <c r="AI1191" s="155"/>
      <c r="AJ1191" s="155"/>
      <c r="AK1191" s="155"/>
      <c r="AL1191" s="155"/>
      <c r="AM1191" s="155"/>
      <c r="AN1191" s="155"/>
      <c r="AO1191" s="155"/>
      <c r="AP1191" s="155"/>
      <c r="AQ1191" s="155"/>
      <c r="AR1191" s="155"/>
      <c r="AS1191" s="155"/>
      <c r="AT1191" s="155"/>
      <c r="AU1191" s="155"/>
      <c r="AV1191" s="155"/>
      <c r="AW1191" s="155"/>
      <c r="AX1191" s="155"/>
    </row>
    <row r="1192" spans="4:50">
      <c r="D1192" s="155"/>
      <c r="E1192" s="155"/>
      <c r="F1192" s="155"/>
      <c r="G1192" s="155"/>
      <c r="H1192" s="155"/>
      <c r="I1192" s="155"/>
      <c r="J1192" s="155"/>
      <c r="K1192" s="155"/>
      <c r="L1192" s="155"/>
      <c r="M1192" s="155"/>
      <c r="N1192" s="155"/>
      <c r="O1192" s="155"/>
      <c r="P1192" s="155"/>
      <c r="Q1192" s="155"/>
      <c r="R1192" s="155"/>
      <c r="S1192" s="155"/>
      <c r="T1192" s="155"/>
      <c r="U1192" s="155"/>
      <c r="V1192" s="155"/>
      <c r="W1192" s="155"/>
      <c r="X1192" s="155"/>
      <c r="Y1192" s="155"/>
      <c r="Z1192" s="155"/>
      <c r="AA1192" s="155"/>
      <c r="AB1192" s="155"/>
      <c r="AC1192" s="155"/>
      <c r="AD1192" s="155"/>
      <c r="AE1192" s="155"/>
      <c r="AF1192" s="155"/>
      <c r="AG1192" s="155"/>
      <c r="AH1192" s="155"/>
      <c r="AI1192" s="155"/>
      <c r="AJ1192" s="155"/>
      <c r="AK1192" s="155"/>
      <c r="AL1192" s="155"/>
      <c r="AM1192" s="155"/>
      <c r="AN1192" s="155"/>
      <c r="AO1192" s="155"/>
      <c r="AP1192" s="155"/>
      <c r="AQ1192" s="155"/>
      <c r="AR1192" s="155"/>
      <c r="AS1192" s="155"/>
      <c r="AT1192" s="155"/>
      <c r="AU1192" s="155"/>
      <c r="AV1192" s="155"/>
      <c r="AW1192" s="155"/>
      <c r="AX1192" s="155"/>
    </row>
    <row r="1193" spans="4:50">
      <c r="D1193" s="155"/>
      <c r="E1193" s="155"/>
      <c r="F1193" s="155"/>
      <c r="G1193" s="155"/>
      <c r="H1193" s="155"/>
      <c r="I1193" s="155"/>
      <c r="J1193" s="155"/>
      <c r="K1193" s="155"/>
      <c r="L1193" s="155"/>
      <c r="M1193" s="155"/>
      <c r="N1193" s="155"/>
      <c r="O1193" s="155"/>
      <c r="P1193" s="155"/>
      <c r="Q1193" s="155"/>
      <c r="R1193" s="155"/>
      <c r="S1193" s="155"/>
      <c r="T1193" s="155"/>
      <c r="U1193" s="155"/>
      <c r="V1193" s="155"/>
      <c r="W1193" s="155"/>
      <c r="X1193" s="155"/>
      <c r="Y1193" s="155"/>
      <c r="Z1193" s="155"/>
      <c r="AA1193" s="155"/>
      <c r="AB1193" s="155"/>
      <c r="AC1193" s="155"/>
      <c r="AD1193" s="155"/>
      <c r="AE1193" s="155"/>
      <c r="AF1193" s="155"/>
      <c r="AG1193" s="155"/>
      <c r="AH1193" s="155"/>
      <c r="AI1193" s="155"/>
      <c r="AJ1193" s="155"/>
      <c r="AK1193" s="155"/>
      <c r="AL1193" s="155"/>
      <c r="AM1193" s="155"/>
      <c r="AN1193" s="155"/>
      <c r="AO1193" s="155"/>
      <c r="AP1193" s="155"/>
      <c r="AQ1193" s="155"/>
      <c r="AR1193" s="155"/>
      <c r="AS1193" s="155"/>
      <c r="AT1193" s="155"/>
      <c r="AU1193" s="155"/>
      <c r="AV1193" s="155"/>
      <c r="AW1193" s="155"/>
      <c r="AX1193" s="155"/>
    </row>
    <row r="1194" spans="4:50">
      <c r="D1194" s="155"/>
      <c r="E1194" s="155"/>
      <c r="F1194" s="155"/>
      <c r="G1194" s="155"/>
      <c r="H1194" s="155"/>
      <c r="I1194" s="155"/>
      <c r="J1194" s="155"/>
      <c r="K1194" s="155"/>
      <c r="L1194" s="155"/>
      <c r="M1194" s="155"/>
      <c r="N1194" s="155"/>
      <c r="O1194" s="155"/>
      <c r="P1194" s="155"/>
      <c r="Q1194" s="155"/>
      <c r="R1194" s="155"/>
      <c r="S1194" s="155"/>
      <c r="T1194" s="155"/>
      <c r="U1194" s="155"/>
      <c r="V1194" s="155"/>
      <c r="W1194" s="155"/>
      <c r="X1194" s="155"/>
      <c r="Y1194" s="155"/>
      <c r="Z1194" s="155"/>
      <c r="AA1194" s="155"/>
      <c r="AB1194" s="155"/>
      <c r="AC1194" s="155"/>
      <c r="AD1194" s="155"/>
      <c r="AE1194" s="155"/>
      <c r="AF1194" s="155"/>
      <c r="AG1194" s="155"/>
      <c r="AH1194" s="155"/>
      <c r="AI1194" s="155"/>
      <c r="AJ1194" s="155"/>
      <c r="AK1194" s="155"/>
      <c r="AL1194" s="155"/>
      <c r="AM1194" s="155"/>
      <c r="AN1194" s="155"/>
      <c r="AO1194" s="155"/>
      <c r="AP1194" s="155"/>
      <c r="AQ1194" s="155"/>
      <c r="AR1194" s="155"/>
      <c r="AS1194" s="155"/>
      <c r="AT1194" s="155"/>
      <c r="AU1194" s="155"/>
      <c r="AV1194" s="155"/>
      <c r="AW1194" s="155"/>
      <c r="AX1194" s="155"/>
    </row>
    <row r="1195" spans="4:50">
      <c r="D1195" s="155"/>
      <c r="E1195" s="155"/>
      <c r="F1195" s="155"/>
      <c r="G1195" s="155"/>
      <c r="H1195" s="155"/>
      <c r="I1195" s="155"/>
      <c r="J1195" s="155"/>
      <c r="K1195" s="155"/>
      <c r="L1195" s="155"/>
      <c r="M1195" s="155"/>
      <c r="N1195" s="155"/>
      <c r="O1195" s="155"/>
      <c r="P1195" s="155"/>
      <c r="Q1195" s="155"/>
      <c r="R1195" s="155"/>
      <c r="S1195" s="155"/>
      <c r="T1195" s="155"/>
      <c r="U1195" s="155"/>
      <c r="V1195" s="155"/>
      <c r="W1195" s="155"/>
      <c r="X1195" s="155"/>
      <c r="Y1195" s="155"/>
      <c r="Z1195" s="155"/>
      <c r="AA1195" s="155"/>
      <c r="AB1195" s="155"/>
      <c r="AC1195" s="155"/>
      <c r="AD1195" s="155"/>
      <c r="AE1195" s="155"/>
      <c r="AF1195" s="155"/>
      <c r="AG1195" s="155"/>
      <c r="AH1195" s="155"/>
      <c r="AI1195" s="155"/>
      <c r="AJ1195" s="155"/>
      <c r="AK1195" s="155"/>
      <c r="AL1195" s="155"/>
      <c r="AM1195" s="155"/>
      <c r="AN1195" s="155"/>
      <c r="AO1195" s="155"/>
      <c r="AP1195" s="155"/>
      <c r="AQ1195" s="155"/>
      <c r="AR1195" s="155"/>
      <c r="AS1195" s="155"/>
      <c r="AT1195" s="155"/>
      <c r="AU1195" s="155"/>
      <c r="AV1195" s="155"/>
      <c r="AW1195" s="155"/>
      <c r="AX1195" s="155"/>
    </row>
    <row r="1196" spans="4:50">
      <c r="D1196" s="155"/>
      <c r="E1196" s="155"/>
      <c r="F1196" s="155"/>
      <c r="G1196" s="155"/>
      <c r="H1196" s="155"/>
      <c r="I1196" s="155"/>
      <c r="J1196" s="155"/>
      <c r="K1196" s="155"/>
      <c r="L1196" s="155"/>
      <c r="M1196" s="155"/>
      <c r="N1196" s="155"/>
      <c r="O1196" s="155"/>
      <c r="P1196" s="155"/>
      <c r="Q1196" s="155"/>
      <c r="R1196" s="155"/>
      <c r="S1196" s="155"/>
      <c r="T1196" s="155"/>
      <c r="U1196" s="155"/>
      <c r="V1196" s="155"/>
      <c r="W1196" s="155"/>
      <c r="X1196" s="155"/>
      <c r="Y1196" s="155"/>
      <c r="Z1196" s="155"/>
      <c r="AA1196" s="155"/>
      <c r="AB1196" s="155"/>
      <c r="AC1196" s="155"/>
      <c r="AD1196" s="155"/>
      <c r="AE1196" s="155"/>
      <c r="AF1196" s="155"/>
      <c r="AG1196" s="155"/>
      <c r="AH1196" s="155"/>
      <c r="AI1196" s="155"/>
      <c r="AJ1196" s="155"/>
      <c r="AK1196" s="155"/>
      <c r="AL1196" s="155"/>
      <c r="AM1196" s="155"/>
      <c r="AN1196" s="155"/>
      <c r="AO1196" s="155"/>
      <c r="AP1196" s="155"/>
      <c r="AQ1196" s="155"/>
      <c r="AR1196" s="155"/>
      <c r="AS1196" s="155"/>
      <c r="AT1196" s="155"/>
      <c r="AU1196" s="155"/>
      <c r="AV1196" s="155"/>
      <c r="AW1196" s="155"/>
      <c r="AX1196" s="155"/>
    </row>
    <row r="1197" spans="4:50">
      <c r="D1197" s="155"/>
      <c r="E1197" s="155"/>
      <c r="F1197" s="155"/>
      <c r="G1197" s="155"/>
      <c r="H1197" s="155"/>
      <c r="I1197" s="155"/>
      <c r="J1197" s="155"/>
      <c r="K1197" s="155"/>
      <c r="L1197" s="155"/>
      <c r="M1197" s="155"/>
      <c r="N1197" s="155"/>
      <c r="O1197" s="155"/>
      <c r="P1197" s="155"/>
      <c r="Q1197" s="155"/>
      <c r="R1197" s="155"/>
      <c r="S1197" s="155"/>
      <c r="T1197" s="155"/>
      <c r="U1197" s="155"/>
      <c r="V1197" s="155"/>
      <c r="W1197" s="155"/>
      <c r="X1197" s="155"/>
      <c r="Y1197" s="155"/>
      <c r="Z1197" s="155"/>
      <c r="AA1197" s="155"/>
      <c r="AB1197" s="155"/>
      <c r="AC1197" s="155"/>
      <c r="AD1197" s="155"/>
      <c r="AE1197" s="155"/>
      <c r="AF1197" s="155"/>
      <c r="AG1197" s="155"/>
      <c r="AH1197" s="155"/>
      <c r="AI1197" s="155"/>
      <c r="AJ1197" s="155"/>
      <c r="AK1197" s="155"/>
      <c r="AL1197" s="155"/>
      <c r="AM1197" s="155"/>
      <c r="AN1197" s="155"/>
      <c r="AO1197" s="155"/>
      <c r="AP1197" s="155"/>
      <c r="AQ1197" s="155"/>
      <c r="AR1197" s="155"/>
      <c r="AS1197" s="155"/>
      <c r="AT1197" s="155"/>
      <c r="AU1197" s="155"/>
      <c r="AV1197" s="155"/>
      <c r="AW1197" s="155"/>
      <c r="AX1197" s="155"/>
    </row>
    <row r="1198" spans="4:50">
      <c r="D1198" s="155"/>
      <c r="E1198" s="155"/>
      <c r="F1198" s="155"/>
      <c r="G1198" s="155"/>
      <c r="H1198" s="155"/>
      <c r="I1198" s="155"/>
      <c r="J1198" s="155"/>
      <c r="K1198" s="155"/>
      <c r="L1198" s="155"/>
      <c r="M1198" s="155"/>
      <c r="N1198" s="155"/>
      <c r="O1198" s="155"/>
      <c r="P1198" s="155"/>
      <c r="Q1198" s="155"/>
      <c r="R1198" s="155"/>
      <c r="S1198" s="155"/>
      <c r="T1198" s="155"/>
      <c r="U1198" s="155"/>
      <c r="V1198" s="155"/>
      <c r="W1198" s="155"/>
      <c r="X1198" s="155"/>
      <c r="Y1198" s="155"/>
      <c r="Z1198" s="155"/>
      <c r="AA1198" s="155"/>
      <c r="AB1198" s="155"/>
      <c r="AC1198" s="155"/>
      <c r="AD1198" s="155"/>
      <c r="AE1198" s="155"/>
      <c r="AF1198" s="155"/>
      <c r="AG1198" s="155"/>
      <c r="AH1198" s="155"/>
      <c r="AI1198" s="155"/>
      <c r="AJ1198" s="155"/>
      <c r="AK1198" s="155"/>
      <c r="AL1198" s="155"/>
      <c r="AM1198" s="155"/>
      <c r="AN1198" s="155"/>
      <c r="AO1198" s="155"/>
      <c r="AP1198" s="155"/>
      <c r="AQ1198" s="155"/>
      <c r="AR1198" s="155"/>
      <c r="AS1198" s="155"/>
      <c r="AT1198" s="155"/>
      <c r="AU1198" s="155"/>
      <c r="AV1198" s="155"/>
      <c r="AW1198" s="155"/>
      <c r="AX1198" s="155"/>
    </row>
    <row r="1199" spans="4:50">
      <c r="D1199" s="155"/>
      <c r="E1199" s="155"/>
      <c r="F1199" s="155"/>
      <c r="G1199" s="155"/>
      <c r="H1199" s="155"/>
      <c r="I1199" s="155"/>
      <c r="J1199" s="155"/>
      <c r="K1199" s="155"/>
      <c r="L1199" s="155"/>
      <c r="M1199" s="155"/>
      <c r="N1199" s="155"/>
      <c r="O1199" s="155"/>
      <c r="P1199" s="155"/>
      <c r="Q1199" s="155"/>
      <c r="R1199" s="155"/>
      <c r="S1199" s="155"/>
      <c r="T1199" s="155"/>
      <c r="U1199" s="155"/>
      <c r="V1199" s="155"/>
      <c r="W1199" s="155"/>
      <c r="X1199" s="155"/>
      <c r="Y1199" s="155"/>
      <c r="Z1199" s="155"/>
      <c r="AA1199" s="155"/>
      <c r="AB1199" s="155"/>
      <c r="AC1199" s="155"/>
      <c r="AD1199" s="155"/>
      <c r="AE1199" s="155"/>
      <c r="AF1199" s="155"/>
      <c r="AG1199" s="155"/>
      <c r="AH1199" s="155"/>
      <c r="AI1199" s="155"/>
      <c r="AJ1199" s="155"/>
      <c r="AK1199" s="155"/>
      <c r="AL1199" s="155"/>
      <c r="AM1199" s="155"/>
      <c r="AN1199" s="155"/>
      <c r="AO1199" s="155"/>
      <c r="AP1199" s="155"/>
      <c r="AQ1199" s="155"/>
      <c r="AR1199" s="155"/>
      <c r="AS1199" s="155"/>
      <c r="AT1199" s="155"/>
      <c r="AU1199" s="155"/>
      <c r="AV1199" s="155"/>
      <c r="AW1199" s="155"/>
      <c r="AX1199" s="155"/>
    </row>
    <row r="1200" spans="4:50">
      <c r="D1200" s="155"/>
      <c r="E1200" s="155"/>
      <c r="F1200" s="155"/>
      <c r="G1200" s="155"/>
      <c r="H1200" s="155"/>
      <c r="I1200" s="155"/>
      <c r="J1200" s="155"/>
      <c r="K1200" s="155"/>
      <c r="L1200" s="155"/>
      <c r="M1200" s="155"/>
      <c r="N1200" s="155"/>
      <c r="O1200" s="155"/>
      <c r="P1200" s="155"/>
      <c r="Q1200" s="155"/>
      <c r="R1200" s="155"/>
      <c r="S1200" s="155"/>
      <c r="T1200" s="155"/>
      <c r="U1200" s="155"/>
      <c r="V1200" s="155"/>
      <c r="W1200" s="155"/>
      <c r="X1200" s="155"/>
      <c r="Y1200" s="155"/>
      <c r="Z1200" s="155"/>
      <c r="AA1200" s="155"/>
      <c r="AB1200" s="155"/>
      <c r="AC1200" s="155"/>
      <c r="AD1200" s="155"/>
      <c r="AE1200" s="155"/>
      <c r="AF1200" s="155"/>
      <c r="AG1200" s="155"/>
      <c r="AH1200" s="155"/>
      <c r="AI1200" s="155"/>
      <c r="AJ1200" s="155"/>
      <c r="AK1200" s="155"/>
      <c r="AL1200" s="155"/>
      <c r="AM1200" s="155"/>
      <c r="AN1200" s="155"/>
      <c r="AO1200" s="155"/>
      <c r="AP1200" s="155"/>
      <c r="AQ1200" s="155"/>
      <c r="AR1200" s="155"/>
      <c r="AS1200" s="155"/>
      <c r="AT1200" s="155"/>
      <c r="AU1200" s="155"/>
      <c r="AV1200" s="155"/>
      <c r="AW1200" s="155"/>
      <c r="AX1200" s="155"/>
    </row>
    <row r="1201" spans="4:50">
      <c r="D1201" s="155"/>
      <c r="E1201" s="155"/>
      <c r="F1201" s="155"/>
      <c r="G1201" s="155"/>
      <c r="H1201" s="155"/>
      <c r="I1201" s="155"/>
      <c r="J1201" s="155"/>
      <c r="K1201" s="155"/>
      <c r="L1201" s="155"/>
      <c r="M1201" s="155"/>
      <c r="N1201" s="155"/>
      <c r="O1201" s="155"/>
      <c r="P1201" s="155"/>
      <c r="Q1201" s="155"/>
      <c r="R1201" s="155"/>
      <c r="S1201" s="155"/>
      <c r="T1201" s="155"/>
      <c r="U1201" s="155"/>
      <c r="V1201" s="155"/>
      <c r="W1201" s="155"/>
      <c r="X1201" s="155"/>
      <c r="Y1201" s="155"/>
      <c r="Z1201" s="155"/>
      <c r="AA1201" s="155"/>
      <c r="AB1201" s="155"/>
      <c r="AC1201" s="155"/>
      <c r="AD1201" s="155"/>
      <c r="AE1201" s="155"/>
      <c r="AF1201" s="155"/>
      <c r="AG1201" s="155"/>
      <c r="AH1201" s="155"/>
      <c r="AI1201" s="155"/>
      <c r="AJ1201" s="155"/>
      <c r="AK1201" s="155"/>
      <c r="AL1201" s="155"/>
      <c r="AM1201" s="155"/>
      <c r="AN1201" s="155"/>
      <c r="AO1201" s="155"/>
      <c r="AP1201" s="155"/>
      <c r="AQ1201" s="155"/>
      <c r="AR1201" s="155"/>
      <c r="AS1201" s="155"/>
      <c r="AT1201" s="155"/>
      <c r="AU1201" s="155"/>
      <c r="AV1201" s="155"/>
      <c r="AW1201" s="155"/>
      <c r="AX1201" s="155"/>
    </row>
    <row r="1202" spans="4:50">
      <c r="D1202" s="155"/>
      <c r="E1202" s="155"/>
      <c r="F1202" s="155"/>
      <c r="G1202" s="155"/>
      <c r="H1202" s="155"/>
      <c r="I1202" s="155"/>
      <c r="J1202" s="155"/>
      <c r="K1202" s="155"/>
      <c r="L1202" s="155"/>
      <c r="M1202" s="155"/>
      <c r="N1202" s="155"/>
      <c r="O1202" s="155"/>
      <c r="P1202" s="155"/>
      <c r="Q1202" s="155"/>
      <c r="R1202" s="155"/>
      <c r="S1202" s="155"/>
      <c r="T1202" s="155"/>
      <c r="U1202" s="155"/>
      <c r="V1202" s="155"/>
      <c r="W1202" s="155"/>
      <c r="X1202" s="155"/>
      <c r="Y1202" s="155"/>
      <c r="Z1202" s="155"/>
      <c r="AA1202" s="155"/>
      <c r="AB1202" s="155"/>
      <c r="AC1202" s="155"/>
      <c r="AD1202" s="155"/>
      <c r="AE1202" s="155"/>
      <c r="AF1202" s="155"/>
      <c r="AG1202" s="155"/>
      <c r="AH1202" s="155"/>
      <c r="AI1202" s="155"/>
      <c r="AJ1202" s="155"/>
      <c r="AK1202" s="155"/>
      <c r="AL1202" s="155"/>
      <c r="AM1202" s="155"/>
      <c r="AN1202" s="155"/>
      <c r="AO1202" s="155"/>
      <c r="AP1202" s="155"/>
      <c r="AQ1202" s="155"/>
      <c r="AR1202" s="155"/>
      <c r="AS1202" s="155"/>
      <c r="AT1202" s="155"/>
      <c r="AU1202" s="155"/>
      <c r="AV1202" s="155"/>
      <c r="AW1202" s="155"/>
      <c r="AX1202" s="155"/>
    </row>
    <row r="1203" spans="4:50">
      <c r="D1203" s="155"/>
      <c r="E1203" s="155"/>
      <c r="F1203" s="155"/>
      <c r="G1203" s="155"/>
      <c r="H1203" s="155"/>
      <c r="I1203" s="155"/>
      <c r="J1203" s="155"/>
      <c r="K1203" s="155"/>
      <c r="L1203" s="155"/>
      <c r="M1203" s="155"/>
      <c r="N1203" s="155"/>
      <c r="O1203" s="155"/>
      <c r="P1203" s="155"/>
      <c r="Q1203" s="155"/>
      <c r="R1203" s="155"/>
      <c r="S1203" s="155"/>
      <c r="T1203" s="155"/>
      <c r="U1203" s="155"/>
      <c r="V1203" s="155"/>
      <c r="W1203" s="155"/>
      <c r="X1203" s="155"/>
      <c r="Y1203" s="155"/>
      <c r="Z1203" s="155"/>
      <c r="AA1203" s="155"/>
      <c r="AB1203" s="155"/>
      <c r="AC1203" s="155"/>
      <c r="AD1203" s="155"/>
      <c r="AE1203" s="155"/>
      <c r="AF1203" s="155"/>
      <c r="AG1203" s="155"/>
      <c r="AH1203" s="155"/>
      <c r="AI1203" s="155"/>
      <c r="AJ1203" s="155"/>
      <c r="AK1203" s="155"/>
      <c r="AL1203" s="155"/>
      <c r="AM1203" s="155"/>
      <c r="AN1203" s="155"/>
      <c r="AO1203" s="155"/>
      <c r="AP1203" s="155"/>
      <c r="AQ1203" s="155"/>
      <c r="AR1203" s="155"/>
      <c r="AS1203" s="155"/>
      <c r="AT1203" s="155"/>
      <c r="AU1203" s="155"/>
      <c r="AV1203" s="155"/>
      <c r="AW1203" s="155"/>
      <c r="AX1203" s="155"/>
    </row>
    <row r="1204" spans="4:50">
      <c r="D1204" s="155"/>
      <c r="E1204" s="155"/>
      <c r="F1204" s="155"/>
      <c r="G1204" s="155"/>
      <c r="H1204" s="155"/>
      <c r="I1204" s="155"/>
      <c r="J1204" s="155"/>
      <c r="K1204" s="155"/>
      <c r="L1204" s="155"/>
      <c r="M1204" s="155"/>
      <c r="N1204" s="155"/>
      <c r="O1204" s="155"/>
      <c r="P1204" s="155"/>
      <c r="Q1204" s="155"/>
      <c r="R1204" s="155"/>
      <c r="S1204" s="155"/>
      <c r="T1204" s="155"/>
      <c r="U1204" s="155"/>
      <c r="V1204" s="155"/>
      <c r="W1204" s="155"/>
      <c r="X1204" s="155"/>
      <c r="Y1204" s="155"/>
      <c r="Z1204" s="155"/>
      <c r="AA1204" s="155"/>
      <c r="AB1204" s="155"/>
      <c r="AC1204" s="155"/>
      <c r="AD1204" s="155"/>
      <c r="AE1204" s="155"/>
      <c r="AF1204" s="155"/>
      <c r="AG1204" s="155"/>
      <c r="AH1204" s="155"/>
      <c r="AI1204" s="155"/>
      <c r="AJ1204" s="155"/>
      <c r="AK1204" s="155"/>
      <c r="AL1204" s="155"/>
      <c r="AM1204" s="155"/>
      <c r="AN1204" s="155"/>
      <c r="AO1204" s="155"/>
      <c r="AP1204" s="155"/>
      <c r="AQ1204" s="155"/>
      <c r="AR1204" s="155"/>
      <c r="AS1204" s="155"/>
      <c r="AT1204" s="155"/>
      <c r="AU1204" s="155"/>
      <c r="AV1204" s="155"/>
      <c r="AW1204" s="155"/>
      <c r="AX1204" s="155"/>
    </row>
    <row r="1205" spans="4:50">
      <c r="D1205" s="155"/>
      <c r="E1205" s="155"/>
      <c r="F1205" s="155"/>
      <c r="G1205" s="155"/>
      <c r="H1205" s="155"/>
      <c r="I1205" s="155"/>
      <c r="J1205" s="155"/>
      <c r="K1205" s="155"/>
      <c r="L1205" s="155"/>
      <c r="M1205" s="155"/>
      <c r="N1205" s="155"/>
      <c r="O1205" s="155"/>
      <c r="P1205" s="155"/>
      <c r="Q1205" s="155"/>
      <c r="R1205" s="155"/>
      <c r="S1205" s="155"/>
      <c r="T1205" s="155"/>
      <c r="U1205" s="155"/>
      <c r="V1205" s="155"/>
      <c r="W1205" s="155"/>
      <c r="X1205" s="155"/>
      <c r="Y1205" s="155"/>
      <c r="Z1205" s="155"/>
      <c r="AA1205" s="155"/>
      <c r="AB1205" s="155"/>
      <c r="AC1205" s="155"/>
      <c r="AD1205" s="155"/>
      <c r="AE1205" s="155"/>
      <c r="AF1205" s="155"/>
      <c r="AG1205" s="155"/>
      <c r="AH1205" s="155"/>
      <c r="AI1205" s="155"/>
      <c r="AJ1205" s="155"/>
      <c r="AK1205" s="155"/>
      <c r="AL1205" s="155"/>
      <c r="AM1205" s="155"/>
      <c r="AN1205" s="155"/>
      <c r="AO1205" s="155"/>
      <c r="AP1205" s="155"/>
      <c r="AQ1205" s="155"/>
      <c r="AR1205" s="155"/>
      <c r="AS1205" s="155"/>
      <c r="AT1205" s="155"/>
      <c r="AU1205" s="155"/>
      <c r="AV1205" s="155"/>
      <c r="AW1205" s="155"/>
      <c r="AX1205" s="155"/>
    </row>
    <row r="1206" spans="4:50">
      <c r="D1206" s="155"/>
      <c r="E1206" s="155"/>
      <c r="F1206" s="155"/>
      <c r="G1206" s="155"/>
      <c r="H1206" s="155"/>
      <c r="I1206" s="155"/>
      <c r="J1206" s="155"/>
      <c r="K1206" s="155"/>
      <c r="L1206" s="155"/>
      <c r="M1206" s="155"/>
      <c r="N1206" s="155"/>
      <c r="O1206" s="155"/>
      <c r="P1206" s="155"/>
      <c r="Q1206" s="155"/>
      <c r="R1206" s="155"/>
      <c r="S1206" s="155"/>
      <c r="T1206" s="155"/>
      <c r="U1206" s="155"/>
      <c r="V1206" s="155"/>
      <c r="W1206" s="155"/>
      <c r="X1206" s="155"/>
      <c r="Y1206" s="155"/>
      <c r="Z1206" s="155"/>
      <c r="AA1206" s="155"/>
      <c r="AB1206" s="155"/>
      <c r="AC1206" s="155"/>
      <c r="AD1206" s="155"/>
      <c r="AE1206" s="155"/>
      <c r="AF1206" s="155"/>
      <c r="AG1206" s="155"/>
      <c r="AH1206" s="155"/>
      <c r="AI1206" s="155"/>
      <c r="AJ1206" s="155"/>
      <c r="AK1206" s="155"/>
      <c r="AL1206" s="155"/>
      <c r="AM1206" s="155"/>
      <c r="AN1206" s="155"/>
      <c r="AO1206" s="155"/>
      <c r="AP1206" s="155"/>
      <c r="AQ1206" s="155"/>
      <c r="AR1206" s="155"/>
      <c r="AS1206" s="155"/>
      <c r="AT1206" s="155"/>
      <c r="AU1206" s="155"/>
      <c r="AV1206" s="155"/>
      <c r="AW1206" s="155"/>
      <c r="AX1206" s="155"/>
    </row>
    <row r="1207" spans="4:50">
      <c r="D1207" s="155"/>
      <c r="E1207" s="155"/>
      <c r="F1207" s="155"/>
      <c r="G1207" s="155"/>
      <c r="H1207" s="155"/>
      <c r="I1207" s="155"/>
      <c r="J1207" s="155"/>
      <c r="K1207" s="155"/>
      <c r="L1207" s="155"/>
      <c r="M1207" s="155"/>
      <c r="N1207" s="155"/>
      <c r="O1207" s="155"/>
      <c r="P1207" s="155"/>
      <c r="Q1207" s="155"/>
      <c r="R1207" s="155"/>
      <c r="S1207" s="155"/>
      <c r="T1207" s="155"/>
      <c r="U1207" s="155"/>
      <c r="V1207" s="155"/>
      <c r="W1207" s="155"/>
      <c r="X1207" s="155"/>
      <c r="Y1207" s="155"/>
      <c r="Z1207" s="155"/>
      <c r="AA1207" s="155"/>
      <c r="AB1207" s="155"/>
      <c r="AC1207" s="155"/>
      <c r="AD1207" s="155"/>
      <c r="AE1207" s="155"/>
      <c r="AF1207" s="155"/>
      <c r="AG1207" s="155"/>
      <c r="AH1207" s="155"/>
      <c r="AI1207" s="155"/>
      <c r="AJ1207" s="155"/>
      <c r="AK1207" s="155"/>
      <c r="AL1207" s="155"/>
      <c r="AM1207" s="155"/>
      <c r="AN1207" s="155"/>
      <c r="AO1207" s="155"/>
      <c r="AP1207" s="155"/>
      <c r="AQ1207" s="155"/>
      <c r="AR1207" s="155"/>
      <c r="AS1207" s="155"/>
      <c r="AT1207" s="155"/>
      <c r="AU1207" s="155"/>
      <c r="AV1207" s="155"/>
      <c r="AW1207" s="155"/>
      <c r="AX1207" s="155"/>
    </row>
    <row r="1208" spans="4:50">
      <c r="D1208" s="155"/>
      <c r="E1208" s="155"/>
      <c r="F1208" s="155"/>
      <c r="G1208" s="155"/>
      <c r="H1208" s="155"/>
      <c r="I1208" s="155"/>
      <c r="J1208" s="155"/>
      <c r="K1208" s="155"/>
      <c r="L1208" s="155"/>
      <c r="M1208" s="155"/>
      <c r="N1208" s="155"/>
      <c r="O1208" s="155"/>
      <c r="P1208" s="155"/>
      <c r="Q1208" s="155"/>
      <c r="R1208" s="155"/>
      <c r="S1208" s="155"/>
      <c r="T1208" s="155"/>
      <c r="U1208" s="155"/>
      <c r="V1208" s="155"/>
      <c r="W1208" s="155"/>
      <c r="X1208" s="155"/>
      <c r="Y1208" s="155"/>
      <c r="Z1208" s="155"/>
      <c r="AA1208" s="155"/>
      <c r="AB1208" s="155"/>
      <c r="AC1208" s="155"/>
      <c r="AD1208" s="155"/>
      <c r="AE1208" s="155"/>
      <c r="AF1208" s="155"/>
      <c r="AG1208" s="155"/>
      <c r="AH1208" s="155"/>
      <c r="AI1208" s="155"/>
      <c r="AJ1208" s="155"/>
      <c r="AK1208" s="155"/>
      <c r="AL1208" s="155"/>
      <c r="AM1208" s="155"/>
      <c r="AN1208" s="155"/>
      <c r="AO1208" s="155"/>
      <c r="AP1208" s="155"/>
      <c r="AQ1208" s="155"/>
      <c r="AR1208" s="155"/>
      <c r="AS1208" s="155"/>
      <c r="AT1208" s="155"/>
      <c r="AU1208" s="155"/>
      <c r="AV1208" s="155"/>
      <c r="AW1208" s="155"/>
      <c r="AX1208" s="155"/>
    </row>
    <row r="1209" spans="4:50">
      <c r="D1209" s="155"/>
      <c r="E1209" s="155"/>
      <c r="F1209" s="155"/>
      <c r="G1209" s="155"/>
      <c r="H1209" s="155"/>
      <c r="I1209" s="155"/>
      <c r="J1209" s="155"/>
      <c r="K1209" s="155"/>
      <c r="L1209" s="155"/>
      <c r="M1209" s="155"/>
      <c r="N1209" s="155"/>
      <c r="O1209" s="155"/>
      <c r="P1209" s="155"/>
      <c r="Q1209" s="155"/>
      <c r="R1209" s="155"/>
      <c r="S1209" s="155"/>
      <c r="T1209" s="155"/>
      <c r="U1209" s="155"/>
      <c r="V1209" s="155"/>
      <c r="W1209" s="155"/>
      <c r="X1209" s="155"/>
      <c r="Y1209" s="155"/>
      <c r="Z1209" s="155"/>
      <c r="AA1209" s="155"/>
      <c r="AB1209" s="155"/>
      <c r="AC1209" s="155"/>
      <c r="AD1209" s="155"/>
      <c r="AE1209" s="155"/>
      <c r="AF1209" s="155"/>
      <c r="AG1209" s="155"/>
      <c r="AH1209" s="155"/>
      <c r="AI1209" s="155"/>
      <c r="AJ1209" s="155"/>
      <c r="AK1209" s="155"/>
      <c r="AL1209" s="155"/>
      <c r="AM1209" s="155"/>
      <c r="AN1209" s="155"/>
      <c r="AO1209" s="155"/>
      <c r="AP1209" s="155"/>
      <c r="AQ1209" s="155"/>
      <c r="AR1209" s="155"/>
      <c r="AS1209" s="155"/>
      <c r="AT1209" s="155"/>
      <c r="AU1209" s="155"/>
      <c r="AV1209" s="155"/>
      <c r="AW1209" s="155"/>
      <c r="AX1209" s="155"/>
    </row>
    <row r="1210" spans="4:50">
      <c r="D1210" s="155"/>
      <c r="E1210" s="155"/>
      <c r="F1210" s="155"/>
      <c r="G1210" s="155"/>
      <c r="H1210" s="155"/>
      <c r="I1210" s="155"/>
      <c r="J1210" s="155"/>
      <c r="K1210" s="155"/>
      <c r="L1210" s="155"/>
      <c r="M1210" s="155"/>
      <c r="N1210" s="155"/>
      <c r="O1210" s="155"/>
      <c r="P1210" s="155"/>
      <c r="Q1210" s="155"/>
      <c r="R1210" s="155"/>
      <c r="S1210" s="155"/>
      <c r="T1210" s="155"/>
      <c r="U1210" s="155"/>
      <c r="V1210" s="155"/>
      <c r="W1210" s="155"/>
      <c r="X1210" s="155"/>
      <c r="Y1210" s="155"/>
      <c r="Z1210" s="155"/>
      <c r="AA1210" s="155"/>
      <c r="AB1210" s="155"/>
      <c r="AC1210" s="155"/>
      <c r="AD1210" s="155"/>
      <c r="AE1210" s="155"/>
      <c r="AF1210" s="155"/>
      <c r="AG1210" s="155"/>
      <c r="AH1210" s="155"/>
      <c r="AI1210" s="155"/>
      <c r="AJ1210" s="155"/>
      <c r="AK1210" s="155"/>
      <c r="AL1210" s="155"/>
      <c r="AM1210" s="155"/>
      <c r="AN1210" s="155"/>
      <c r="AO1210" s="155"/>
      <c r="AP1210" s="155"/>
      <c r="AQ1210" s="155"/>
      <c r="AR1210" s="155"/>
      <c r="AS1210" s="155"/>
      <c r="AT1210" s="155"/>
      <c r="AU1210" s="155"/>
      <c r="AV1210" s="155"/>
      <c r="AW1210" s="155"/>
      <c r="AX1210" s="155"/>
    </row>
    <row r="1211" spans="4:50">
      <c r="D1211" s="155"/>
      <c r="E1211" s="155"/>
      <c r="F1211" s="155"/>
      <c r="G1211" s="155"/>
      <c r="H1211" s="155"/>
      <c r="I1211" s="155"/>
      <c r="J1211" s="155"/>
      <c r="K1211" s="155"/>
      <c r="L1211" s="155"/>
      <c r="M1211" s="155"/>
      <c r="N1211" s="155"/>
      <c r="O1211" s="155"/>
      <c r="P1211" s="155"/>
      <c r="Q1211" s="155"/>
      <c r="R1211" s="155"/>
      <c r="S1211" s="155"/>
      <c r="T1211" s="155"/>
      <c r="U1211" s="155"/>
      <c r="V1211" s="155"/>
      <c r="W1211" s="155"/>
      <c r="X1211" s="155"/>
      <c r="Y1211" s="155"/>
      <c r="Z1211" s="155"/>
      <c r="AA1211" s="155"/>
      <c r="AB1211" s="155"/>
      <c r="AC1211" s="155"/>
      <c r="AD1211" s="155"/>
      <c r="AE1211" s="155"/>
      <c r="AF1211" s="155"/>
      <c r="AG1211" s="155"/>
      <c r="AH1211" s="155"/>
      <c r="AI1211" s="155"/>
      <c r="AJ1211" s="155"/>
      <c r="AK1211" s="155"/>
      <c r="AL1211" s="155"/>
      <c r="AM1211" s="155"/>
      <c r="AN1211" s="155"/>
      <c r="AO1211" s="155"/>
      <c r="AP1211" s="155"/>
      <c r="AQ1211" s="155"/>
      <c r="AR1211" s="155"/>
      <c r="AS1211" s="155"/>
      <c r="AT1211" s="155"/>
      <c r="AU1211" s="155"/>
      <c r="AV1211" s="155"/>
      <c r="AW1211" s="155"/>
      <c r="AX1211" s="155"/>
    </row>
    <row r="1212" spans="4:50">
      <c r="D1212" s="155"/>
      <c r="E1212" s="155"/>
      <c r="F1212" s="155"/>
      <c r="G1212" s="155"/>
      <c r="H1212" s="155"/>
      <c r="I1212" s="155"/>
      <c r="J1212" s="155"/>
      <c r="K1212" s="155"/>
      <c r="L1212" s="155"/>
      <c r="M1212" s="155"/>
      <c r="N1212" s="155"/>
      <c r="O1212" s="155"/>
      <c r="P1212" s="155"/>
      <c r="Q1212" s="155"/>
      <c r="R1212" s="155"/>
      <c r="S1212" s="155"/>
      <c r="T1212" s="155"/>
      <c r="U1212" s="155"/>
      <c r="V1212" s="155"/>
      <c r="W1212" s="155"/>
      <c r="X1212" s="155"/>
      <c r="Y1212" s="155"/>
      <c r="Z1212" s="155"/>
      <c r="AA1212" s="155"/>
      <c r="AB1212" s="155"/>
      <c r="AC1212" s="155"/>
      <c r="AD1212" s="155"/>
      <c r="AE1212" s="155"/>
      <c r="AF1212" s="155"/>
      <c r="AG1212" s="155"/>
      <c r="AH1212" s="155"/>
      <c r="AI1212" s="155"/>
      <c r="AJ1212" s="155"/>
      <c r="AK1212" s="155"/>
      <c r="AL1212" s="155"/>
      <c r="AM1212" s="155"/>
      <c r="AN1212" s="155"/>
      <c r="AO1212" s="155"/>
      <c r="AP1212" s="155"/>
      <c r="AQ1212" s="155"/>
      <c r="AR1212" s="155"/>
      <c r="AS1212" s="155"/>
      <c r="AT1212" s="155"/>
      <c r="AU1212" s="155"/>
      <c r="AV1212" s="155"/>
      <c r="AW1212" s="155"/>
      <c r="AX1212" s="155"/>
    </row>
    <row r="1213" spans="4:50">
      <c r="D1213" s="155"/>
      <c r="E1213" s="155"/>
      <c r="F1213" s="155"/>
      <c r="G1213" s="155"/>
      <c r="H1213" s="155"/>
      <c r="I1213" s="155"/>
      <c r="J1213" s="155"/>
      <c r="K1213" s="155"/>
      <c r="L1213" s="155"/>
      <c r="M1213" s="155"/>
      <c r="N1213" s="155"/>
      <c r="O1213" s="155"/>
      <c r="P1213" s="155"/>
      <c r="Q1213" s="155"/>
      <c r="R1213" s="155"/>
      <c r="S1213" s="155"/>
      <c r="T1213" s="155"/>
      <c r="U1213" s="155"/>
      <c r="V1213" s="155"/>
      <c r="W1213" s="155"/>
      <c r="X1213" s="155"/>
      <c r="Y1213" s="155"/>
      <c r="Z1213" s="155"/>
      <c r="AA1213" s="155"/>
      <c r="AB1213" s="155"/>
      <c r="AC1213" s="155"/>
      <c r="AD1213" s="155"/>
      <c r="AE1213" s="155"/>
      <c r="AF1213" s="155"/>
      <c r="AG1213" s="155"/>
      <c r="AH1213" s="155"/>
      <c r="AI1213" s="155"/>
      <c r="AJ1213" s="155"/>
      <c r="AK1213" s="155"/>
      <c r="AL1213" s="155"/>
      <c r="AM1213" s="155"/>
      <c r="AN1213" s="155"/>
      <c r="AO1213" s="155"/>
      <c r="AP1213" s="155"/>
      <c r="AQ1213" s="155"/>
      <c r="AR1213" s="155"/>
      <c r="AS1213" s="155"/>
      <c r="AT1213" s="155"/>
      <c r="AU1213" s="155"/>
      <c r="AV1213" s="155"/>
      <c r="AW1213" s="155"/>
      <c r="AX1213" s="155"/>
    </row>
    <row r="1214" spans="4:50">
      <c r="D1214" s="155"/>
      <c r="E1214" s="155"/>
      <c r="F1214" s="155"/>
      <c r="G1214" s="155"/>
      <c r="H1214" s="155"/>
      <c r="I1214" s="155"/>
      <c r="J1214" s="155"/>
      <c r="K1214" s="155"/>
      <c r="L1214" s="155"/>
      <c r="M1214" s="155"/>
      <c r="N1214" s="155"/>
      <c r="O1214" s="155"/>
      <c r="P1214" s="155"/>
      <c r="Q1214" s="155"/>
      <c r="R1214" s="155"/>
      <c r="S1214" s="155"/>
      <c r="T1214" s="155"/>
      <c r="U1214" s="155"/>
      <c r="V1214" s="155"/>
      <c r="W1214" s="155"/>
      <c r="X1214" s="155"/>
      <c r="Y1214" s="155"/>
      <c r="Z1214" s="155"/>
      <c r="AA1214" s="155"/>
      <c r="AB1214" s="155"/>
      <c r="AC1214" s="155"/>
      <c r="AD1214" s="155"/>
      <c r="AE1214" s="155"/>
      <c r="AF1214" s="155"/>
      <c r="AG1214" s="155"/>
      <c r="AH1214" s="155"/>
      <c r="AI1214" s="155"/>
      <c r="AJ1214" s="155"/>
      <c r="AK1214" s="155"/>
      <c r="AL1214" s="155"/>
      <c r="AM1214" s="155"/>
      <c r="AN1214" s="155"/>
      <c r="AO1214" s="155"/>
      <c r="AP1214" s="155"/>
      <c r="AQ1214" s="155"/>
      <c r="AR1214" s="155"/>
      <c r="AS1214" s="155"/>
      <c r="AT1214" s="155"/>
      <c r="AU1214" s="155"/>
      <c r="AV1214" s="155"/>
      <c r="AW1214" s="155"/>
      <c r="AX1214" s="155"/>
    </row>
    <row r="1215" spans="4:50">
      <c r="D1215" s="155"/>
      <c r="E1215" s="155"/>
      <c r="F1215" s="155"/>
      <c r="G1215" s="155"/>
      <c r="H1215" s="155"/>
      <c r="I1215" s="155"/>
      <c r="J1215" s="155"/>
      <c r="K1215" s="155"/>
      <c r="L1215" s="155"/>
      <c r="M1215" s="155"/>
      <c r="N1215" s="155"/>
      <c r="O1215" s="155"/>
      <c r="P1215" s="155"/>
      <c r="Q1215" s="155"/>
      <c r="R1215" s="155"/>
      <c r="S1215" s="155"/>
      <c r="T1215" s="155"/>
      <c r="U1215" s="155"/>
      <c r="V1215" s="155"/>
      <c r="W1215" s="155"/>
      <c r="X1215" s="155"/>
      <c r="Y1215" s="155"/>
      <c r="Z1215" s="155"/>
      <c r="AA1215" s="155"/>
      <c r="AB1215" s="155"/>
      <c r="AC1215" s="155"/>
      <c r="AD1215" s="155"/>
      <c r="AE1215" s="155"/>
      <c r="AF1215" s="155"/>
      <c r="AG1215" s="155"/>
      <c r="AH1215" s="155"/>
      <c r="AI1215" s="155"/>
      <c r="AJ1215" s="155"/>
      <c r="AK1215" s="155"/>
      <c r="AL1215" s="155"/>
      <c r="AM1215" s="155"/>
      <c r="AN1215" s="155"/>
      <c r="AO1215" s="155"/>
      <c r="AP1215" s="155"/>
      <c r="AQ1215" s="155"/>
      <c r="AR1215" s="155"/>
      <c r="AS1215" s="155"/>
      <c r="AT1215" s="155"/>
      <c r="AU1215" s="155"/>
      <c r="AV1215" s="155"/>
      <c r="AW1215" s="155"/>
      <c r="AX1215" s="155"/>
    </row>
    <row r="1216" spans="4:50">
      <c r="D1216" s="155"/>
      <c r="E1216" s="155"/>
      <c r="F1216" s="155"/>
      <c r="G1216" s="155"/>
      <c r="H1216" s="155"/>
      <c r="I1216" s="155"/>
      <c r="J1216" s="155"/>
      <c r="K1216" s="155"/>
      <c r="L1216" s="155"/>
      <c r="M1216" s="155"/>
      <c r="N1216" s="155"/>
      <c r="O1216" s="155"/>
      <c r="P1216" s="155"/>
      <c r="Q1216" s="155"/>
      <c r="R1216" s="155"/>
      <c r="S1216" s="155"/>
      <c r="T1216" s="155"/>
      <c r="U1216" s="155"/>
      <c r="V1216" s="155"/>
      <c r="W1216" s="155"/>
      <c r="X1216" s="155"/>
      <c r="Y1216" s="155"/>
      <c r="Z1216" s="155"/>
      <c r="AA1216" s="155"/>
      <c r="AB1216" s="155"/>
      <c r="AC1216" s="155"/>
      <c r="AD1216" s="155"/>
      <c r="AE1216" s="155"/>
      <c r="AF1216" s="155"/>
      <c r="AG1216" s="155"/>
      <c r="AH1216" s="155"/>
      <c r="AI1216" s="155"/>
      <c r="AJ1216" s="155"/>
      <c r="AK1216" s="155"/>
      <c r="AL1216" s="155"/>
      <c r="AM1216" s="155"/>
      <c r="AN1216" s="155"/>
      <c r="AO1216" s="155"/>
      <c r="AP1216" s="155"/>
      <c r="AQ1216" s="155"/>
      <c r="AR1216" s="155"/>
      <c r="AS1216" s="155"/>
      <c r="AT1216" s="155"/>
      <c r="AU1216" s="155"/>
      <c r="AV1216" s="155"/>
      <c r="AW1216" s="155"/>
      <c r="AX1216" s="155"/>
    </row>
    <row r="1217" spans="4:50">
      <c r="D1217" s="155"/>
      <c r="E1217" s="155"/>
      <c r="F1217" s="155"/>
      <c r="G1217" s="155"/>
      <c r="H1217" s="155"/>
      <c r="I1217" s="155"/>
      <c r="J1217" s="155"/>
      <c r="K1217" s="155"/>
      <c r="L1217" s="155"/>
      <c r="M1217" s="155"/>
      <c r="N1217" s="155"/>
      <c r="O1217" s="155"/>
      <c r="P1217" s="155"/>
      <c r="Q1217" s="155"/>
      <c r="R1217" s="155"/>
      <c r="S1217" s="155"/>
      <c r="T1217" s="155"/>
      <c r="U1217" s="155"/>
      <c r="V1217" s="155"/>
      <c r="W1217" s="155"/>
      <c r="X1217" s="155"/>
      <c r="Y1217" s="155"/>
      <c r="Z1217" s="155"/>
      <c r="AA1217" s="155"/>
      <c r="AB1217" s="155"/>
      <c r="AC1217" s="155"/>
      <c r="AD1217" s="155"/>
      <c r="AE1217" s="155"/>
      <c r="AF1217" s="155"/>
      <c r="AG1217" s="155"/>
      <c r="AH1217" s="155"/>
      <c r="AI1217" s="155"/>
      <c r="AJ1217" s="155"/>
      <c r="AK1217" s="155"/>
      <c r="AL1217" s="155"/>
      <c r="AM1217" s="155"/>
      <c r="AN1217" s="155"/>
      <c r="AO1217" s="155"/>
      <c r="AP1217" s="155"/>
      <c r="AQ1217" s="155"/>
      <c r="AR1217" s="155"/>
      <c r="AS1217" s="155"/>
      <c r="AT1217" s="155"/>
      <c r="AU1217" s="155"/>
      <c r="AV1217" s="155"/>
      <c r="AW1217" s="155"/>
      <c r="AX1217" s="155"/>
    </row>
    <row r="1218" spans="4:50">
      <c r="D1218" s="155"/>
      <c r="E1218" s="155"/>
      <c r="F1218" s="155"/>
      <c r="G1218" s="155"/>
      <c r="H1218" s="155"/>
      <c r="I1218" s="155"/>
      <c r="J1218" s="155"/>
      <c r="K1218" s="155"/>
      <c r="L1218" s="155"/>
      <c r="M1218" s="155"/>
      <c r="N1218" s="155"/>
      <c r="O1218" s="155"/>
      <c r="P1218" s="155"/>
      <c r="Q1218" s="155"/>
      <c r="R1218" s="155"/>
      <c r="S1218" s="155"/>
      <c r="T1218" s="155"/>
      <c r="U1218" s="155"/>
      <c r="V1218" s="155"/>
      <c r="W1218" s="155"/>
      <c r="X1218" s="155"/>
      <c r="Y1218" s="155"/>
      <c r="Z1218" s="155"/>
      <c r="AA1218" s="155"/>
      <c r="AB1218" s="155"/>
      <c r="AC1218" s="155"/>
      <c r="AD1218" s="155"/>
      <c r="AE1218" s="155"/>
      <c r="AF1218" s="155"/>
      <c r="AG1218" s="155"/>
      <c r="AH1218" s="155"/>
      <c r="AI1218" s="155"/>
      <c r="AJ1218" s="155"/>
      <c r="AK1218" s="155"/>
      <c r="AL1218" s="155"/>
      <c r="AM1218" s="155"/>
      <c r="AN1218" s="155"/>
      <c r="AO1218" s="155"/>
      <c r="AP1218" s="155"/>
      <c r="AQ1218" s="155"/>
      <c r="AR1218" s="155"/>
      <c r="AS1218" s="155"/>
      <c r="AT1218" s="155"/>
      <c r="AU1218" s="155"/>
      <c r="AV1218" s="155"/>
      <c r="AW1218" s="155"/>
      <c r="AX1218" s="155"/>
    </row>
    <row r="1219" spans="4:50">
      <c r="D1219" s="155"/>
      <c r="E1219" s="155"/>
      <c r="F1219" s="155"/>
      <c r="G1219" s="155"/>
      <c r="H1219" s="155"/>
      <c r="I1219" s="155"/>
      <c r="J1219" s="155"/>
      <c r="K1219" s="155"/>
      <c r="L1219" s="155"/>
      <c r="M1219" s="155"/>
      <c r="N1219" s="155"/>
      <c r="O1219" s="155"/>
      <c r="P1219" s="155"/>
      <c r="Q1219" s="155"/>
      <c r="R1219" s="155"/>
      <c r="S1219" s="155"/>
      <c r="T1219" s="155"/>
      <c r="U1219" s="155"/>
      <c r="V1219" s="155"/>
      <c r="W1219" s="155"/>
      <c r="X1219" s="155"/>
      <c r="Y1219" s="155"/>
      <c r="Z1219" s="155"/>
      <c r="AA1219" s="155"/>
      <c r="AB1219" s="155"/>
      <c r="AC1219" s="155"/>
      <c r="AD1219" s="155"/>
      <c r="AE1219" s="155"/>
      <c r="AF1219" s="155"/>
      <c r="AG1219" s="155"/>
      <c r="AH1219" s="155"/>
      <c r="AI1219" s="155"/>
      <c r="AJ1219" s="155"/>
      <c r="AK1219" s="155"/>
      <c r="AL1219" s="155"/>
      <c r="AM1219" s="155"/>
      <c r="AN1219" s="155"/>
      <c r="AO1219" s="155"/>
      <c r="AP1219" s="155"/>
      <c r="AQ1219" s="155"/>
      <c r="AR1219" s="155"/>
      <c r="AS1219" s="155"/>
      <c r="AT1219" s="155"/>
      <c r="AU1219" s="155"/>
      <c r="AV1219" s="155"/>
      <c r="AW1219" s="155"/>
      <c r="AX1219" s="155"/>
    </row>
    <row r="1220" spans="4:50">
      <c r="D1220" s="155"/>
      <c r="E1220" s="155"/>
      <c r="F1220" s="155"/>
      <c r="G1220" s="155"/>
      <c r="H1220" s="155"/>
      <c r="I1220" s="155"/>
      <c r="J1220" s="155"/>
      <c r="K1220" s="155"/>
      <c r="L1220" s="155"/>
      <c r="M1220" s="155"/>
      <c r="N1220" s="155"/>
      <c r="O1220" s="155"/>
      <c r="P1220" s="155"/>
      <c r="Q1220" s="155"/>
      <c r="R1220" s="155"/>
      <c r="S1220" s="155"/>
      <c r="T1220" s="155"/>
      <c r="U1220" s="155"/>
      <c r="V1220" s="155"/>
      <c r="W1220" s="155"/>
      <c r="X1220" s="155"/>
      <c r="Y1220" s="155"/>
      <c r="Z1220" s="155"/>
      <c r="AA1220" s="155"/>
      <c r="AB1220" s="155"/>
      <c r="AC1220" s="155"/>
      <c r="AD1220" s="155"/>
      <c r="AE1220" s="155"/>
      <c r="AF1220" s="155"/>
      <c r="AG1220" s="155"/>
      <c r="AH1220" s="155"/>
      <c r="AI1220" s="155"/>
      <c r="AJ1220" s="155"/>
      <c r="AK1220" s="155"/>
      <c r="AL1220" s="155"/>
      <c r="AM1220" s="155"/>
      <c r="AN1220" s="155"/>
      <c r="AO1220" s="155"/>
      <c r="AP1220" s="155"/>
      <c r="AQ1220" s="155"/>
      <c r="AR1220" s="155"/>
      <c r="AS1220" s="155"/>
      <c r="AT1220" s="155"/>
      <c r="AU1220" s="155"/>
      <c r="AV1220" s="155"/>
      <c r="AW1220" s="155"/>
      <c r="AX1220" s="155"/>
    </row>
    <row r="1221" spans="4:50">
      <c r="D1221" s="155"/>
      <c r="E1221" s="155"/>
      <c r="F1221" s="155"/>
      <c r="G1221" s="155"/>
      <c r="H1221" s="155"/>
      <c r="I1221" s="155"/>
      <c r="J1221" s="155"/>
      <c r="K1221" s="155"/>
      <c r="L1221" s="155"/>
      <c r="M1221" s="155"/>
      <c r="N1221" s="155"/>
      <c r="O1221" s="155"/>
      <c r="P1221" s="155"/>
      <c r="Q1221" s="155"/>
      <c r="R1221" s="155"/>
      <c r="S1221" s="155"/>
      <c r="T1221" s="155"/>
      <c r="U1221" s="155"/>
      <c r="V1221" s="155"/>
      <c r="W1221" s="155"/>
      <c r="X1221" s="155"/>
      <c r="Y1221" s="155"/>
      <c r="Z1221" s="155"/>
      <c r="AA1221" s="155"/>
      <c r="AB1221" s="155"/>
      <c r="AC1221" s="155"/>
      <c r="AD1221" s="155"/>
      <c r="AE1221" s="155"/>
      <c r="AF1221" s="155"/>
      <c r="AG1221" s="155"/>
      <c r="AH1221" s="155"/>
      <c r="AI1221" s="155"/>
      <c r="AJ1221" s="155"/>
      <c r="AK1221" s="155"/>
      <c r="AL1221" s="155"/>
      <c r="AM1221" s="155"/>
      <c r="AN1221" s="155"/>
      <c r="AO1221" s="155"/>
      <c r="AP1221" s="155"/>
      <c r="AQ1221" s="155"/>
      <c r="AR1221" s="155"/>
      <c r="AS1221" s="155"/>
      <c r="AT1221" s="155"/>
      <c r="AU1221" s="155"/>
      <c r="AV1221" s="155"/>
      <c r="AW1221" s="155"/>
      <c r="AX1221" s="155"/>
    </row>
    <row r="1222" spans="4:50">
      <c r="D1222" s="155"/>
      <c r="E1222" s="155"/>
      <c r="F1222" s="155"/>
      <c r="G1222" s="155"/>
      <c r="H1222" s="155"/>
      <c r="I1222" s="155"/>
      <c r="J1222" s="155"/>
      <c r="K1222" s="155"/>
      <c r="L1222" s="155"/>
      <c r="M1222" s="155"/>
      <c r="N1222" s="155"/>
      <c r="O1222" s="155"/>
      <c r="P1222" s="155"/>
      <c r="Q1222" s="155"/>
      <c r="R1222" s="155"/>
      <c r="S1222" s="155"/>
      <c r="T1222" s="155"/>
      <c r="U1222" s="155"/>
      <c r="V1222" s="155"/>
      <c r="W1222" s="155"/>
      <c r="X1222" s="155"/>
      <c r="Y1222" s="155"/>
      <c r="Z1222" s="155"/>
      <c r="AA1222" s="155"/>
      <c r="AB1222" s="155"/>
      <c r="AC1222" s="155"/>
      <c r="AD1222" s="155"/>
      <c r="AE1222" s="155"/>
      <c r="AF1222" s="155"/>
      <c r="AG1222" s="155"/>
      <c r="AH1222" s="155"/>
      <c r="AI1222" s="155"/>
      <c r="AJ1222" s="155"/>
      <c r="AK1222" s="155"/>
      <c r="AL1222" s="155"/>
      <c r="AM1222" s="155"/>
      <c r="AN1222" s="155"/>
      <c r="AO1222" s="155"/>
      <c r="AP1222" s="155"/>
      <c r="AQ1222" s="155"/>
      <c r="AR1222" s="155"/>
      <c r="AS1222" s="155"/>
      <c r="AT1222" s="155"/>
      <c r="AU1222" s="155"/>
      <c r="AV1222" s="155"/>
      <c r="AW1222" s="155"/>
      <c r="AX1222" s="155"/>
    </row>
    <row r="1223" spans="4:50">
      <c r="D1223" s="155"/>
      <c r="E1223" s="155"/>
      <c r="F1223" s="155"/>
      <c r="G1223" s="155"/>
      <c r="H1223" s="155"/>
      <c r="I1223" s="155"/>
      <c r="J1223" s="155"/>
      <c r="K1223" s="155"/>
      <c r="L1223" s="155"/>
      <c r="M1223" s="155"/>
      <c r="N1223" s="155"/>
      <c r="O1223" s="155"/>
      <c r="P1223" s="155"/>
      <c r="Q1223" s="155"/>
      <c r="R1223" s="155"/>
      <c r="S1223" s="155"/>
      <c r="T1223" s="155"/>
      <c r="U1223" s="155"/>
      <c r="V1223" s="155"/>
      <c r="W1223" s="155"/>
      <c r="X1223" s="155"/>
      <c r="Y1223" s="155"/>
      <c r="Z1223" s="155"/>
      <c r="AA1223" s="155"/>
      <c r="AB1223" s="155"/>
      <c r="AC1223" s="155"/>
      <c r="AD1223" s="155"/>
      <c r="AE1223" s="155"/>
      <c r="AF1223" s="155"/>
      <c r="AG1223" s="155"/>
      <c r="AH1223" s="155"/>
      <c r="AI1223" s="155"/>
      <c r="AJ1223" s="155"/>
      <c r="AK1223" s="155"/>
      <c r="AL1223" s="155"/>
      <c r="AM1223" s="155"/>
      <c r="AN1223" s="155"/>
      <c r="AO1223" s="155"/>
      <c r="AP1223" s="155"/>
      <c r="AQ1223" s="155"/>
      <c r="AR1223" s="155"/>
      <c r="AS1223" s="155"/>
      <c r="AT1223" s="155"/>
      <c r="AU1223" s="155"/>
      <c r="AV1223" s="155"/>
      <c r="AW1223" s="155"/>
      <c r="AX1223" s="155"/>
    </row>
    <row r="1224" spans="4:50">
      <c r="D1224" s="155"/>
      <c r="E1224" s="155"/>
      <c r="F1224" s="155"/>
      <c r="G1224" s="155"/>
      <c r="H1224" s="155"/>
      <c r="I1224" s="155"/>
      <c r="J1224" s="155"/>
      <c r="K1224" s="155"/>
      <c r="L1224" s="155"/>
      <c r="M1224" s="155"/>
      <c r="N1224" s="155"/>
      <c r="O1224" s="155"/>
      <c r="P1224" s="155"/>
      <c r="Q1224" s="155"/>
      <c r="R1224" s="155"/>
      <c r="S1224" s="155"/>
      <c r="T1224" s="155"/>
      <c r="U1224" s="155"/>
      <c r="V1224" s="155"/>
      <c r="W1224" s="155"/>
      <c r="X1224" s="155"/>
      <c r="Y1224" s="155"/>
      <c r="Z1224" s="155"/>
      <c r="AA1224" s="155"/>
      <c r="AB1224" s="155"/>
      <c r="AC1224" s="155"/>
      <c r="AD1224" s="155"/>
      <c r="AE1224" s="155"/>
      <c r="AF1224" s="155"/>
      <c r="AG1224" s="155"/>
      <c r="AH1224" s="155"/>
      <c r="AI1224" s="155"/>
      <c r="AJ1224" s="155"/>
      <c r="AK1224" s="155"/>
      <c r="AL1224" s="155"/>
      <c r="AM1224" s="155"/>
      <c r="AN1224" s="155"/>
      <c r="AO1224" s="155"/>
      <c r="AP1224" s="155"/>
      <c r="AQ1224" s="155"/>
      <c r="AR1224" s="155"/>
      <c r="AS1224" s="155"/>
      <c r="AT1224" s="155"/>
      <c r="AU1224" s="155"/>
      <c r="AV1224" s="155"/>
      <c r="AW1224" s="155"/>
      <c r="AX1224" s="155"/>
    </row>
    <row r="1225" spans="4:50">
      <c r="D1225" s="155"/>
      <c r="E1225" s="155"/>
      <c r="F1225" s="155"/>
      <c r="G1225" s="155"/>
      <c r="H1225" s="155"/>
      <c r="I1225" s="155"/>
      <c r="J1225" s="155"/>
      <c r="K1225" s="155"/>
      <c r="L1225" s="155"/>
      <c r="M1225" s="155"/>
      <c r="N1225" s="155"/>
      <c r="O1225" s="155"/>
      <c r="P1225" s="155"/>
      <c r="Q1225" s="155"/>
      <c r="R1225" s="155"/>
      <c r="S1225" s="155"/>
      <c r="T1225" s="155"/>
      <c r="U1225" s="155"/>
      <c r="V1225" s="155"/>
      <c r="W1225" s="155"/>
      <c r="X1225" s="155"/>
      <c r="Y1225" s="155"/>
      <c r="Z1225" s="155"/>
      <c r="AA1225" s="155"/>
      <c r="AB1225" s="155"/>
      <c r="AC1225" s="155"/>
      <c r="AD1225" s="155"/>
      <c r="AE1225" s="155"/>
      <c r="AF1225" s="155"/>
      <c r="AG1225" s="155"/>
      <c r="AH1225" s="155"/>
      <c r="AI1225" s="155"/>
      <c r="AJ1225" s="155"/>
      <c r="AK1225" s="155"/>
      <c r="AL1225" s="155"/>
      <c r="AM1225" s="155"/>
      <c r="AN1225" s="155"/>
      <c r="AO1225" s="155"/>
      <c r="AP1225" s="155"/>
      <c r="AQ1225" s="155"/>
      <c r="AR1225" s="155"/>
      <c r="AS1225" s="155"/>
      <c r="AT1225" s="155"/>
      <c r="AU1225" s="155"/>
      <c r="AV1225" s="155"/>
      <c r="AW1225" s="155"/>
      <c r="AX1225" s="155"/>
    </row>
    <row r="1226" spans="4:50">
      <c r="D1226" s="155"/>
      <c r="E1226" s="155"/>
      <c r="F1226" s="155"/>
      <c r="G1226" s="155"/>
      <c r="H1226" s="155"/>
      <c r="I1226" s="155"/>
      <c r="J1226" s="155"/>
      <c r="K1226" s="155"/>
      <c r="L1226" s="155"/>
      <c r="M1226" s="155"/>
      <c r="N1226" s="155"/>
      <c r="O1226" s="155"/>
      <c r="P1226" s="155"/>
      <c r="Q1226" s="155"/>
      <c r="R1226" s="155"/>
      <c r="S1226" s="155"/>
      <c r="T1226" s="155"/>
      <c r="U1226" s="155"/>
      <c r="V1226" s="155"/>
      <c r="W1226" s="155"/>
      <c r="X1226" s="155"/>
      <c r="Y1226" s="155"/>
      <c r="Z1226" s="155"/>
      <c r="AA1226" s="155"/>
      <c r="AB1226" s="155"/>
      <c r="AC1226" s="155"/>
      <c r="AD1226" s="155"/>
      <c r="AE1226" s="155"/>
      <c r="AF1226" s="155"/>
      <c r="AG1226" s="155"/>
      <c r="AH1226" s="155"/>
      <c r="AI1226" s="155"/>
      <c r="AJ1226" s="155"/>
      <c r="AK1226" s="155"/>
      <c r="AL1226" s="155"/>
      <c r="AM1226" s="155"/>
      <c r="AN1226" s="155"/>
      <c r="AO1226" s="155"/>
      <c r="AP1226" s="155"/>
      <c r="AQ1226" s="155"/>
      <c r="AR1226" s="155"/>
      <c r="AS1226" s="155"/>
      <c r="AT1226" s="155"/>
      <c r="AU1226" s="155"/>
      <c r="AV1226" s="155"/>
      <c r="AW1226" s="155"/>
      <c r="AX1226" s="155"/>
    </row>
    <row r="1227" spans="4:50">
      <c r="D1227" s="155"/>
      <c r="E1227" s="155"/>
      <c r="F1227" s="155"/>
      <c r="G1227" s="155"/>
      <c r="H1227" s="155"/>
      <c r="I1227" s="155"/>
      <c r="J1227" s="155"/>
      <c r="K1227" s="155"/>
      <c r="L1227" s="155"/>
      <c r="M1227" s="155"/>
      <c r="N1227" s="155"/>
      <c r="O1227" s="155"/>
      <c r="P1227" s="155"/>
      <c r="Q1227" s="155"/>
      <c r="R1227" s="155"/>
      <c r="S1227" s="155"/>
      <c r="T1227" s="155"/>
      <c r="U1227" s="155"/>
      <c r="V1227" s="155"/>
      <c r="W1227" s="155"/>
      <c r="X1227" s="155"/>
      <c r="Y1227" s="155"/>
      <c r="Z1227" s="155"/>
      <c r="AA1227" s="155"/>
      <c r="AB1227" s="155"/>
      <c r="AC1227" s="155"/>
      <c r="AD1227" s="155"/>
      <c r="AE1227" s="155"/>
      <c r="AF1227" s="155"/>
      <c r="AG1227" s="155"/>
      <c r="AH1227" s="155"/>
      <c r="AI1227" s="155"/>
      <c r="AJ1227" s="155"/>
      <c r="AK1227" s="155"/>
      <c r="AL1227" s="155"/>
      <c r="AM1227" s="155"/>
      <c r="AN1227" s="155"/>
      <c r="AO1227" s="155"/>
      <c r="AP1227" s="155"/>
      <c r="AQ1227" s="155"/>
      <c r="AR1227" s="155"/>
      <c r="AS1227" s="155"/>
      <c r="AT1227" s="155"/>
      <c r="AU1227" s="155"/>
      <c r="AV1227" s="155"/>
      <c r="AW1227" s="155"/>
      <c r="AX1227" s="155"/>
    </row>
    <row r="1228" spans="4:50">
      <c r="D1228" s="155"/>
      <c r="E1228" s="155"/>
      <c r="F1228" s="155"/>
      <c r="G1228" s="155"/>
      <c r="H1228" s="155"/>
      <c r="I1228" s="155"/>
      <c r="J1228" s="155"/>
      <c r="K1228" s="155"/>
      <c r="L1228" s="155"/>
      <c r="M1228" s="155"/>
      <c r="N1228" s="155"/>
      <c r="O1228" s="155"/>
      <c r="P1228" s="155"/>
      <c r="Q1228" s="155"/>
      <c r="R1228" s="155"/>
      <c r="S1228" s="155"/>
      <c r="T1228" s="155"/>
      <c r="U1228" s="155"/>
      <c r="V1228" s="155"/>
      <c r="W1228" s="155"/>
      <c r="X1228" s="155"/>
      <c r="Y1228" s="155"/>
      <c r="Z1228" s="155"/>
      <c r="AA1228" s="155"/>
      <c r="AB1228" s="155"/>
      <c r="AC1228" s="155"/>
      <c r="AD1228" s="155"/>
      <c r="AE1228" s="155"/>
      <c r="AF1228" s="155"/>
      <c r="AG1228" s="155"/>
      <c r="AH1228" s="155"/>
      <c r="AI1228" s="155"/>
      <c r="AJ1228" s="155"/>
      <c r="AK1228" s="155"/>
      <c r="AL1228" s="155"/>
      <c r="AM1228" s="155"/>
      <c r="AN1228" s="155"/>
      <c r="AO1228" s="155"/>
      <c r="AP1228" s="155"/>
      <c r="AQ1228" s="155"/>
      <c r="AR1228" s="155"/>
      <c r="AS1228" s="155"/>
      <c r="AT1228" s="155"/>
      <c r="AU1228" s="155"/>
      <c r="AV1228" s="155"/>
      <c r="AW1228" s="155"/>
      <c r="AX1228" s="155"/>
    </row>
    <row r="1229" spans="4:50">
      <c r="D1229" s="155"/>
      <c r="E1229" s="155"/>
      <c r="F1229" s="155"/>
      <c r="G1229" s="155"/>
      <c r="H1229" s="155"/>
      <c r="I1229" s="155"/>
      <c r="J1229" s="155"/>
      <c r="K1229" s="155"/>
      <c r="L1229" s="155"/>
      <c r="M1229" s="155"/>
      <c r="N1229" s="155"/>
      <c r="O1229" s="155"/>
      <c r="P1229" s="155"/>
      <c r="Q1229" s="155"/>
      <c r="R1229" s="155"/>
      <c r="S1229" s="155"/>
      <c r="T1229" s="155"/>
      <c r="U1229" s="155"/>
      <c r="V1229" s="155"/>
      <c r="W1229" s="155"/>
      <c r="X1229" s="155"/>
      <c r="Y1229" s="155"/>
      <c r="Z1229" s="155"/>
      <c r="AA1229" s="155"/>
      <c r="AB1229" s="155"/>
      <c r="AC1229" s="155"/>
      <c r="AD1229" s="155"/>
      <c r="AE1229" s="155"/>
      <c r="AF1229" s="155"/>
      <c r="AG1229" s="155"/>
      <c r="AH1229" s="155"/>
      <c r="AI1229" s="155"/>
      <c r="AJ1229" s="155"/>
      <c r="AK1229" s="155"/>
      <c r="AL1229" s="155"/>
      <c r="AM1229" s="155"/>
      <c r="AN1229" s="155"/>
      <c r="AO1229" s="155"/>
      <c r="AP1229" s="155"/>
      <c r="AQ1229" s="155"/>
      <c r="AR1229" s="155"/>
      <c r="AS1229" s="155"/>
      <c r="AT1229" s="155"/>
      <c r="AU1229" s="155"/>
      <c r="AV1229" s="155"/>
      <c r="AW1229" s="155"/>
      <c r="AX1229" s="155"/>
    </row>
    <row r="1230" spans="4:50">
      <c r="D1230" s="155"/>
      <c r="E1230" s="155"/>
      <c r="F1230" s="155"/>
      <c r="G1230" s="155"/>
      <c r="H1230" s="155"/>
      <c r="I1230" s="155"/>
      <c r="J1230" s="155"/>
      <c r="K1230" s="155"/>
      <c r="L1230" s="155"/>
      <c r="M1230" s="155"/>
      <c r="N1230" s="155"/>
      <c r="O1230" s="155"/>
      <c r="P1230" s="155"/>
      <c r="Q1230" s="155"/>
      <c r="R1230" s="155"/>
      <c r="S1230" s="155"/>
      <c r="T1230" s="155"/>
      <c r="U1230" s="155"/>
      <c r="V1230" s="155"/>
      <c r="W1230" s="155"/>
      <c r="X1230" s="155"/>
      <c r="Y1230" s="155"/>
      <c r="Z1230" s="155"/>
      <c r="AA1230" s="155"/>
      <c r="AB1230" s="155"/>
      <c r="AC1230" s="155"/>
      <c r="AD1230" s="155"/>
      <c r="AE1230" s="155"/>
      <c r="AF1230" s="155"/>
      <c r="AG1230" s="155"/>
      <c r="AH1230" s="155"/>
      <c r="AI1230" s="155"/>
      <c r="AJ1230" s="155"/>
      <c r="AK1230" s="155"/>
      <c r="AL1230" s="155"/>
      <c r="AM1230" s="155"/>
      <c r="AN1230" s="155"/>
      <c r="AO1230" s="155"/>
      <c r="AP1230" s="155"/>
      <c r="AQ1230" s="155"/>
      <c r="AR1230" s="155"/>
      <c r="AS1230" s="155"/>
      <c r="AT1230" s="155"/>
      <c r="AU1230" s="155"/>
      <c r="AV1230" s="155"/>
      <c r="AW1230" s="155"/>
      <c r="AX1230" s="155"/>
    </row>
    <row r="1231" spans="4:50">
      <c r="D1231" s="155"/>
      <c r="E1231" s="155"/>
      <c r="F1231" s="155"/>
      <c r="G1231" s="155"/>
      <c r="H1231" s="155"/>
      <c r="I1231" s="155"/>
      <c r="J1231" s="155"/>
      <c r="K1231" s="155"/>
      <c r="L1231" s="155"/>
      <c r="M1231" s="155"/>
      <c r="N1231" s="155"/>
      <c r="O1231" s="155"/>
      <c r="P1231" s="155"/>
      <c r="Q1231" s="155"/>
      <c r="R1231" s="155"/>
      <c r="S1231" s="155"/>
      <c r="T1231" s="155"/>
      <c r="U1231" s="155"/>
      <c r="V1231" s="155"/>
      <c r="W1231" s="155"/>
      <c r="X1231" s="155"/>
      <c r="Y1231" s="155"/>
      <c r="Z1231" s="155"/>
      <c r="AA1231" s="155"/>
      <c r="AB1231" s="155"/>
      <c r="AC1231" s="155"/>
      <c r="AD1231" s="155"/>
      <c r="AE1231" s="155"/>
      <c r="AF1231" s="155"/>
      <c r="AG1231" s="155"/>
      <c r="AH1231" s="155"/>
      <c r="AI1231" s="155"/>
      <c r="AJ1231" s="155"/>
      <c r="AK1231" s="155"/>
      <c r="AL1231" s="155"/>
      <c r="AM1231" s="155"/>
      <c r="AN1231" s="155"/>
      <c r="AO1231" s="155"/>
      <c r="AP1231" s="155"/>
      <c r="AQ1231" s="155"/>
      <c r="AR1231" s="155"/>
      <c r="AS1231" s="155"/>
      <c r="AT1231" s="155"/>
      <c r="AU1231" s="155"/>
      <c r="AV1231" s="155"/>
      <c r="AW1231" s="155"/>
      <c r="AX1231" s="155"/>
    </row>
    <row r="1232" spans="4:50">
      <c r="D1232" s="155"/>
      <c r="E1232" s="155"/>
      <c r="F1232" s="155"/>
      <c r="G1232" s="155"/>
      <c r="H1232" s="155"/>
      <c r="I1232" s="155"/>
      <c r="J1232" s="155"/>
      <c r="K1232" s="155"/>
      <c r="L1232" s="155"/>
      <c r="M1232" s="155"/>
      <c r="N1232" s="155"/>
      <c r="O1232" s="155"/>
      <c r="P1232" s="155"/>
      <c r="Q1232" s="155"/>
      <c r="R1232" s="155"/>
      <c r="S1232" s="155"/>
      <c r="T1232" s="155"/>
      <c r="U1232" s="155"/>
      <c r="V1232" s="155"/>
      <c r="W1232" s="155"/>
      <c r="X1232" s="155"/>
      <c r="Y1232" s="155"/>
      <c r="Z1232" s="155"/>
      <c r="AA1232" s="155"/>
      <c r="AB1232" s="155"/>
      <c r="AC1232" s="155"/>
      <c r="AD1232" s="155"/>
      <c r="AE1232" s="155"/>
      <c r="AF1232" s="155"/>
      <c r="AG1232" s="155"/>
      <c r="AH1232" s="155"/>
      <c r="AI1232" s="155"/>
      <c r="AJ1232" s="155"/>
      <c r="AK1232" s="155"/>
      <c r="AL1232" s="155"/>
      <c r="AM1232" s="155"/>
      <c r="AN1232" s="155"/>
      <c r="AO1232" s="155"/>
      <c r="AP1232" s="155"/>
      <c r="AQ1232" s="155"/>
      <c r="AR1232" s="155"/>
      <c r="AS1232" s="155"/>
      <c r="AT1232" s="155"/>
      <c r="AU1232" s="155"/>
      <c r="AV1232" s="155"/>
      <c r="AW1232" s="155"/>
      <c r="AX1232" s="155"/>
    </row>
    <row r="1233" spans="4:50">
      <c r="D1233" s="155"/>
      <c r="E1233" s="155"/>
      <c r="F1233" s="155"/>
      <c r="G1233" s="155"/>
      <c r="H1233" s="155"/>
      <c r="I1233" s="155"/>
      <c r="J1233" s="155"/>
      <c r="K1233" s="155"/>
      <c r="L1233" s="155"/>
      <c r="M1233" s="155"/>
      <c r="N1233" s="155"/>
      <c r="O1233" s="155"/>
      <c r="P1233" s="155"/>
      <c r="Q1233" s="155"/>
      <c r="R1233" s="155"/>
      <c r="S1233" s="155"/>
      <c r="T1233" s="155"/>
      <c r="U1233" s="155"/>
      <c r="V1233" s="155"/>
      <c r="W1233" s="155"/>
      <c r="X1233" s="155"/>
      <c r="Y1233" s="155"/>
      <c r="Z1233" s="155"/>
      <c r="AA1233" s="155"/>
      <c r="AB1233" s="155"/>
      <c r="AC1233" s="155"/>
      <c r="AD1233" s="155"/>
      <c r="AE1233" s="155"/>
      <c r="AF1233" s="155"/>
      <c r="AG1233" s="155"/>
      <c r="AH1233" s="155"/>
      <c r="AI1233" s="155"/>
      <c r="AJ1233" s="155"/>
      <c r="AK1233" s="155"/>
      <c r="AL1233" s="155"/>
      <c r="AM1233" s="155"/>
      <c r="AN1233" s="155"/>
      <c r="AO1233" s="155"/>
      <c r="AP1233" s="155"/>
      <c r="AQ1233" s="155"/>
      <c r="AR1233" s="155"/>
      <c r="AS1233" s="155"/>
      <c r="AT1233" s="155"/>
      <c r="AU1233" s="155"/>
      <c r="AV1233" s="155"/>
      <c r="AW1233" s="155"/>
      <c r="AX1233" s="155"/>
    </row>
    <row r="1234" spans="4:50">
      <c r="D1234" s="155"/>
      <c r="E1234" s="155"/>
      <c r="F1234" s="155"/>
      <c r="G1234" s="155"/>
      <c r="H1234" s="155"/>
      <c r="I1234" s="155"/>
      <c r="J1234" s="155"/>
      <c r="K1234" s="155"/>
      <c r="L1234" s="155"/>
      <c r="M1234" s="155"/>
      <c r="N1234" s="155"/>
      <c r="O1234" s="155"/>
      <c r="P1234" s="155"/>
      <c r="Q1234" s="155"/>
      <c r="R1234" s="155"/>
      <c r="S1234" s="155"/>
      <c r="T1234" s="155"/>
      <c r="U1234" s="155"/>
      <c r="V1234" s="155"/>
      <c r="W1234" s="155"/>
      <c r="X1234" s="155"/>
      <c r="Y1234" s="155"/>
      <c r="Z1234" s="155"/>
      <c r="AA1234" s="155"/>
      <c r="AB1234" s="155"/>
      <c r="AC1234" s="155"/>
      <c r="AD1234" s="155"/>
      <c r="AE1234" s="155"/>
      <c r="AF1234" s="155"/>
      <c r="AG1234" s="155"/>
      <c r="AH1234" s="155"/>
      <c r="AI1234" s="155"/>
      <c r="AJ1234" s="155"/>
      <c r="AK1234" s="155"/>
      <c r="AL1234" s="155"/>
      <c r="AM1234" s="155"/>
      <c r="AN1234" s="155"/>
      <c r="AO1234" s="155"/>
      <c r="AP1234" s="155"/>
      <c r="AQ1234" s="155"/>
      <c r="AR1234" s="155"/>
      <c r="AS1234" s="155"/>
      <c r="AT1234" s="155"/>
      <c r="AU1234" s="155"/>
      <c r="AV1234" s="155"/>
      <c r="AW1234" s="155"/>
      <c r="AX1234" s="155"/>
    </row>
    <row r="1235" spans="4:50">
      <c r="D1235" s="155"/>
      <c r="E1235" s="155"/>
      <c r="F1235" s="155"/>
      <c r="G1235" s="155"/>
      <c r="H1235" s="155"/>
      <c r="I1235" s="155"/>
      <c r="J1235" s="155"/>
      <c r="K1235" s="155"/>
      <c r="L1235" s="155"/>
      <c r="M1235" s="155"/>
      <c r="N1235" s="155"/>
      <c r="O1235" s="155"/>
      <c r="P1235" s="155"/>
      <c r="Q1235" s="155"/>
      <c r="R1235" s="155"/>
      <c r="S1235" s="155"/>
      <c r="T1235" s="155"/>
      <c r="U1235" s="155"/>
      <c r="V1235" s="155"/>
      <c r="W1235" s="155"/>
      <c r="X1235" s="155"/>
      <c r="Y1235" s="155"/>
      <c r="Z1235" s="155"/>
      <c r="AA1235" s="155"/>
      <c r="AB1235" s="155"/>
      <c r="AC1235" s="155"/>
      <c r="AD1235" s="155"/>
      <c r="AE1235" s="155"/>
      <c r="AF1235" s="155"/>
      <c r="AG1235" s="155"/>
      <c r="AH1235" s="155"/>
      <c r="AI1235" s="155"/>
      <c r="AJ1235" s="155"/>
      <c r="AK1235" s="155"/>
      <c r="AL1235" s="155"/>
      <c r="AM1235" s="155"/>
      <c r="AN1235" s="155"/>
      <c r="AO1235" s="155"/>
      <c r="AP1235" s="155"/>
      <c r="AQ1235" s="155"/>
      <c r="AR1235" s="155"/>
      <c r="AS1235" s="155"/>
      <c r="AT1235" s="155"/>
      <c r="AU1235" s="155"/>
      <c r="AV1235" s="155"/>
      <c r="AW1235" s="155"/>
      <c r="AX1235" s="155"/>
    </row>
    <row r="1236" spans="4:50">
      <c r="D1236" s="155"/>
      <c r="E1236" s="155"/>
      <c r="F1236" s="155"/>
      <c r="G1236" s="155"/>
      <c r="H1236" s="155"/>
      <c r="I1236" s="155"/>
      <c r="J1236" s="155"/>
      <c r="K1236" s="155"/>
      <c r="L1236" s="155"/>
      <c r="M1236" s="155"/>
      <c r="N1236" s="155"/>
      <c r="O1236" s="155"/>
      <c r="P1236" s="155"/>
      <c r="Q1236" s="155"/>
      <c r="R1236" s="155"/>
      <c r="S1236" s="155"/>
      <c r="T1236" s="155"/>
      <c r="U1236" s="155"/>
      <c r="V1236" s="155"/>
      <c r="W1236" s="155"/>
      <c r="X1236" s="155"/>
      <c r="Y1236" s="155"/>
      <c r="Z1236" s="155"/>
      <c r="AA1236" s="155"/>
      <c r="AB1236" s="155"/>
      <c r="AC1236" s="155"/>
      <c r="AD1236" s="155"/>
      <c r="AE1236" s="155"/>
      <c r="AF1236" s="155"/>
      <c r="AG1236" s="155"/>
      <c r="AH1236" s="155"/>
      <c r="AI1236" s="155"/>
      <c r="AJ1236" s="155"/>
      <c r="AK1236" s="155"/>
      <c r="AL1236" s="155"/>
      <c r="AM1236" s="155"/>
      <c r="AN1236" s="155"/>
      <c r="AO1236" s="155"/>
      <c r="AP1236" s="155"/>
      <c r="AQ1236" s="155"/>
      <c r="AR1236" s="155"/>
      <c r="AS1236" s="155"/>
      <c r="AT1236" s="155"/>
      <c r="AU1236" s="155"/>
      <c r="AV1236" s="155"/>
      <c r="AW1236" s="155"/>
      <c r="AX1236" s="155"/>
    </row>
    <row r="1237" spans="4:50">
      <c r="D1237" s="155"/>
      <c r="E1237" s="155"/>
      <c r="F1237" s="155"/>
      <c r="G1237" s="155"/>
      <c r="H1237" s="155"/>
      <c r="I1237" s="155"/>
      <c r="J1237" s="155"/>
      <c r="K1237" s="155"/>
      <c r="L1237" s="155"/>
      <c r="M1237" s="155"/>
      <c r="N1237" s="155"/>
      <c r="O1237" s="155"/>
      <c r="P1237" s="155"/>
      <c r="Q1237" s="155"/>
      <c r="R1237" s="155"/>
      <c r="S1237" s="155"/>
      <c r="T1237" s="155"/>
      <c r="U1237" s="155"/>
      <c r="V1237" s="155"/>
      <c r="W1237" s="155"/>
      <c r="X1237" s="155"/>
      <c r="Y1237" s="155"/>
      <c r="Z1237" s="155"/>
      <c r="AA1237" s="155"/>
      <c r="AB1237" s="155"/>
      <c r="AC1237" s="155"/>
      <c r="AD1237" s="155"/>
      <c r="AE1237" s="155"/>
      <c r="AF1237" s="155"/>
      <c r="AG1237" s="155"/>
      <c r="AH1237" s="155"/>
      <c r="AI1237" s="155"/>
      <c r="AJ1237" s="155"/>
      <c r="AK1237" s="155"/>
      <c r="AL1237" s="155"/>
      <c r="AM1237" s="155"/>
      <c r="AN1237" s="155"/>
      <c r="AO1237" s="155"/>
      <c r="AP1237" s="155"/>
      <c r="AQ1237" s="155"/>
      <c r="AR1237" s="155"/>
      <c r="AS1237" s="155"/>
      <c r="AT1237" s="155"/>
      <c r="AU1237" s="155"/>
      <c r="AV1237" s="155"/>
      <c r="AW1237" s="155"/>
      <c r="AX1237" s="155"/>
    </row>
    <row r="1238" spans="4:50">
      <c r="D1238" s="155"/>
      <c r="E1238" s="155"/>
      <c r="F1238" s="155"/>
      <c r="G1238" s="155"/>
      <c r="H1238" s="155"/>
      <c r="I1238" s="155"/>
      <c r="J1238" s="155"/>
      <c r="K1238" s="155"/>
      <c r="L1238" s="155"/>
      <c r="M1238" s="155"/>
      <c r="N1238" s="155"/>
      <c r="O1238" s="155"/>
      <c r="P1238" s="155"/>
      <c r="Q1238" s="155"/>
      <c r="R1238" s="155"/>
      <c r="S1238" s="155"/>
      <c r="T1238" s="155"/>
      <c r="U1238" s="155"/>
      <c r="V1238" s="155"/>
      <c r="W1238" s="155"/>
      <c r="X1238" s="155"/>
      <c r="Y1238" s="155"/>
      <c r="Z1238" s="155"/>
      <c r="AA1238" s="155"/>
      <c r="AB1238" s="155"/>
      <c r="AC1238" s="155"/>
      <c r="AD1238" s="155"/>
      <c r="AE1238" s="155"/>
      <c r="AF1238" s="155"/>
      <c r="AG1238" s="155"/>
      <c r="AH1238" s="155"/>
      <c r="AI1238" s="155"/>
      <c r="AJ1238" s="155"/>
      <c r="AK1238" s="155"/>
      <c r="AL1238" s="155"/>
      <c r="AM1238" s="155"/>
      <c r="AN1238" s="155"/>
      <c r="AO1238" s="155"/>
      <c r="AP1238" s="155"/>
      <c r="AQ1238" s="155"/>
      <c r="AR1238" s="155"/>
      <c r="AS1238" s="155"/>
      <c r="AT1238" s="155"/>
      <c r="AU1238" s="155"/>
      <c r="AV1238" s="155"/>
      <c r="AW1238" s="155"/>
      <c r="AX1238" s="155"/>
    </row>
    <row r="1239" spans="4:50">
      <c r="D1239" s="155"/>
      <c r="E1239" s="155"/>
      <c r="F1239" s="155"/>
      <c r="G1239" s="155"/>
      <c r="H1239" s="155"/>
      <c r="I1239" s="155"/>
      <c r="J1239" s="155"/>
      <c r="K1239" s="155"/>
      <c r="L1239" s="155"/>
      <c r="M1239" s="155"/>
      <c r="N1239" s="155"/>
      <c r="O1239" s="155"/>
      <c r="P1239" s="155"/>
      <c r="Q1239" s="155"/>
      <c r="R1239" s="155"/>
      <c r="S1239" s="155"/>
      <c r="T1239" s="155"/>
      <c r="U1239" s="155"/>
      <c r="V1239" s="155"/>
      <c r="W1239" s="155"/>
      <c r="X1239" s="155"/>
      <c r="Y1239" s="155"/>
      <c r="Z1239" s="155"/>
      <c r="AA1239" s="155"/>
      <c r="AB1239" s="155"/>
      <c r="AC1239" s="155"/>
      <c r="AD1239" s="155"/>
      <c r="AE1239" s="155"/>
      <c r="AF1239" s="155"/>
      <c r="AG1239" s="155"/>
      <c r="AH1239" s="155"/>
      <c r="AI1239" s="155"/>
      <c r="AJ1239" s="155"/>
      <c r="AK1239" s="155"/>
      <c r="AL1239" s="155"/>
      <c r="AM1239" s="155"/>
      <c r="AN1239" s="155"/>
      <c r="AO1239" s="155"/>
      <c r="AP1239" s="155"/>
      <c r="AQ1239" s="155"/>
      <c r="AR1239" s="155"/>
      <c r="AS1239" s="155"/>
      <c r="AT1239" s="155"/>
      <c r="AU1239" s="155"/>
      <c r="AV1239" s="155"/>
      <c r="AW1239" s="155"/>
      <c r="AX1239" s="155"/>
    </row>
    <row r="1240" spans="4:50">
      <c r="D1240" s="155"/>
      <c r="E1240" s="155"/>
      <c r="F1240" s="155"/>
      <c r="G1240" s="155"/>
      <c r="H1240" s="155"/>
      <c r="I1240" s="155"/>
      <c r="J1240" s="155"/>
      <c r="K1240" s="155"/>
      <c r="L1240" s="155"/>
      <c r="M1240" s="155"/>
      <c r="N1240" s="155"/>
      <c r="O1240" s="155"/>
      <c r="P1240" s="155"/>
      <c r="Q1240" s="155"/>
      <c r="R1240" s="155"/>
      <c r="S1240" s="155"/>
      <c r="T1240" s="155"/>
      <c r="U1240" s="155"/>
      <c r="V1240" s="155"/>
      <c r="W1240" s="155"/>
      <c r="X1240" s="155"/>
      <c r="Y1240" s="155"/>
      <c r="Z1240" s="155"/>
      <c r="AA1240" s="155"/>
      <c r="AB1240" s="155"/>
      <c r="AC1240" s="155"/>
      <c r="AD1240" s="155"/>
      <c r="AE1240" s="155"/>
      <c r="AF1240" s="155"/>
      <c r="AG1240" s="155"/>
      <c r="AH1240" s="155"/>
      <c r="AI1240" s="155"/>
      <c r="AJ1240" s="155"/>
      <c r="AK1240" s="155"/>
      <c r="AL1240" s="155"/>
      <c r="AM1240" s="155"/>
      <c r="AN1240" s="155"/>
      <c r="AO1240" s="155"/>
      <c r="AP1240" s="155"/>
      <c r="AQ1240" s="155"/>
      <c r="AR1240" s="155"/>
      <c r="AS1240" s="155"/>
      <c r="AT1240" s="155"/>
      <c r="AU1240" s="155"/>
      <c r="AV1240" s="155"/>
      <c r="AW1240" s="155"/>
      <c r="AX1240" s="155"/>
    </row>
    <row r="1241" spans="4:50">
      <c r="D1241" s="155"/>
      <c r="E1241" s="155"/>
      <c r="F1241" s="155"/>
      <c r="G1241" s="155"/>
      <c r="H1241" s="155"/>
      <c r="I1241" s="155"/>
      <c r="J1241" s="155"/>
      <c r="K1241" s="155"/>
      <c r="L1241" s="155"/>
      <c r="M1241" s="155"/>
      <c r="N1241" s="155"/>
      <c r="O1241" s="155"/>
      <c r="P1241" s="155"/>
      <c r="Q1241" s="155"/>
      <c r="R1241" s="155"/>
      <c r="S1241" s="155"/>
      <c r="T1241" s="155"/>
      <c r="U1241" s="155"/>
      <c r="V1241" s="155"/>
      <c r="W1241" s="155"/>
      <c r="X1241" s="155"/>
      <c r="Y1241" s="155"/>
      <c r="Z1241" s="155"/>
      <c r="AA1241" s="155"/>
      <c r="AB1241" s="155"/>
      <c r="AC1241" s="155"/>
      <c r="AD1241" s="155"/>
      <c r="AE1241" s="155"/>
      <c r="AF1241" s="155"/>
      <c r="AG1241" s="155"/>
      <c r="AH1241" s="155"/>
      <c r="AI1241" s="155"/>
      <c r="AJ1241" s="155"/>
      <c r="AK1241" s="155"/>
      <c r="AL1241" s="155"/>
      <c r="AM1241" s="155"/>
      <c r="AN1241" s="155"/>
      <c r="AO1241" s="155"/>
      <c r="AP1241" s="155"/>
      <c r="AQ1241" s="155"/>
      <c r="AR1241" s="155"/>
      <c r="AS1241" s="155"/>
      <c r="AT1241" s="155"/>
      <c r="AU1241" s="155"/>
      <c r="AV1241" s="155"/>
      <c r="AW1241" s="155"/>
      <c r="AX1241" s="155"/>
    </row>
    <row r="1242" spans="4:50">
      <c r="D1242" s="155"/>
      <c r="E1242" s="155"/>
      <c r="F1242" s="155"/>
      <c r="G1242" s="155"/>
      <c r="H1242" s="155"/>
      <c r="I1242" s="155"/>
      <c r="J1242" s="155"/>
      <c r="K1242" s="155"/>
      <c r="L1242" s="155"/>
      <c r="M1242" s="155"/>
      <c r="N1242" s="155"/>
      <c r="O1242" s="155"/>
      <c r="P1242" s="155"/>
      <c r="Q1242" s="155"/>
      <c r="R1242" s="155"/>
      <c r="S1242" s="155"/>
      <c r="T1242" s="155"/>
      <c r="U1242" s="155"/>
      <c r="V1242" s="155"/>
      <c r="W1242" s="155"/>
      <c r="X1242" s="155"/>
      <c r="Y1242" s="155"/>
      <c r="Z1242" s="155"/>
      <c r="AA1242" s="155"/>
      <c r="AB1242" s="155"/>
      <c r="AC1242" s="155"/>
      <c r="AD1242" s="155"/>
      <c r="AE1242" s="155"/>
      <c r="AF1242" s="155"/>
      <c r="AG1242" s="155"/>
      <c r="AH1242" s="155"/>
      <c r="AI1242" s="155"/>
      <c r="AJ1242" s="155"/>
      <c r="AK1242" s="155"/>
      <c r="AL1242" s="155"/>
      <c r="AM1242" s="155"/>
      <c r="AN1242" s="155"/>
      <c r="AO1242" s="155"/>
      <c r="AP1242" s="155"/>
      <c r="AQ1242" s="155"/>
      <c r="AR1242" s="155"/>
      <c r="AS1242" s="155"/>
      <c r="AT1242" s="155"/>
      <c r="AU1242" s="155"/>
      <c r="AV1242" s="155"/>
      <c r="AW1242" s="155"/>
      <c r="AX1242" s="155"/>
    </row>
    <row r="1243" spans="4:50">
      <c r="D1243" s="155"/>
      <c r="E1243" s="155"/>
      <c r="F1243" s="155"/>
      <c r="G1243" s="155"/>
      <c r="H1243" s="155"/>
      <c r="I1243" s="155"/>
      <c r="J1243" s="155"/>
      <c r="K1243" s="155"/>
      <c r="L1243" s="155"/>
      <c r="M1243" s="155"/>
      <c r="N1243" s="155"/>
      <c r="O1243" s="155"/>
      <c r="P1243" s="155"/>
      <c r="Q1243" s="155"/>
      <c r="R1243" s="155"/>
      <c r="S1243" s="155"/>
      <c r="T1243" s="155"/>
      <c r="U1243" s="155"/>
      <c r="V1243" s="155"/>
      <c r="W1243" s="155"/>
      <c r="X1243" s="155"/>
      <c r="Y1243" s="155"/>
      <c r="Z1243" s="155"/>
      <c r="AA1243" s="155"/>
      <c r="AB1243" s="155"/>
      <c r="AC1243" s="155"/>
      <c r="AD1243" s="155"/>
      <c r="AE1243" s="155"/>
      <c r="AF1243" s="155"/>
      <c r="AG1243" s="155"/>
      <c r="AH1243" s="155"/>
      <c r="AI1243" s="155"/>
      <c r="AJ1243" s="155"/>
      <c r="AK1243" s="155"/>
      <c r="AL1243" s="155"/>
      <c r="AM1243" s="155"/>
      <c r="AN1243" s="155"/>
      <c r="AO1243" s="155"/>
      <c r="AP1243" s="155"/>
      <c r="AQ1243" s="155"/>
      <c r="AR1243" s="155"/>
      <c r="AS1243" s="155"/>
      <c r="AT1243" s="155"/>
      <c r="AU1243" s="155"/>
      <c r="AV1243" s="155"/>
      <c r="AW1243" s="155"/>
      <c r="AX1243" s="155"/>
    </row>
    <row r="1244" spans="4:50">
      <c r="D1244" s="155"/>
      <c r="E1244" s="155"/>
      <c r="F1244" s="155"/>
      <c r="G1244" s="155"/>
      <c r="H1244" s="155"/>
      <c r="I1244" s="155"/>
      <c r="J1244" s="155"/>
      <c r="K1244" s="155"/>
      <c r="L1244" s="155"/>
      <c r="M1244" s="155"/>
      <c r="N1244" s="155"/>
      <c r="O1244" s="155"/>
      <c r="P1244" s="155"/>
      <c r="Q1244" s="155"/>
      <c r="R1244" s="155"/>
      <c r="S1244" s="155"/>
      <c r="T1244" s="155"/>
      <c r="U1244" s="155"/>
      <c r="V1244" s="155"/>
      <c r="W1244" s="155"/>
      <c r="X1244" s="155"/>
      <c r="Y1244" s="155"/>
      <c r="Z1244" s="155"/>
      <c r="AA1244" s="155"/>
      <c r="AB1244" s="155"/>
      <c r="AC1244" s="155"/>
      <c r="AD1244" s="155"/>
      <c r="AE1244" s="155"/>
      <c r="AF1244" s="155"/>
      <c r="AG1244" s="155"/>
      <c r="AH1244" s="155"/>
      <c r="AI1244" s="155"/>
      <c r="AJ1244" s="155"/>
      <c r="AK1244" s="155"/>
      <c r="AL1244" s="155"/>
      <c r="AM1244" s="155"/>
      <c r="AN1244" s="155"/>
      <c r="AO1244" s="155"/>
      <c r="AP1244" s="155"/>
      <c r="AQ1244" s="155"/>
      <c r="AR1244" s="155"/>
      <c r="AS1244" s="155"/>
      <c r="AT1244" s="155"/>
      <c r="AU1244" s="155"/>
      <c r="AV1244" s="155"/>
      <c r="AW1244" s="155"/>
      <c r="AX1244" s="155"/>
    </row>
    <row r="1245" spans="4:50">
      <c r="D1245" s="155"/>
      <c r="E1245" s="155"/>
      <c r="F1245" s="155"/>
      <c r="G1245" s="155"/>
      <c r="H1245" s="155"/>
      <c r="I1245" s="155"/>
      <c r="J1245" s="155"/>
      <c r="K1245" s="155"/>
      <c r="L1245" s="155"/>
      <c r="M1245" s="155"/>
      <c r="N1245" s="155"/>
      <c r="O1245" s="155"/>
      <c r="P1245" s="155"/>
      <c r="Q1245" s="155"/>
      <c r="R1245" s="155"/>
      <c r="S1245" s="155"/>
      <c r="T1245" s="155"/>
      <c r="U1245" s="155"/>
      <c r="V1245" s="155"/>
      <c r="W1245" s="155"/>
      <c r="X1245" s="155"/>
      <c r="Y1245" s="155"/>
      <c r="Z1245" s="155"/>
      <c r="AA1245" s="155"/>
      <c r="AB1245" s="155"/>
      <c r="AC1245" s="155"/>
      <c r="AD1245" s="155"/>
      <c r="AE1245" s="155"/>
      <c r="AF1245" s="155"/>
      <c r="AG1245" s="155"/>
      <c r="AH1245" s="155"/>
      <c r="AI1245" s="155"/>
      <c r="AJ1245" s="155"/>
      <c r="AK1245" s="155"/>
      <c r="AL1245" s="155"/>
      <c r="AM1245" s="155"/>
      <c r="AN1245" s="155"/>
      <c r="AO1245" s="155"/>
      <c r="AP1245" s="155"/>
      <c r="AQ1245" s="155"/>
      <c r="AR1245" s="155"/>
      <c r="AS1245" s="155"/>
      <c r="AT1245" s="155"/>
      <c r="AU1245" s="155"/>
      <c r="AV1245" s="155"/>
      <c r="AW1245" s="155"/>
      <c r="AX1245" s="155"/>
    </row>
    <row r="1246" spans="4:50">
      <c r="D1246" s="155"/>
      <c r="E1246" s="155"/>
      <c r="F1246" s="155"/>
      <c r="G1246" s="155"/>
      <c r="H1246" s="155"/>
      <c r="I1246" s="155"/>
      <c r="J1246" s="155"/>
      <c r="K1246" s="155"/>
      <c r="L1246" s="155"/>
      <c r="M1246" s="155"/>
      <c r="N1246" s="155"/>
      <c r="O1246" s="155"/>
      <c r="P1246" s="155"/>
      <c r="Q1246" s="155"/>
      <c r="R1246" s="155"/>
      <c r="S1246" s="155"/>
      <c r="T1246" s="155"/>
      <c r="U1246" s="155"/>
      <c r="V1246" s="155"/>
      <c r="W1246" s="155"/>
      <c r="X1246" s="155"/>
      <c r="Y1246" s="155"/>
      <c r="Z1246" s="155"/>
      <c r="AA1246" s="155"/>
      <c r="AB1246" s="155"/>
      <c r="AC1246" s="155"/>
      <c r="AD1246" s="155"/>
      <c r="AE1246" s="155"/>
      <c r="AF1246" s="155"/>
      <c r="AG1246" s="155"/>
      <c r="AH1246" s="155"/>
      <c r="AI1246" s="155"/>
      <c r="AJ1246" s="155"/>
      <c r="AK1246" s="155"/>
      <c r="AL1246" s="155"/>
      <c r="AM1246" s="155"/>
      <c r="AN1246" s="155"/>
      <c r="AO1246" s="155"/>
      <c r="AP1246" s="155"/>
      <c r="AQ1246" s="155"/>
      <c r="AR1246" s="155"/>
      <c r="AS1246" s="155"/>
      <c r="AT1246" s="155"/>
      <c r="AU1246" s="155"/>
      <c r="AV1246" s="155"/>
      <c r="AW1246" s="155"/>
      <c r="AX1246" s="155"/>
    </row>
    <row r="1247" spans="4:50">
      <c r="D1247" s="155"/>
      <c r="E1247" s="155"/>
      <c r="F1247" s="155"/>
      <c r="G1247" s="155"/>
      <c r="H1247" s="155"/>
      <c r="I1247" s="155"/>
      <c r="J1247" s="155"/>
      <c r="K1247" s="155"/>
      <c r="L1247" s="155"/>
      <c r="M1247" s="155"/>
      <c r="N1247" s="155"/>
      <c r="O1247" s="155"/>
      <c r="P1247" s="155"/>
      <c r="Q1247" s="155"/>
      <c r="R1247" s="155"/>
      <c r="S1247" s="155"/>
      <c r="T1247" s="155"/>
      <c r="U1247" s="155"/>
      <c r="V1247" s="155"/>
      <c r="W1247" s="155"/>
      <c r="X1247" s="155"/>
      <c r="Y1247" s="155"/>
      <c r="Z1247" s="155"/>
      <c r="AA1247" s="155"/>
      <c r="AB1247" s="155"/>
      <c r="AC1247" s="155"/>
      <c r="AD1247" s="155"/>
      <c r="AE1247" s="155"/>
      <c r="AF1247" s="155"/>
      <c r="AG1247" s="155"/>
      <c r="AH1247" s="155"/>
      <c r="AI1247" s="155"/>
      <c r="AJ1247" s="155"/>
      <c r="AK1247" s="155"/>
      <c r="AL1247" s="155"/>
      <c r="AM1247" s="155"/>
      <c r="AN1247" s="155"/>
      <c r="AO1247" s="155"/>
      <c r="AP1247" s="155"/>
      <c r="AQ1247" s="155"/>
      <c r="AR1247" s="155"/>
      <c r="AS1247" s="155"/>
      <c r="AT1247" s="155"/>
      <c r="AU1247" s="155"/>
      <c r="AV1247" s="155"/>
      <c r="AW1247" s="155"/>
      <c r="AX1247" s="155"/>
    </row>
    <row r="1248" spans="4:50">
      <c r="D1248" s="155"/>
      <c r="E1248" s="155"/>
      <c r="F1248" s="155"/>
      <c r="G1248" s="155"/>
      <c r="H1248" s="155"/>
      <c r="I1248" s="155"/>
      <c r="J1248" s="155"/>
      <c r="K1248" s="155"/>
      <c r="L1248" s="155"/>
      <c r="M1248" s="155"/>
      <c r="N1248" s="155"/>
      <c r="O1248" s="155"/>
      <c r="P1248" s="155"/>
      <c r="Q1248" s="155"/>
      <c r="R1248" s="155"/>
      <c r="S1248" s="155"/>
      <c r="T1248" s="155"/>
      <c r="U1248" s="155"/>
      <c r="V1248" s="155"/>
      <c r="W1248" s="155"/>
      <c r="X1248" s="155"/>
      <c r="Y1248" s="155"/>
      <c r="Z1248" s="155"/>
      <c r="AA1248" s="155"/>
      <c r="AB1248" s="155"/>
      <c r="AC1248" s="155"/>
      <c r="AD1248" s="155"/>
      <c r="AE1248" s="155"/>
      <c r="AF1248" s="155"/>
      <c r="AG1248" s="155"/>
      <c r="AH1248" s="155"/>
      <c r="AI1248" s="155"/>
      <c r="AJ1248" s="155"/>
      <c r="AK1248" s="155"/>
      <c r="AL1248" s="155"/>
      <c r="AM1248" s="155"/>
      <c r="AN1248" s="155"/>
      <c r="AO1248" s="155"/>
      <c r="AP1248" s="155"/>
      <c r="AQ1248" s="155"/>
      <c r="AR1248" s="155"/>
      <c r="AS1248" s="155"/>
      <c r="AT1248" s="155"/>
      <c r="AU1248" s="155"/>
      <c r="AV1248" s="155"/>
      <c r="AW1248" s="155"/>
      <c r="AX1248" s="155"/>
    </row>
    <row r="1249" spans="4:50">
      <c r="D1249" s="155"/>
      <c r="E1249" s="155"/>
      <c r="F1249" s="155"/>
      <c r="G1249" s="155"/>
      <c r="H1249" s="155"/>
      <c r="I1249" s="155"/>
      <c r="J1249" s="155"/>
      <c r="K1249" s="155"/>
      <c r="L1249" s="155"/>
      <c r="M1249" s="155"/>
      <c r="N1249" s="155"/>
      <c r="O1249" s="155"/>
      <c r="P1249" s="155"/>
      <c r="Q1249" s="155"/>
      <c r="R1249" s="155"/>
      <c r="S1249" s="155"/>
      <c r="T1249" s="155"/>
      <c r="U1249" s="155"/>
      <c r="V1249" s="155"/>
      <c r="W1249" s="155"/>
      <c r="X1249" s="155"/>
      <c r="Y1249" s="155"/>
      <c r="Z1249" s="155"/>
      <c r="AA1249" s="155"/>
      <c r="AB1249" s="155"/>
      <c r="AC1249" s="155"/>
      <c r="AD1249" s="155"/>
      <c r="AE1249" s="155"/>
      <c r="AF1249" s="155"/>
      <c r="AG1249" s="155"/>
      <c r="AH1249" s="155"/>
      <c r="AI1249" s="155"/>
      <c r="AJ1249" s="155"/>
      <c r="AK1249" s="155"/>
      <c r="AL1249" s="155"/>
      <c r="AM1249" s="155"/>
      <c r="AN1249" s="155"/>
      <c r="AO1249" s="155"/>
      <c r="AP1249" s="155"/>
      <c r="AQ1249" s="155"/>
      <c r="AR1249" s="155"/>
      <c r="AS1249" s="155"/>
      <c r="AT1249" s="155"/>
      <c r="AU1249" s="155"/>
      <c r="AV1249" s="155"/>
      <c r="AW1249" s="155"/>
      <c r="AX1249" s="155"/>
    </row>
    <row r="1250" spans="4:50">
      <c r="D1250" s="155"/>
      <c r="E1250" s="155"/>
      <c r="F1250" s="155"/>
      <c r="G1250" s="155"/>
      <c r="H1250" s="155"/>
      <c r="I1250" s="155"/>
      <c r="J1250" s="155"/>
      <c r="K1250" s="155"/>
      <c r="L1250" s="155"/>
      <c r="M1250" s="155"/>
      <c r="N1250" s="155"/>
      <c r="O1250" s="155"/>
      <c r="P1250" s="155"/>
      <c r="Q1250" s="155"/>
      <c r="R1250" s="155"/>
      <c r="S1250" s="155"/>
      <c r="T1250" s="155"/>
      <c r="U1250" s="155"/>
      <c r="V1250" s="155"/>
      <c r="W1250" s="155"/>
      <c r="X1250" s="155"/>
      <c r="Y1250" s="155"/>
      <c r="Z1250" s="155"/>
      <c r="AA1250" s="155"/>
      <c r="AB1250" s="155"/>
      <c r="AC1250" s="155"/>
      <c r="AD1250" s="155"/>
      <c r="AE1250" s="155"/>
      <c r="AF1250" s="155"/>
      <c r="AG1250" s="155"/>
      <c r="AH1250" s="155"/>
      <c r="AI1250" s="155"/>
      <c r="AJ1250" s="155"/>
      <c r="AK1250" s="155"/>
      <c r="AL1250" s="155"/>
      <c r="AM1250" s="155"/>
      <c r="AN1250" s="155"/>
      <c r="AO1250" s="155"/>
      <c r="AP1250" s="155"/>
      <c r="AQ1250" s="155"/>
      <c r="AR1250" s="155"/>
      <c r="AS1250" s="155"/>
      <c r="AT1250" s="155"/>
      <c r="AU1250" s="155"/>
      <c r="AV1250" s="155"/>
      <c r="AW1250" s="155"/>
      <c r="AX1250" s="155"/>
    </row>
    <row r="1251" spans="4:50">
      <c r="D1251" s="155"/>
      <c r="E1251" s="155"/>
      <c r="F1251" s="155"/>
      <c r="G1251" s="155"/>
      <c r="H1251" s="155"/>
      <c r="I1251" s="155"/>
      <c r="J1251" s="155"/>
      <c r="K1251" s="155"/>
      <c r="L1251" s="155"/>
      <c r="M1251" s="155"/>
      <c r="N1251" s="155"/>
      <c r="O1251" s="155"/>
      <c r="P1251" s="155"/>
      <c r="Q1251" s="155"/>
      <c r="R1251" s="155"/>
      <c r="S1251" s="155"/>
      <c r="T1251" s="155"/>
      <c r="U1251" s="155"/>
      <c r="V1251" s="155"/>
      <c r="W1251" s="155"/>
      <c r="X1251" s="155"/>
      <c r="Y1251" s="155"/>
      <c r="Z1251" s="155"/>
      <c r="AA1251" s="155"/>
      <c r="AB1251" s="155"/>
      <c r="AC1251" s="155"/>
      <c r="AD1251" s="155"/>
      <c r="AE1251" s="155"/>
      <c r="AF1251" s="155"/>
      <c r="AG1251" s="155"/>
      <c r="AH1251" s="155"/>
      <c r="AI1251" s="155"/>
      <c r="AJ1251" s="155"/>
      <c r="AK1251" s="155"/>
      <c r="AL1251" s="155"/>
      <c r="AM1251" s="155"/>
      <c r="AN1251" s="155"/>
      <c r="AO1251" s="155"/>
      <c r="AP1251" s="155"/>
      <c r="AQ1251" s="155"/>
      <c r="AR1251" s="155"/>
      <c r="AS1251" s="155"/>
      <c r="AT1251" s="155"/>
      <c r="AU1251" s="155"/>
      <c r="AV1251" s="155"/>
      <c r="AW1251" s="155"/>
      <c r="AX1251" s="155"/>
    </row>
    <row r="1252" spans="4:50">
      <c r="D1252" s="155"/>
      <c r="E1252" s="155"/>
      <c r="F1252" s="155"/>
      <c r="G1252" s="155"/>
      <c r="H1252" s="155"/>
      <c r="I1252" s="155"/>
      <c r="J1252" s="155"/>
      <c r="K1252" s="155"/>
      <c r="L1252" s="155"/>
      <c r="M1252" s="155"/>
      <c r="N1252" s="155"/>
      <c r="O1252" s="155"/>
      <c r="P1252" s="155"/>
      <c r="Q1252" s="155"/>
      <c r="R1252" s="155"/>
      <c r="S1252" s="155"/>
      <c r="T1252" s="155"/>
      <c r="U1252" s="155"/>
      <c r="V1252" s="155"/>
      <c r="W1252" s="155"/>
      <c r="X1252" s="155"/>
      <c r="Y1252" s="155"/>
      <c r="Z1252" s="155"/>
      <c r="AA1252" s="155"/>
      <c r="AB1252" s="155"/>
      <c r="AC1252" s="155"/>
      <c r="AD1252" s="155"/>
      <c r="AE1252" s="155"/>
      <c r="AF1252" s="155"/>
      <c r="AG1252" s="155"/>
      <c r="AH1252" s="155"/>
      <c r="AI1252" s="155"/>
      <c r="AJ1252" s="155"/>
      <c r="AK1252" s="155"/>
      <c r="AL1252" s="155"/>
      <c r="AM1252" s="155"/>
      <c r="AN1252" s="155"/>
      <c r="AO1252" s="155"/>
      <c r="AP1252" s="155"/>
      <c r="AQ1252" s="155"/>
      <c r="AR1252" s="155"/>
      <c r="AS1252" s="155"/>
      <c r="AT1252" s="155"/>
      <c r="AU1252" s="155"/>
      <c r="AV1252" s="155"/>
      <c r="AW1252" s="155"/>
      <c r="AX1252" s="155"/>
    </row>
    <row r="1253" spans="4:50">
      <c r="D1253" s="155"/>
      <c r="E1253" s="155"/>
      <c r="F1253" s="155"/>
      <c r="G1253" s="155"/>
      <c r="H1253" s="155"/>
      <c r="I1253" s="155"/>
      <c r="J1253" s="155"/>
      <c r="K1253" s="155"/>
      <c r="L1253" s="155"/>
      <c r="M1253" s="155"/>
      <c r="N1253" s="155"/>
      <c r="O1253" s="155"/>
      <c r="P1253" s="155"/>
      <c r="Q1253" s="155"/>
      <c r="R1253" s="155"/>
      <c r="S1253" s="155"/>
      <c r="T1253" s="155"/>
      <c r="U1253" s="155"/>
      <c r="V1253" s="155"/>
      <c r="W1253" s="155"/>
      <c r="X1253" s="155"/>
      <c r="Y1253" s="155"/>
      <c r="Z1253" s="155"/>
      <c r="AA1253" s="155"/>
      <c r="AB1253" s="155"/>
      <c r="AC1253" s="155"/>
      <c r="AD1253" s="155"/>
      <c r="AE1253" s="155"/>
      <c r="AF1253" s="155"/>
      <c r="AG1253" s="155"/>
      <c r="AH1253" s="155"/>
      <c r="AI1253" s="155"/>
      <c r="AJ1253" s="155"/>
      <c r="AK1253" s="155"/>
      <c r="AL1253" s="155"/>
      <c r="AM1253" s="155"/>
      <c r="AN1253" s="155"/>
      <c r="AO1253" s="155"/>
      <c r="AP1253" s="155"/>
      <c r="AQ1253" s="155"/>
      <c r="AR1253" s="155"/>
      <c r="AS1253" s="155"/>
      <c r="AT1253" s="155"/>
      <c r="AU1253" s="155"/>
      <c r="AV1253" s="155"/>
      <c r="AW1253" s="155"/>
      <c r="AX1253" s="155"/>
    </row>
    <row r="1254" spans="4:50">
      <c r="D1254" s="155"/>
      <c r="E1254" s="155"/>
      <c r="F1254" s="155"/>
      <c r="G1254" s="155"/>
      <c r="H1254" s="155"/>
      <c r="I1254" s="155"/>
      <c r="J1254" s="155"/>
      <c r="K1254" s="155"/>
      <c r="L1254" s="155"/>
      <c r="M1254" s="155"/>
      <c r="N1254" s="155"/>
      <c r="O1254" s="155"/>
      <c r="P1254" s="155"/>
      <c r="Q1254" s="155"/>
      <c r="R1254" s="155"/>
      <c r="S1254" s="155"/>
      <c r="T1254" s="155"/>
      <c r="U1254" s="155"/>
      <c r="V1254" s="155"/>
      <c r="W1254" s="155"/>
      <c r="X1254" s="155"/>
      <c r="Y1254" s="155"/>
      <c r="Z1254" s="155"/>
      <c r="AA1254" s="155"/>
      <c r="AB1254" s="155"/>
      <c r="AC1254" s="155"/>
      <c r="AD1254" s="155"/>
      <c r="AE1254" s="155"/>
      <c r="AF1254" s="155"/>
      <c r="AG1254" s="155"/>
      <c r="AH1254" s="155"/>
      <c r="AI1254" s="155"/>
      <c r="AJ1254" s="155"/>
      <c r="AK1254" s="155"/>
      <c r="AL1254" s="155"/>
      <c r="AM1254" s="155"/>
      <c r="AN1254" s="155"/>
      <c r="AO1254" s="155"/>
      <c r="AP1254" s="155"/>
      <c r="AQ1254" s="155"/>
      <c r="AR1254" s="155"/>
      <c r="AS1254" s="155"/>
      <c r="AT1254" s="155"/>
      <c r="AU1254" s="155"/>
      <c r="AV1254" s="155"/>
      <c r="AW1254" s="155"/>
      <c r="AX1254" s="155"/>
    </row>
    <row r="1255" spans="4:50">
      <c r="D1255" s="155"/>
      <c r="E1255" s="155"/>
      <c r="F1255" s="155"/>
      <c r="G1255" s="155"/>
      <c r="H1255" s="155"/>
      <c r="I1255" s="155"/>
      <c r="J1255" s="155"/>
      <c r="K1255" s="155"/>
      <c r="L1255" s="155"/>
      <c r="M1255" s="155"/>
      <c r="N1255" s="155"/>
      <c r="O1255" s="155"/>
      <c r="P1255" s="155"/>
      <c r="Q1255" s="155"/>
      <c r="R1255" s="155"/>
      <c r="S1255" s="155"/>
      <c r="T1255" s="155"/>
      <c r="U1255" s="155"/>
      <c r="V1255" s="155"/>
      <c r="W1255" s="155"/>
      <c r="X1255" s="155"/>
      <c r="Y1255" s="155"/>
      <c r="Z1255" s="155"/>
      <c r="AA1255" s="155"/>
      <c r="AB1255" s="155"/>
      <c r="AC1255" s="155"/>
      <c r="AD1255" s="155"/>
      <c r="AE1255" s="155"/>
      <c r="AF1255" s="155"/>
      <c r="AG1255" s="155"/>
      <c r="AH1255" s="155"/>
      <c r="AI1255" s="155"/>
      <c r="AJ1255" s="155"/>
      <c r="AK1255" s="155"/>
      <c r="AL1255" s="155"/>
      <c r="AM1255" s="155"/>
      <c r="AN1255" s="155"/>
      <c r="AO1255" s="155"/>
      <c r="AP1255" s="155"/>
      <c r="AQ1255" s="155"/>
      <c r="AR1255" s="155"/>
      <c r="AS1255" s="155"/>
      <c r="AT1255" s="155"/>
      <c r="AU1255" s="155"/>
      <c r="AV1255" s="155"/>
      <c r="AW1255" s="155"/>
      <c r="AX1255" s="155"/>
    </row>
    <row r="1256" spans="4:50">
      <c r="D1256" s="155"/>
      <c r="E1256" s="155"/>
      <c r="F1256" s="155"/>
      <c r="G1256" s="155"/>
      <c r="H1256" s="155"/>
      <c r="I1256" s="155"/>
      <c r="J1256" s="155"/>
      <c r="K1256" s="155"/>
      <c r="L1256" s="155"/>
      <c r="M1256" s="155"/>
      <c r="N1256" s="155"/>
      <c r="O1256" s="155"/>
      <c r="P1256" s="155"/>
      <c r="Q1256" s="155"/>
      <c r="R1256" s="155"/>
      <c r="S1256" s="155"/>
      <c r="T1256" s="155"/>
      <c r="U1256" s="155"/>
      <c r="V1256" s="155"/>
      <c r="W1256" s="155"/>
      <c r="X1256" s="155"/>
      <c r="Y1256" s="155"/>
      <c r="Z1256" s="155"/>
      <c r="AA1256" s="155"/>
      <c r="AB1256" s="155"/>
      <c r="AC1256" s="155"/>
      <c r="AD1256" s="155"/>
      <c r="AE1256" s="155"/>
      <c r="AF1256" s="155"/>
      <c r="AG1256" s="155"/>
      <c r="AH1256" s="155"/>
      <c r="AI1256" s="155"/>
      <c r="AJ1256" s="155"/>
      <c r="AK1256" s="155"/>
      <c r="AL1256" s="155"/>
      <c r="AM1256" s="155"/>
      <c r="AN1256" s="155"/>
      <c r="AO1256" s="155"/>
      <c r="AP1256" s="155"/>
      <c r="AQ1256" s="155"/>
      <c r="AR1256" s="155"/>
      <c r="AS1256" s="155"/>
      <c r="AT1256" s="155"/>
      <c r="AU1256" s="155"/>
      <c r="AV1256" s="155"/>
      <c r="AW1256" s="155"/>
      <c r="AX1256" s="155"/>
    </row>
    <row r="1257" spans="4:50">
      <c r="D1257" s="155"/>
      <c r="E1257" s="155"/>
      <c r="F1257" s="155"/>
      <c r="G1257" s="155"/>
      <c r="H1257" s="155"/>
      <c r="I1257" s="155"/>
      <c r="J1257" s="155"/>
      <c r="K1257" s="155"/>
      <c r="L1257" s="155"/>
      <c r="M1257" s="155"/>
      <c r="N1257" s="155"/>
      <c r="O1257" s="155"/>
      <c r="P1257" s="155"/>
      <c r="Q1257" s="155"/>
      <c r="R1257" s="155"/>
      <c r="S1257" s="155"/>
      <c r="T1257" s="155"/>
      <c r="U1257" s="155"/>
      <c r="V1257" s="155"/>
      <c r="W1257" s="155"/>
      <c r="X1257" s="155"/>
      <c r="Y1257" s="155"/>
      <c r="Z1257" s="155"/>
      <c r="AA1257" s="155"/>
      <c r="AB1257" s="155"/>
      <c r="AC1257" s="155"/>
      <c r="AD1257" s="155"/>
      <c r="AE1257" s="155"/>
      <c r="AF1257" s="155"/>
      <c r="AG1257" s="155"/>
      <c r="AH1257" s="155"/>
      <c r="AI1257" s="155"/>
      <c r="AJ1257" s="155"/>
      <c r="AK1257" s="155"/>
      <c r="AL1257" s="155"/>
      <c r="AM1257" s="155"/>
      <c r="AN1257" s="155"/>
      <c r="AO1257" s="155"/>
      <c r="AP1257" s="155"/>
      <c r="AQ1257" s="155"/>
      <c r="AR1257" s="155"/>
      <c r="AS1257" s="155"/>
      <c r="AT1257" s="155"/>
      <c r="AU1257" s="155"/>
      <c r="AV1257" s="155"/>
      <c r="AW1257" s="155"/>
      <c r="AX1257" s="155"/>
    </row>
    <row r="1258" spans="4:50">
      <c r="D1258" s="155"/>
      <c r="E1258" s="155"/>
      <c r="F1258" s="155"/>
      <c r="G1258" s="155"/>
      <c r="H1258" s="155"/>
      <c r="I1258" s="155"/>
      <c r="J1258" s="155"/>
      <c r="K1258" s="155"/>
      <c r="L1258" s="155"/>
      <c r="M1258" s="155"/>
      <c r="N1258" s="155"/>
      <c r="O1258" s="155"/>
      <c r="P1258" s="155"/>
      <c r="Q1258" s="155"/>
      <c r="R1258" s="155"/>
      <c r="S1258" s="155"/>
      <c r="T1258" s="155"/>
      <c r="U1258" s="155"/>
      <c r="V1258" s="155"/>
      <c r="W1258" s="155"/>
      <c r="X1258" s="155"/>
      <c r="Y1258" s="155"/>
      <c r="Z1258" s="155"/>
      <c r="AA1258" s="155"/>
      <c r="AB1258" s="155"/>
      <c r="AC1258" s="155"/>
      <c r="AD1258" s="155"/>
      <c r="AE1258" s="155"/>
      <c r="AF1258" s="155"/>
      <c r="AG1258" s="155"/>
      <c r="AH1258" s="155"/>
      <c r="AI1258" s="155"/>
      <c r="AJ1258" s="155"/>
      <c r="AK1258" s="155"/>
      <c r="AL1258" s="155"/>
      <c r="AM1258" s="155"/>
      <c r="AN1258" s="155"/>
      <c r="AO1258" s="155"/>
      <c r="AP1258" s="155"/>
      <c r="AQ1258" s="155"/>
      <c r="AR1258" s="155"/>
      <c r="AS1258" s="155"/>
      <c r="AT1258" s="155"/>
      <c r="AU1258" s="155"/>
      <c r="AV1258" s="155"/>
      <c r="AW1258" s="155"/>
      <c r="AX1258" s="155"/>
    </row>
    <row r="1259" spans="4:50">
      <c r="D1259" s="155"/>
      <c r="E1259" s="155"/>
      <c r="F1259" s="155"/>
      <c r="G1259" s="155"/>
      <c r="H1259" s="155"/>
      <c r="I1259" s="155"/>
      <c r="J1259" s="155"/>
      <c r="K1259" s="155"/>
      <c r="L1259" s="155"/>
      <c r="M1259" s="155"/>
      <c r="N1259" s="155"/>
      <c r="O1259" s="155"/>
      <c r="P1259" s="155"/>
      <c r="Q1259" s="155"/>
      <c r="R1259" s="155"/>
      <c r="S1259" s="155"/>
      <c r="T1259" s="155"/>
      <c r="U1259" s="155"/>
      <c r="V1259" s="155"/>
      <c r="W1259" s="155"/>
      <c r="X1259" s="155"/>
      <c r="Y1259" s="155"/>
      <c r="Z1259" s="155"/>
      <c r="AA1259" s="155"/>
      <c r="AB1259" s="155"/>
      <c r="AC1259" s="155"/>
      <c r="AD1259" s="155"/>
      <c r="AE1259" s="155"/>
      <c r="AF1259" s="155"/>
      <c r="AG1259" s="155"/>
      <c r="AH1259" s="155"/>
      <c r="AI1259" s="155"/>
      <c r="AJ1259" s="155"/>
      <c r="AK1259" s="155"/>
      <c r="AL1259" s="155"/>
      <c r="AM1259" s="155"/>
      <c r="AN1259" s="155"/>
      <c r="AO1259" s="155"/>
      <c r="AP1259" s="155"/>
      <c r="AQ1259" s="155"/>
      <c r="AR1259" s="155"/>
      <c r="AS1259" s="155"/>
      <c r="AT1259" s="155"/>
      <c r="AU1259" s="155"/>
      <c r="AV1259" s="155"/>
      <c r="AW1259" s="155"/>
      <c r="AX1259" s="155"/>
    </row>
    <row r="1260" spans="4:50">
      <c r="D1260" s="155"/>
      <c r="E1260" s="155"/>
      <c r="F1260" s="155"/>
      <c r="G1260" s="155"/>
      <c r="H1260" s="155"/>
      <c r="I1260" s="155"/>
      <c r="J1260" s="155"/>
      <c r="K1260" s="155"/>
      <c r="L1260" s="155"/>
      <c r="M1260" s="155"/>
      <c r="N1260" s="155"/>
      <c r="O1260" s="155"/>
      <c r="P1260" s="155"/>
      <c r="Q1260" s="155"/>
      <c r="R1260" s="155"/>
      <c r="S1260" s="155"/>
      <c r="T1260" s="155"/>
      <c r="U1260" s="155"/>
      <c r="V1260" s="155"/>
      <c r="W1260" s="155"/>
      <c r="X1260" s="155"/>
      <c r="Y1260" s="155"/>
      <c r="Z1260" s="155"/>
      <c r="AA1260" s="155"/>
      <c r="AB1260" s="155"/>
      <c r="AC1260" s="155"/>
      <c r="AD1260" s="155"/>
      <c r="AE1260" s="155"/>
      <c r="AF1260" s="155"/>
      <c r="AG1260" s="155"/>
      <c r="AH1260" s="155"/>
      <c r="AI1260" s="155"/>
      <c r="AJ1260" s="155"/>
      <c r="AK1260" s="155"/>
      <c r="AL1260" s="155"/>
      <c r="AM1260" s="155"/>
      <c r="AN1260" s="155"/>
      <c r="AO1260" s="155"/>
      <c r="AP1260" s="155"/>
      <c r="AQ1260" s="155"/>
      <c r="AR1260" s="155"/>
      <c r="AS1260" s="155"/>
      <c r="AT1260" s="155"/>
      <c r="AU1260" s="155"/>
      <c r="AV1260" s="155"/>
      <c r="AW1260" s="155"/>
      <c r="AX1260" s="155"/>
    </row>
    <row r="1261" spans="4:50">
      <c r="D1261" s="155"/>
      <c r="E1261" s="155"/>
      <c r="F1261" s="155"/>
      <c r="G1261" s="155"/>
      <c r="H1261" s="155"/>
      <c r="I1261" s="155"/>
      <c r="J1261" s="155"/>
      <c r="K1261" s="155"/>
      <c r="L1261" s="155"/>
      <c r="M1261" s="155"/>
      <c r="N1261" s="155"/>
      <c r="O1261" s="155"/>
      <c r="P1261" s="155"/>
      <c r="Q1261" s="155"/>
      <c r="R1261" s="155"/>
      <c r="S1261" s="155"/>
      <c r="T1261" s="155"/>
      <c r="U1261" s="155"/>
      <c r="V1261" s="155"/>
      <c r="W1261" s="155"/>
      <c r="X1261" s="155"/>
      <c r="Y1261" s="155"/>
      <c r="Z1261" s="155"/>
      <c r="AA1261" s="155"/>
      <c r="AB1261" s="155"/>
      <c r="AC1261" s="155"/>
      <c r="AD1261" s="155"/>
      <c r="AE1261" s="155"/>
      <c r="AF1261" s="155"/>
      <c r="AG1261" s="155"/>
      <c r="AH1261" s="155"/>
      <c r="AI1261" s="155"/>
      <c r="AJ1261" s="155"/>
      <c r="AK1261" s="155"/>
      <c r="AL1261" s="155"/>
      <c r="AM1261" s="155"/>
      <c r="AN1261" s="155"/>
      <c r="AO1261" s="155"/>
      <c r="AP1261" s="155"/>
      <c r="AQ1261" s="155"/>
      <c r="AR1261" s="155"/>
      <c r="AS1261" s="155"/>
      <c r="AT1261" s="155"/>
      <c r="AU1261" s="155"/>
      <c r="AV1261" s="155"/>
      <c r="AW1261" s="155"/>
      <c r="AX1261" s="155"/>
    </row>
    <row r="1262" spans="4:50">
      <c r="D1262" s="155"/>
      <c r="E1262" s="155"/>
      <c r="F1262" s="155"/>
      <c r="G1262" s="155"/>
      <c r="H1262" s="155"/>
      <c r="I1262" s="155"/>
      <c r="J1262" s="155"/>
      <c r="K1262" s="155"/>
      <c r="L1262" s="155"/>
      <c r="M1262" s="155"/>
      <c r="N1262" s="155"/>
      <c r="O1262" s="155"/>
      <c r="P1262" s="155"/>
      <c r="Q1262" s="155"/>
      <c r="R1262" s="155"/>
      <c r="S1262" s="155"/>
      <c r="T1262" s="155"/>
      <c r="U1262" s="155"/>
      <c r="V1262" s="155"/>
      <c r="W1262" s="155"/>
      <c r="X1262" s="155"/>
      <c r="Y1262" s="155"/>
      <c r="Z1262" s="155"/>
      <c r="AA1262" s="155"/>
      <c r="AB1262" s="155"/>
      <c r="AC1262" s="155"/>
      <c r="AD1262" s="155"/>
      <c r="AE1262" s="155"/>
      <c r="AF1262" s="155"/>
      <c r="AG1262" s="155"/>
      <c r="AH1262" s="155"/>
      <c r="AI1262" s="155"/>
      <c r="AJ1262" s="155"/>
      <c r="AK1262" s="155"/>
      <c r="AL1262" s="155"/>
      <c r="AM1262" s="155"/>
      <c r="AN1262" s="155"/>
      <c r="AO1262" s="155"/>
      <c r="AP1262" s="155"/>
      <c r="AQ1262" s="155"/>
      <c r="AR1262" s="155"/>
      <c r="AS1262" s="155"/>
      <c r="AT1262" s="155"/>
      <c r="AU1262" s="155"/>
      <c r="AV1262" s="155"/>
      <c r="AW1262" s="155"/>
      <c r="AX1262" s="155"/>
    </row>
    <row r="1263" spans="4:50">
      <c r="D1263" s="155"/>
      <c r="E1263" s="155"/>
      <c r="F1263" s="155"/>
      <c r="G1263" s="155"/>
      <c r="H1263" s="155"/>
      <c r="I1263" s="155"/>
      <c r="J1263" s="155"/>
      <c r="K1263" s="155"/>
      <c r="L1263" s="155"/>
      <c r="M1263" s="155"/>
      <c r="N1263" s="155"/>
      <c r="O1263" s="155"/>
      <c r="P1263" s="155"/>
      <c r="Q1263" s="155"/>
      <c r="R1263" s="155"/>
      <c r="S1263" s="155"/>
      <c r="T1263" s="155"/>
      <c r="U1263" s="155"/>
      <c r="V1263" s="155"/>
      <c r="W1263" s="155"/>
      <c r="X1263" s="155"/>
      <c r="Y1263" s="155"/>
      <c r="Z1263" s="155"/>
      <c r="AA1263" s="155"/>
      <c r="AB1263" s="155"/>
      <c r="AC1263" s="155"/>
      <c r="AD1263" s="155"/>
      <c r="AE1263" s="155"/>
      <c r="AF1263" s="155"/>
      <c r="AG1263" s="155"/>
      <c r="AH1263" s="155"/>
      <c r="AI1263" s="155"/>
      <c r="AJ1263" s="155"/>
      <c r="AK1263" s="155"/>
      <c r="AL1263" s="155"/>
      <c r="AM1263" s="155"/>
      <c r="AN1263" s="155"/>
      <c r="AO1263" s="155"/>
      <c r="AP1263" s="155"/>
      <c r="AQ1263" s="155"/>
      <c r="AR1263" s="155"/>
      <c r="AS1263" s="155"/>
      <c r="AT1263" s="155"/>
      <c r="AU1263" s="155"/>
      <c r="AV1263" s="155"/>
      <c r="AW1263" s="155"/>
      <c r="AX1263" s="155"/>
    </row>
    <row r="1264" spans="4:50">
      <c r="D1264" s="155"/>
      <c r="E1264" s="155"/>
      <c r="F1264" s="155"/>
      <c r="G1264" s="155"/>
      <c r="H1264" s="155"/>
      <c r="I1264" s="155"/>
      <c r="J1264" s="155"/>
      <c r="K1264" s="155"/>
      <c r="L1264" s="155"/>
      <c r="M1264" s="155"/>
      <c r="N1264" s="155"/>
      <c r="O1264" s="155"/>
      <c r="P1264" s="155"/>
      <c r="Q1264" s="155"/>
      <c r="R1264" s="155"/>
      <c r="S1264" s="155"/>
      <c r="T1264" s="155"/>
      <c r="U1264" s="155"/>
      <c r="V1264" s="155"/>
      <c r="W1264" s="155"/>
      <c r="X1264" s="155"/>
      <c r="Y1264" s="155"/>
      <c r="Z1264" s="155"/>
      <c r="AA1264" s="155"/>
      <c r="AB1264" s="155"/>
      <c r="AC1264" s="155"/>
      <c r="AD1264" s="155"/>
      <c r="AE1264" s="155"/>
      <c r="AF1264" s="155"/>
      <c r="AG1264" s="155"/>
      <c r="AH1264" s="155"/>
      <c r="AI1264" s="155"/>
      <c r="AJ1264" s="155"/>
      <c r="AK1264" s="155"/>
      <c r="AL1264" s="155"/>
      <c r="AM1264" s="155"/>
      <c r="AN1264" s="155"/>
      <c r="AO1264" s="155"/>
      <c r="AP1264" s="155"/>
      <c r="AQ1264" s="155"/>
      <c r="AR1264" s="155"/>
      <c r="AS1264" s="155"/>
      <c r="AT1264" s="155"/>
      <c r="AU1264" s="155"/>
      <c r="AV1264" s="155"/>
      <c r="AW1264" s="155"/>
      <c r="AX1264" s="155"/>
    </row>
    <row r="1265" spans="4:50">
      <c r="D1265" s="155"/>
      <c r="E1265" s="155"/>
      <c r="F1265" s="155"/>
      <c r="G1265" s="155"/>
      <c r="H1265" s="155"/>
      <c r="I1265" s="155"/>
      <c r="J1265" s="155"/>
      <c r="K1265" s="155"/>
      <c r="L1265" s="155"/>
      <c r="M1265" s="155"/>
      <c r="N1265" s="155"/>
      <c r="O1265" s="155"/>
      <c r="P1265" s="155"/>
      <c r="Q1265" s="155"/>
      <c r="R1265" s="155"/>
      <c r="S1265" s="155"/>
      <c r="T1265" s="155"/>
      <c r="U1265" s="155"/>
      <c r="V1265" s="155"/>
      <c r="W1265" s="155"/>
      <c r="X1265" s="155"/>
      <c r="Y1265" s="155"/>
      <c r="Z1265" s="155"/>
      <c r="AA1265" s="155"/>
      <c r="AB1265" s="155"/>
      <c r="AC1265" s="155"/>
      <c r="AD1265" s="155"/>
      <c r="AE1265" s="155"/>
      <c r="AF1265" s="155"/>
      <c r="AG1265" s="155"/>
      <c r="AH1265" s="155"/>
      <c r="AI1265" s="155"/>
      <c r="AJ1265" s="155"/>
      <c r="AK1265" s="155"/>
      <c r="AL1265" s="155"/>
      <c r="AM1265" s="155"/>
      <c r="AN1265" s="155"/>
      <c r="AO1265" s="155"/>
      <c r="AP1265" s="155"/>
      <c r="AQ1265" s="155"/>
      <c r="AR1265" s="155"/>
      <c r="AS1265" s="155"/>
      <c r="AT1265" s="155"/>
      <c r="AU1265" s="155"/>
      <c r="AV1265" s="155"/>
      <c r="AW1265" s="155"/>
      <c r="AX1265" s="155"/>
    </row>
    <row r="1266" spans="4:50">
      <c r="D1266" s="155"/>
      <c r="E1266" s="155"/>
      <c r="F1266" s="155"/>
      <c r="G1266" s="155"/>
      <c r="H1266" s="155"/>
      <c r="I1266" s="155"/>
      <c r="J1266" s="155"/>
      <c r="K1266" s="155"/>
      <c r="L1266" s="155"/>
      <c r="M1266" s="155"/>
      <c r="N1266" s="155"/>
      <c r="O1266" s="155"/>
      <c r="P1266" s="155"/>
      <c r="Q1266" s="155"/>
      <c r="R1266" s="155"/>
      <c r="S1266" s="155"/>
      <c r="T1266" s="155"/>
      <c r="U1266" s="155"/>
      <c r="V1266" s="155"/>
      <c r="W1266" s="155"/>
      <c r="X1266" s="155"/>
      <c r="Y1266" s="155"/>
      <c r="Z1266" s="155"/>
      <c r="AA1266" s="155"/>
      <c r="AB1266" s="155"/>
      <c r="AC1266" s="155"/>
      <c r="AD1266" s="155"/>
      <c r="AE1266" s="155"/>
      <c r="AF1266" s="155"/>
      <c r="AG1266" s="155"/>
      <c r="AH1266" s="155"/>
      <c r="AI1266" s="155"/>
      <c r="AJ1266" s="155"/>
      <c r="AK1266" s="155"/>
      <c r="AL1266" s="155"/>
      <c r="AM1266" s="155"/>
      <c r="AN1266" s="155"/>
      <c r="AO1266" s="155"/>
      <c r="AP1266" s="155"/>
      <c r="AQ1266" s="155"/>
      <c r="AR1266" s="155"/>
      <c r="AS1266" s="155"/>
      <c r="AT1266" s="155"/>
      <c r="AU1266" s="155"/>
      <c r="AV1266" s="155"/>
      <c r="AW1266" s="155"/>
      <c r="AX1266" s="155"/>
    </row>
    <row r="1267" spans="4:50">
      <c r="D1267" s="155"/>
      <c r="E1267" s="155"/>
      <c r="F1267" s="155"/>
      <c r="G1267" s="155"/>
      <c r="H1267" s="155"/>
      <c r="I1267" s="155"/>
      <c r="J1267" s="155"/>
      <c r="K1267" s="155"/>
      <c r="L1267" s="155"/>
      <c r="M1267" s="155"/>
      <c r="N1267" s="155"/>
      <c r="O1267" s="155"/>
      <c r="P1267" s="155"/>
      <c r="Q1267" s="155"/>
      <c r="R1267" s="155"/>
      <c r="S1267" s="155"/>
      <c r="T1267" s="155"/>
      <c r="U1267" s="155"/>
      <c r="V1267" s="155"/>
      <c r="W1267" s="155"/>
      <c r="X1267" s="155"/>
      <c r="Y1267" s="155"/>
      <c r="Z1267" s="155"/>
      <c r="AA1267" s="155"/>
      <c r="AB1267" s="155"/>
      <c r="AC1267" s="155"/>
      <c r="AD1267" s="155"/>
      <c r="AE1267" s="155"/>
      <c r="AF1267" s="155"/>
      <c r="AG1267" s="155"/>
      <c r="AH1267" s="155"/>
      <c r="AI1267" s="155"/>
      <c r="AJ1267" s="155"/>
      <c r="AK1267" s="155"/>
      <c r="AL1267" s="155"/>
      <c r="AM1267" s="155"/>
      <c r="AN1267" s="155"/>
      <c r="AO1267" s="155"/>
      <c r="AP1267" s="155"/>
      <c r="AQ1267" s="155"/>
      <c r="AR1267" s="155"/>
      <c r="AS1267" s="155"/>
      <c r="AT1267" s="155"/>
      <c r="AU1267" s="155"/>
      <c r="AV1267" s="155"/>
      <c r="AW1267" s="155"/>
      <c r="AX1267" s="155"/>
    </row>
    <row r="1268" spans="4:50">
      <c r="D1268" s="155"/>
      <c r="E1268" s="155"/>
      <c r="F1268" s="155"/>
      <c r="G1268" s="155"/>
      <c r="H1268" s="155"/>
      <c r="I1268" s="155"/>
      <c r="J1268" s="155"/>
      <c r="K1268" s="155"/>
      <c r="L1268" s="155"/>
      <c r="M1268" s="155"/>
      <c r="N1268" s="155"/>
      <c r="O1268" s="155"/>
      <c r="P1268" s="155"/>
      <c r="Q1268" s="155"/>
      <c r="R1268" s="155"/>
      <c r="S1268" s="155"/>
      <c r="T1268" s="155"/>
      <c r="U1268" s="155"/>
      <c r="V1268" s="155"/>
      <c r="W1268" s="155"/>
      <c r="X1268" s="155"/>
      <c r="Y1268" s="155"/>
      <c r="Z1268" s="155"/>
      <c r="AA1268" s="155"/>
      <c r="AB1268" s="155"/>
      <c r="AC1268" s="155"/>
      <c r="AD1268" s="155"/>
      <c r="AE1268" s="155"/>
      <c r="AF1268" s="155"/>
      <c r="AG1268" s="155"/>
      <c r="AH1268" s="155"/>
      <c r="AI1268" s="155"/>
      <c r="AJ1268" s="155"/>
      <c r="AK1268" s="155"/>
      <c r="AL1268" s="155"/>
      <c r="AM1268" s="155"/>
      <c r="AN1268" s="155"/>
      <c r="AO1268" s="155"/>
      <c r="AP1268" s="155"/>
      <c r="AQ1268" s="155"/>
      <c r="AR1268" s="155"/>
      <c r="AS1268" s="155"/>
      <c r="AT1268" s="155"/>
      <c r="AU1268" s="155"/>
      <c r="AV1268" s="155"/>
      <c r="AW1268" s="155"/>
      <c r="AX1268" s="155"/>
    </row>
    <row r="1269" spans="4:50">
      <c r="D1269" s="155"/>
      <c r="E1269" s="155"/>
      <c r="F1269" s="155"/>
      <c r="G1269" s="155"/>
      <c r="H1269" s="155"/>
      <c r="I1269" s="155"/>
      <c r="J1269" s="155"/>
      <c r="K1269" s="155"/>
      <c r="L1269" s="155"/>
      <c r="M1269" s="155"/>
      <c r="N1269" s="155"/>
      <c r="O1269" s="155"/>
      <c r="P1269" s="155"/>
      <c r="Q1269" s="155"/>
      <c r="R1269" s="155"/>
      <c r="S1269" s="155"/>
      <c r="T1269" s="155"/>
      <c r="U1269" s="155"/>
      <c r="V1269" s="155"/>
      <c r="W1269" s="155"/>
      <c r="X1269" s="155"/>
      <c r="Y1269" s="155"/>
      <c r="Z1269" s="155"/>
      <c r="AA1269" s="155"/>
      <c r="AB1269" s="155"/>
      <c r="AC1269" s="155"/>
      <c r="AD1269" s="155"/>
      <c r="AE1269" s="155"/>
      <c r="AF1269" s="155"/>
      <c r="AG1269" s="155"/>
      <c r="AH1269" s="155"/>
      <c r="AI1269" s="155"/>
      <c r="AJ1269" s="155"/>
      <c r="AK1269" s="155"/>
      <c r="AL1269" s="155"/>
      <c r="AM1269" s="155"/>
      <c r="AN1269" s="155"/>
      <c r="AO1269" s="155"/>
      <c r="AP1269" s="155"/>
      <c r="AQ1269" s="155"/>
      <c r="AR1269" s="155"/>
      <c r="AS1269" s="155"/>
      <c r="AT1269" s="155"/>
      <c r="AU1269" s="155"/>
      <c r="AV1269" s="155"/>
      <c r="AW1269" s="155"/>
      <c r="AX1269" s="155"/>
    </row>
    <row r="1270" spans="4:50">
      <c r="D1270" s="155"/>
      <c r="E1270" s="155"/>
      <c r="F1270" s="155"/>
      <c r="G1270" s="155"/>
      <c r="H1270" s="155"/>
      <c r="I1270" s="155"/>
      <c r="J1270" s="155"/>
      <c r="K1270" s="155"/>
      <c r="L1270" s="155"/>
      <c r="M1270" s="155"/>
      <c r="N1270" s="155"/>
      <c r="O1270" s="155"/>
      <c r="P1270" s="155"/>
      <c r="Q1270" s="155"/>
      <c r="R1270" s="155"/>
      <c r="S1270" s="155"/>
      <c r="T1270" s="155"/>
      <c r="U1270" s="155"/>
      <c r="V1270" s="155"/>
      <c r="W1270" s="155"/>
      <c r="X1270" s="155"/>
      <c r="Y1270" s="155"/>
      <c r="Z1270" s="155"/>
      <c r="AA1270" s="155"/>
      <c r="AB1270" s="155"/>
      <c r="AC1270" s="155"/>
      <c r="AD1270" s="155"/>
      <c r="AE1270" s="155"/>
      <c r="AF1270" s="155"/>
      <c r="AG1270" s="155"/>
      <c r="AH1270" s="155"/>
      <c r="AI1270" s="155"/>
      <c r="AJ1270" s="155"/>
      <c r="AK1270" s="155"/>
      <c r="AL1270" s="155"/>
      <c r="AM1270" s="155"/>
      <c r="AN1270" s="155"/>
      <c r="AO1270" s="155"/>
      <c r="AP1270" s="155"/>
      <c r="AQ1270" s="155"/>
      <c r="AR1270" s="155"/>
      <c r="AS1270" s="155"/>
      <c r="AT1270" s="155"/>
      <c r="AU1270" s="155"/>
      <c r="AV1270" s="155"/>
      <c r="AW1270" s="155"/>
      <c r="AX1270" s="155"/>
    </row>
    <row r="1271" spans="4:50">
      <c r="D1271" s="155"/>
      <c r="E1271" s="155"/>
      <c r="F1271" s="155"/>
      <c r="G1271" s="155"/>
      <c r="H1271" s="155"/>
      <c r="I1271" s="155"/>
      <c r="J1271" s="155"/>
      <c r="K1271" s="155"/>
      <c r="L1271" s="155"/>
      <c r="M1271" s="155"/>
      <c r="N1271" s="155"/>
      <c r="O1271" s="155"/>
      <c r="P1271" s="155"/>
      <c r="Q1271" s="155"/>
      <c r="R1271" s="155"/>
      <c r="S1271" s="155"/>
      <c r="T1271" s="155"/>
      <c r="U1271" s="155"/>
      <c r="V1271" s="155"/>
      <c r="W1271" s="155"/>
      <c r="X1271" s="155"/>
      <c r="Y1271" s="155"/>
      <c r="Z1271" s="155"/>
      <c r="AA1271" s="155"/>
      <c r="AB1271" s="155"/>
      <c r="AC1271" s="155"/>
      <c r="AD1271" s="155"/>
      <c r="AE1271" s="155"/>
      <c r="AF1271" s="155"/>
      <c r="AG1271" s="155"/>
      <c r="AH1271" s="155"/>
      <c r="AI1271" s="155"/>
      <c r="AJ1271" s="155"/>
      <c r="AK1271" s="155"/>
      <c r="AL1271" s="155"/>
      <c r="AM1271" s="155"/>
      <c r="AN1271" s="155"/>
      <c r="AO1271" s="155"/>
      <c r="AP1271" s="155"/>
      <c r="AQ1271" s="155"/>
      <c r="AR1271" s="155"/>
      <c r="AS1271" s="155"/>
      <c r="AT1271" s="155"/>
      <c r="AU1271" s="155"/>
      <c r="AV1271" s="155"/>
      <c r="AW1271" s="155"/>
      <c r="AX1271" s="155"/>
    </row>
    <row r="1272" spans="4:50">
      <c r="D1272" s="155"/>
      <c r="E1272" s="155"/>
      <c r="F1272" s="155"/>
      <c r="G1272" s="155"/>
      <c r="H1272" s="155"/>
      <c r="I1272" s="155"/>
      <c r="J1272" s="155"/>
      <c r="K1272" s="155"/>
      <c r="L1272" s="155"/>
      <c r="M1272" s="155"/>
      <c r="N1272" s="155"/>
      <c r="O1272" s="155"/>
      <c r="P1272" s="155"/>
      <c r="Q1272" s="155"/>
      <c r="R1272" s="155"/>
      <c r="S1272" s="155"/>
      <c r="T1272" s="155"/>
      <c r="U1272" s="155"/>
      <c r="V1272" s="155"/>
      <c r="W1272" s="155"/>
      <c r="X1272" s="155"/>
      <c r="Y1272" s="155"/>
      <c r="Z1272" s="155"/>
      <c r="AA1272" s="155"/>
      <c r="AB1272" s="155"/>
      <c r="AC1272" s="155"/>
      <c r="AD1272" s="155"/>
      <c r="AE1272" s="155"/>
      <c r="AF1272" s="155"/>
      <c r="AG1272" s="155"/>
      <c r="AH1272" s="155"/>
      <c r="AI1272" s="155"/>
      <c r="AJ1272" s="155"/>
      <c r="AK1272" s="155"/>
      <c r="AL1272" s="155"/>
      <c r="AM1272" s="155"/>
      <c r="AN1272" s="155"/>
      <c r="AO1272" s="155"/>
      <c r="AP1272" s="155"/>
      <c r="AQ1272" s="155"/>
      <c r="AR1272" s="155"/>
      <c r="AS1272" s="155"/>
      <c r="AT1272" s="155"/>
      <c r="AU1272" s="155"/>
      <c r="AV1272" s="155"/>
      <c r="AW1272" s="155"/>
      <c r="AX1272" s="155"/>
    </row>
    <row r="1273" spans="4:50">
      <c r="D1273" s="155"/>
      <c r="E1273" s="155"/>
      <c r="F1273" s="155"/>
      <c r="G1273" s="155"/>
      <c r="H1273" s="155"/>
      <c r="I1273" s="155"/>
      <c r="J1273" s="155"/>
      <c r="K1273" s="155"/>
      <c r="L1273" s="155"/>
      <c r="M1273" s="155"/>
      <c r="N1273" s="155"/>
      <c r="O1273" s="155"/>
      <c r="P1273" s="155"/>
      <c r="Q1273" s="155"/>
      <c r="R1273" s="155"/>
      <c r="S1273" s="155"/>
      <c r="T1273" s="155"/>
      <c r="U1273" s="155"/>
      <c r="V1273" s="155"/>
      <c r="W1273" s="155"/>
      <c r="X1273" s="155"/>
      <c r="Y1273" s="155"/>
      <c r="Z1273" s="155"/>
      <c r="AA1273" s="155"/>
      <c r="AB1273" s="155"/>
      <c r="AC1273" s="155"/>
      <c r="AD1273" s="155"/>
      <c r="AE1273" s="155"/>
      <c r="AF1273" s="155"/>
      <c r="AG1273" s="155"/>
      <c r="AH1273" s="155"/>
      <c r="AI1273" s="155"/>
      <c r="AJ1273" s="155"/>
      <c r="AK1273" s="155"/>
      <c r="AL1273" s="155"/>
      <c r="AM1273" s="155"/>
      <c r="AN1273" s="155"/>
      <c r="AO1273" s="155"/>
      <c r="AP1273" s="155"/>
      <c r="AQ1273" s="155"/>
      <c r="AR1273" s="155"/>
      <c r="AS1273" s="155"/>
      <c r="AT1273" s="155"/>
      <c r="AU1273" s="155"/>
      <c r="AV1273" s="155"/>
      <c r="AW1273" s="155"/>
      <c r="AX1273" s="155"/>
    </row>
    <row r="1274" spans="4:50">
      <c r="D1274" s="155"/>
      <c r="E1274" s="155"/>
      <c r="F1274" s="155"/>
      <c r="G1274" s="155"/>
      <c r="H1274" s="155"/>
      <c r="I1274" s="155"/>
      <c r="J1274" s="155"/>
      <c r="K1274" s="155"/>
      <c r="L1274" s="155"/>
      <c r="M1274" s="155"/>
      <c r="N1274" s="155"/>
      <c r="O1274" s="155"/>
      <c r="P1274" s="155"/>
      <c r="Q1274" s="155"/>
      <c r="R1274" s="155"/>
      <c r="S1274" s="155"/>
      <c r="T1274" s="155"/>
      <c r="U1274" s="155"/>
      <c r="V1274" s="155"/>
      <c r="W1274" s="155"/>
      <c r="X1274" s="155"/>
      <c r="Y1274" s="155"/>
      <c r="Z1274" s="155"/>
      <c r="AA1274" s="155"/>
      <c r="AB1274" s="155"/>
      <c r="AC1274" s="155"/>
      <c r="AD1274" s="155"/>
      <c r="AE1274" s="155"/>
      <c r="AF1274" s="155"/>
      <c r="AG1274" s="155"/>
      <c r="AH1274" s="155"/>
      <c r="AI1274" s="155"/>
      <c r="AJ1274" s="155"/>
      <c r="AK1274" s="155"/>
      <c r="AL1274" s="155"/>
      <c r="AM1274" s="155"/>
      <c r="AN1274" s="155"/>
      <c r="AO1274" s="155"/>
      <c r="AP1274" s="155"/>
      <c r="AQ1274" s="155"/>
      <c r="AR1274" s="155"/>
      <c r="AS1274" s="155"/>
      <c r="AT1274" s="155"/>
      <c r="AU1274" s="155"/>
      <c r="AV1274" s="155"/>
      <c r="AW1274" s="155"/>
      <c r="AX1274" s="155"/>
    </row>
    <row r="1275" spans="4:50">
      <c r="D1275" s="155"/>
      <c r="E1275" s="155"/>
      <c r="F1275" s="155"/>
      <c r="G1275" s="155"/>
      <c r="H1275" s="155"/>
      <c r="I1275" s="155"/>
      <c r="J1275" s="155"/>
      <c r="K1275" s="155"/>
      <c r="L1275" s="155"/>
      <c r="M1275" s="155"/>
      <c r="N1275" s="155"/>
      <c r="O1275" s="155"/>
      <c r="P1275" s="155"/>
      <c r="Q1275" s="155"/>
      <c r="R1275" s="155"/>
      <c r="S1275" s="155"/>
      <c r="T1275" s="155"/>
      <c r="U1275" s="155"/>
      <c r="V1275" s="155"/>
      <c r="W1275" s="155"/>
      <c r="X1275" s="155"/>
      <c r="Y1275" s="155"/>
      <c r="Z1275" s="155"/>
      <c r="AA1275" s="155"/>
      <c r="AB1275" s="155"/>
      <c r="AC1275" s="155"/>
      <c r="AD1275" s="155"/>
      <c r="AE1275" s="155"/>
      <c r="AF1275" s="155"/>
      <c r="AG1275" s="155"/>
      <c r="AH1275" s="155"/>
      <c r="AI1275" s="155"/>
      <c r="AJ1275" s="155"/>
      <c r="AK1275" s="155"/>
      <c r="AL1275" s="155"/>
      <c r="AM1275" s="155"/>
      <c r="AN1275" s="155"/>
      <c r="AO1275" s="155"/>
      <c r="AP1275" s="155"/>
      <c r="AQ1275" s="155"/>
      <c r="AR1275" s="155"/>
      <c r="AS1275" s="155"/>
      <c r="AT1275" s="155"/>
      <c r="AU1275" s="155"/>
      <c r="AV1275" s="155"/>
      <c r="AW1275" s="155"/>
      <c r="AX1275" s="155"/>
    </row>
    <row r="1276" spans="4:50">
      <c r="D1276" s="155"/>
      <c r="E1276" s="155"/>
      <c r="F1276" s="155"/>
      <c r="G1276" s="155"/>
      <c r="H1276" s="155"/>
      <c r="I1276" s="155"/>
      <c r="J1276" s="155"/>
      <c r="K1276" s="155"/>
      <c r="L1276" s="155"/>
      <c r="M1276" s="155"/>
      <c r="N1276" s="155"/>
      <c r="O1276" s="155"/>
      <c r="P1276" s="155"/>
      <c r="Q1276" s="155"/>
      <c r="R1276" s="155"/>
      <c r="S1276" s="155"/>
      <c r="T1276" s="155"/>
      <c r="U1276" s="155"/>
      <c r="V1276" s="155"/>
      <c r="W1276" s="155"/>
      <c r="X1276" s="155"/>
      <c r="Y1276" s="155"/>
      <c r="Z1276" s="155"/>
      <c r="AA1276" s="155"/>
      <c r="AB1276" s="155"/>
      <c r="AC1276" s="155"/>
      <c r="AD1276" s="155"/>
      <c r="AE1276" s="155"/>
      <c r="AF1276" s="155"/>
      <c r="AG1276" s="155"/>
      <c r="AH1276" s="155"/>
      <c r="AI1276" s="155"/>
      <c r="AJ1276" s="155"/>
      <c r="AK1276" s="155"/>
      <c r="AL1276" s="155"/>
      <c r="AM1276" s="155"/>
      <c r="AN1276" s="155"/>
      <c r="AO1276" s="155"/>
      <c r="AP1276" s="155"/>
      <c r="AQ1276" s="155"/>
      <c r="AR1276" s="155"/>
      <c r="AS1276" s="155"/>
      <c r="AT1276" s="155"/>
      <c r="AU1276" s="155"/>
      <c r="AV1276" s="155"/>
      <c r="AW1276" s="155"/>
      <c r="AX1276" s="155"/>
    </row>
    <row r="1277" spans="4:50">
      <c r="D1277" s="155"/>
      <c r="E1277" s="155"/>
      <c r="F1277" s="155"/>
      <c r="G1277" s="155"/>
      <c r="H1277" s="155"/>
      <c r="I1277" s="155"/>
      <c r="J1277" s="155"/>
      <c r="K1277" s="155"/>
      <c r="L1277" s="155"/>
      <c r="M1277" s="155"/>
      <c r="N1277" s="155"/>
      <c r="O1277" s="155"/>
      <c r="P1277" s="155"/>
      <c r="Q1277" s="155"/>
      <c r="R1277" s="155"/>
      <c r="S1277" s="155"/>
      <c r="T1277" s="155"/>
      <c r="U1277" s="155"/>
      <c r="V1277" s="155"/>
      <c r="W1277" s="155"/>
      <c r="X1277" s="155"/>
      <c r="Y1277" s="155"/>
      <c r="Z1277" s="155"/>
      <c r="AA1277" s="155"/>
      <c r="AB1277" s="155"/>
      <c r="AC1277" s="155"/>
      <c r="AD1277" s="155"/>
      <c r="AE1277" s="155"/>
      <c r="AF1277" s="155"/>
      <c r="AG1277" s="155"/>
      <c r="AH1277" s="155"/>
      <c r="AI1277" s="155"/>
      <c r="AJ1277" s="155"/>
      <c r="AK1277" s="155"/>
      <c r="AL1277" s="155"/>
      <c r="AM1277" s="155"/>
      <c r="AN1277" s="155"/>
      <c r="AO1277" s="155"/>
      <c r="AP1277" s="155"/>
      <c r="AQ1277" s="155"/>
      <c r="AR1277" s="155"/>
      <c r="AS1277" s="155"/>
      <c r="AT1277" s="155"/>
      <c r="AU1277" s="155"/>
      <c r="AV1277" s="155"/>
      <c r="AW1277" s="155"/>
      <c r="AX1277" s="155"/>
    </row>
    <row r="1278" spans="4:50">
      <c r="D1278" s="155"/>
      <c r="E1278" s="155"/>
      <c r="F1278" s="155"/>
      <c r="G1278" s="155"/>
      <c r="H1278" s="155"/>
      <c r="I1278" s="155"/>
      <c r="J1278" s="155"/>
      <c r="K1278" s="155"/>
      <c r="L1278" s="155"/>
      <c r="M1278" s="155"/>
      <c r="N1278" s="155"/>
      <c r="O1278" s="155"/>
      <c r="P1278" s="155"/>
      <c r="Q1278" s="155"/>
      <c r="R1278" s="155"/>
      <c r="S1278" s="155"/>
      <c r="T1278" s="155"/>
      <c r="U1278" s="155"/>
      <c r="V1278" s="155"/>
      <c r="W1278" s="155"/>
      <c r="X1278" s="155"/>
      <c r="Y1278" s="155"/>
      <c r="Z1278" s="155"/>
      <c r="AA1278" s="155"/>
      <c r="AB1278" s="155"/>
      <c r="AC1278" s="155"/>
      <c r="AD1278" s="155"/>
      <c r="AE1278" s="155"/>
      <c r="AF1278" s="155"/>
      <c r="AG1278" s="155"/>
      <c r="AH1278" s="155"/>
      <c r="AI1278" s="155"/>
      <c r="AJ1278" s="155"/>
      <c r="AK1278" s="155"/>
      <c r="AL1278" s="155"/>
      <c r="AM1278" s="155"/>
      <c r="AN1278" s="155"/>
      <c r="AO1278" s="155"/>
      <c r="AP1278" s="155"/>
      <c r="AQ1278" s="155"/>
      <c r="AR1278" s="155"/>
      <c r="AS1278" s="155"/>
      <c r="AT1278" s="155"/>
      <c r="AU1278" s="155"/>
      <c r="AV1278" s="155"/>
      <c r="AW1278" s="155"/>
      <c r="AX1278" s="155"/>
    </row>
    <row r="1279" spans="4:50">
      <c r="D1279" s="155"/>
      <c r="E1279" s="155"/>
      <c r="F1279" s="155"/>
      <c r="G1279" s="155"/>
      <c r="H1279" s="155"/>
      <c r="I1279" s="155"/>
      <c r="J1279" s="155"/>
      <c r="K1279" s="155"/>
      <c r="L1279" s="155"/>
      <c r="M1279" s="155"/>
      <c r="N1279" s="155"/>
      <c r="O1279" s="155"/>
      <c r="P1279" s="155"/>
      <c r="Q1279" s="155"/>
      <c r="R1279" s="155"/>
      <c r="S1279" s="155"/>
      <c r="T1279" s="155"/>
      <c r="U1279" s="155"/>
      <c r="V1279" s="155"/>
      <c r="W1279" s="155"/>
      <c r="X1279" s="155"/>
      <c r="Y1279" s="155"/>
      <c r="Z1279" s="155"/>
      <c r="AA1279" s="155"/>
      <c r="AB1279" s="155"/>
      <c r="AC1279" s="155"/>
      <c r="AD1279" s="155"/>
      <c r="AE1279" s="155"/>
      <c r="AF1279" s="155"/>
      <c r="AG1279" s="155"/>
      <c r="AH1279" s="155"/>
      <c r="AI1279" s="155"/>
      <c r="AJ1279" s="155"/>
      <c r="AK1279" s="155"/>
      <c r="AL1279" s="155"/>
      <c r="AM1279" s="155"/>
      <c r="AN1279" s="155"/>
      <c r="AO1279" s="155"/>
      <c r="AP1279" s="155"/>
      <c r="AQ1279" s="155"/>
      <c r="AR1279" s="155"/>
      <c r="AS1279" s="155"/>
      <c r="AT1279" s="155"/>
      <c r="AU1279" s="155"/>
      <c r="AV1279" s="155"/>
      <c r="AW1279" s="155"/>
      <c r="AX1279" s="155"/>
    </row>
    <row r="1280" spans="4:50">
      <c r="D1280" s="155"/>
      <c r="E1280" s="155"/>
      <c r="F1280" s="155"/>
      <c r="G1280" s="155"/>
      <c r="H1280" s="155"/>
      <c r="I1280" s="155"/>
      <c r="J1280" s="155"/>
      <c r="K1280" s="155"/>
      <c r="L1280" s="155"/>
      <c r="M1280" s="155"/>
      <c r="N1280" s="155"/>
      <c r="O1280" s="155"/>
      <c r="P1280" s="155"/>
      <c r="Q1280" s="155"/>
      <c r="R1280" s="155"/>
      <c r="S1280" s="155"/>
      <c r="T1280" s="155"/>
      <c r="U1280" s="155"/>
      <c r="V1280" s="155"/>
      <c r="W1280" s="155"/>
      <c r="X1280" s="155"/>
      <c r="Y1280" s="155"/>
      <c r="Z1280" s="155"/>
      <c r="AA1280" s="155"/>
      <c r="AB1280" s="155"/>
      <c r="AC1280" s="155"/>
      <c r="AD1280" s="155"/>
      <c r="AE1280" s="155"/>
      <c r="AF1280" s="155"/>
      <c r="AG1280" s="155"/>
      <c r="AH1280" s="155"/>
      <c r="AI1280" s="155"/>
      <c r="AJ1280" s="155"/>
      <c r="AK1280" s="155"/>
      <c r="AL1280" s="155"/>
      <c r="AM1280" s="155"/>
      <c r="AN1280" s="155"/>
      <c r="AO1280" s="155"/>
      <c r="AP1280" s="155"/>
      <c r="AQ1280" s="155"/>
      <c r="AR1280" s="155"/>
      <c r="AS1280" s="155"/>
      <c r="AT1280" s="155"/>
      <c r="AU1280" s="155"/>
      <c r="AV1280" s="155"/>
      <c r="AW1280" s="155"/>
      <c r="AX1280" s="155"/>
    </row>
    <row r="1281" spans="4:50">
      <c r="D1281" s="155"/>
      <c r="E1281" s="155"/>
      <c r="F1281" s="155"/>
      <c r="G1281" s="155"/>
      <c r="H1281" s="155"/>
      <c r="I1281" s="155"/>
      <c r="J1281" s="155"/>
      <c r="K1281" s="155"/>
      <c r="L1281" s="155"/>
      <c r="M1281" s="155"/>
      <c r="N1281" s="155"/>
      <c r="O1281" s="155"/>
      <c r="P1281" s="155"/>
      <c r="Q1281" s="155"/>
      <c r="R1281" s="155"/>
      <c r="S1281" s="155"/>
      <c r="T1281" s="155"/>
      <c r="U1281" s="155"/>
      <c r="V1281" s="155"/>
      <c r="W1281" s="155"/>
      <c r="X1281" s="155"/>
      <c r="Y1281" s="155"/>
      <c r="Z1281" s="155"/>
      <c r="AA1281" s="155"/>
      <c r="AB1281" s="155"/>
      <c r="AC1281" s="155"/>
      <c r="AD1281" s="155"/>
      <c r="AE1281" s="155"/>
      <c r="AF1281" s="155"/>
      <c r="AG1281" s="155"/>
      <c r="AH1281" s="155"/>
      <c r="AI1281" s="155"/>
      <c r="AJ1281" s="155"/>
      <c r="AK1281" s="155"/>
      <c r="AL1281" s="155"/>
      <c r="AM1281" s="155"/>
      <c r="AN1281" s="155"/>
      <c r="AO1281" s="155"/>
      <c r="AP1281" s="155"/>
      <c r="AQ1281" s="155"/>
      <c r="AR1281" s="155"/>
      <c r="AS1281" s="155"/>
      <c r="AT1281" s="155"/>
      <c r="AU1281" s="155"/>
      <c r="AV1281" s="155"/>
      <c r="AW1281" s="155"/>
      <c r="AX1281" s="155"/>
    </row>
    <row r="1282" spans="4:50">
      <c r="D1282" s="155"/>
      <c r="E1282" s="155"/>
      <c r="F1282" s="155"/>
      <c r="G1282" s="155"/>
      <c r="H1282" s="155"/>
      <c r="I1282" s="155"/>
      <c r="J1282" s="155"/>
      <c r="K1282" s="155"/>
      <c r="L1282" s="155"/>
      <c r="M1282" s="155"/>
      <c r="N1282" s="155"/>
      <c r="O1282" s="155"/>
      <c r="P1282" s="155"/>
      <c r="Q1282" s="155"/>
      <c r="R1282" s="155"/>
      <c r="S1282" s="155"/>
      <c r="T1282" s="155"/>
      <c r="U1282" s="155"/>
      <c r="V1282" s="155"/>
      <c r="W1282" s="155"/>
      <c r="X1282" s="155"/>
      <c r="Y1282" s="155"/>
      <c r="Z1282" s="155"/>
      <c r="AA1282" s="155"/>
      <c r="AB1282" s="155"/>
      <c r="AC1282" s="155"/>
      <c r="AD1282" s="155"/>
      <c r="AE1282" s="155"/>
      <c r="AF1282" s="155"/>
      <c r="AG1282" s="155"/>
      <c r="AH1282" s="155"/>
      <c r="AI1282" s="155"/>
      <c r="AJ1282" s="155"/>
      <c r="AK1282" s="155"/>
      <c r="AL1282" s="155"/>
      <c r="AM1282" s="155"/>
      <c r="AN1282" s="155"/>
      <c r="AO1282" s="155"/>
      <c r="AP1282" s="155"/>
      <c r="AQ1282" s="155"/>
      <c r="AR1282" s="155"/>
      <c r="AS1282" s="155"/>
      <c r="AT1282" s="155"/>
      <c r="AU1282" s="155"/>
      <c r="AV1282" s="155"/>
      <c r="AW1282" s="155"/>
      <c r="AX1282" s="155"/>
    </row>
    <row r="1283" spans="4:50">
      <c r="D1283" s="155"/>
      <c r="E1283" s="155"/>
      <c r="F1283" s="155"/>
      <c r="G1283" s="155"/>
      <c r="H1283" s="155"/>
      <c r="I1283" s="155"/>
      <c r="J1283" s="155"/>
      <c r="K1283" s="155"/>
      <c r="L1283" s="155"/>
      <c r="M1283" s="155"/>
      <c r="N1283" s="155"/>
      <c r="O1283" s="155"/>
      <c r="P1283" s="155"/>
      <c r="Q1283" s="155"/>
      <c r="R1283" s="155"/>
      <c r="S1283" s="155"/>
      <c r="T1283" s="155"/>
      <c r="U1283" s="155"/>
      <c r="V1283" s="155"/>
      <c r="W1283" s="155"/>
      <c r="X1283" s="155"/>
      <c r="Y1283" s="155"/>
      <c r="Z1283" s="155"/>
      <c r="AA1283" s="155"/>
      <c r="AB1283" s="155"/>
      <c r="AC1283" s="155"/>
      <c r="AD1283" s="155"/>
      <c r="AE1283" s="155"/>
      <c r="AF1283" s="155"/>
      <c r="AG1283" s="155"/>
      <c r="AH1283" s="155"/>
      <c r="AI1283" s="155"/>
      <c r="AJ1283" s="155"/>
      <c r="AK1283" s="155"/>
      <c r="AL1283" s="155"/>
      <c r="AM1283" s="155"/>
      <c r="AN1283" s="155"/>
      <c r="AO1283" s="155"/>
      <c r="AP1283" s="155"/>
      <c r="AQ1283" s="155"/>
      <c r="AR1283" s="155"/>
      <c r="AS1283" s="155"/>
      <c r="AT1283" s="155"/>
      <c r="AU1283" s="155"/>
      <c r="AV1283" s="155"/>
      <c r="AW1283" s="155"/>
      <c r="AX1283" s="155"/>
    </row>
    <row r="1284" spans="4:50">
      <c r="D1284" s="155"/>
      <c r="E1284" s="155"/>
      <c r="F1284" s="155"/>
      <c r="G1284" s="155"/>
      <c r="H1284" s="155"/>
      <c r="I1284" s="155"/>
      <c r="J1284" s="155"/>
      <c r="K1284" s="155"/>
      <c r="L1284" s="155"/>
      <c r="M1284" s="155"/>
      <c r="N1284" s="155"/>
      <c r="O1284" s="155"/>
      <c r="P1284" s="155"/>
      <c r="Q1284" s="155"/>
      <c r="R1284" s="155"/>
      <c r="S1284" s="155"/>
      <c r="T1284" s="155"/>
      <c r="U1284" s="155"/>
      <c r="V1284" s="155"/>
      <c r="W1284" s="155"/>
      <c r="X1284" s="155"/>
      <c r="Y1284" s="155"/>
      <c r="Z1284" s="155"/>
      <c r="AA1284" s="155"/>
      <c r="AB1284" s="155"/>
      <c r="AC1284" s="155"/>
      <c r="AD1284" s="155"/>
      <c r="AE1284" s="155"/>
      <c r="AF1284" s="155"/>
      <c r="AG1284" s="155"/>
      <c r="AH1284" s="155"/>
      <c r="AI1284" s="155"/>
      <c r="AJ1284" s="155"/>
      <c r="AK1284" s="155"/>
      <c r="AL1284" s="155"/>
      <c r="AM1284" s="155"/>
      <c r="AN1284" s="155"/>
      <c r="AO1284" s="155"/>
      <c r="AP1284" s="155"/>
      <c r="AQ1284" s="155"/>
      <c r="AR1284" s="155"/>
      <c r="AS1284" s="155"/>
      <c r="AT1284" s="155"/>
      <c r="AU1284" s="155"/>
      <c r="AV1284" s="155"/>
      <c r="AW1284" s="155"/>
      <c r="AX1284" s="155"/>
    </row>
    <row r="1285" spans="4:50">
      <c r="D1285" s="155"/>
      <c r="E1285" s="155"/>
      <c r="F1285" s="155"/>
      <c r="G1285" s="155"/>
      <c r="H1285" s="155"/>
      <c r="I1285" s="155"/>
      <c r="J1285" s="155"/>
      <c r="K1285" s="155"/>
      <c r="L1285" s="155"/>
      <c r="M1285" s="155"/>
      <c r="N1285" s="155"/>
      <c r="O1285" s="155"/>
      <c r="P1285" s="155"/>
      <c r="Q1285" s="155"/>
      <c r="R1285" s="155"/>
      <c r="S1285" s="155"/>
      <c r="T1285" s="155"/>
      <c r="U1285" s="155"/>
      <c r="V1285" s="155"/>
      <c r="W1285" s="155"/>
      <c r="X1285" s="155"/>
      <c r="Y1285" s="155"/>
      <c r="Z1285" s="155"/>
      <c r="AA1285" s="155"/>
      <c r="AB1285" s="155"/>
      <c r="AC1285" s="155"/>
      <c r="AD1285" s="155"/>
      <c r="AE1285" s="155"/>
      <c r="AF1285" s="155"/>
      <c r="AG1285" s="155"/>
      <c r="AH1285" s="155"/>
      <c r="AI1285" s="155"/>
      <c r="AJ1285" s="155"/>
      <c r="AK1285" s="155"/>
      <c r="AL1285" s="155"/>
      <c r="AM1285" s="155"/>
      <c r="AN1285" s="155"/>
      <c r="AO1285" s="155"/>
      <c r="AP1285" s="155"/>
      <c r="AQ1285" s="155"/>
      <c r="AR1285" s="155"/>
      <c r="AS1285" s="155"/>
      <c r="AT1285" s="155"/>
      <c r="AU1285" s="155"/>
      <c r="AV1285" s="155"/>
      <c r="AW1285" s="155"/>
      <c r="AX1285" s="155"/>
    </row>
    <row r="1286" spans="4:50">
      <c r="D1286" s="155"/>
      <c r="E1286" s="155"/>
      <c r="F1286" s="155"/>
      <c r="G1286" s="155"/>
      <c r="H1286" s="155"/>
      <c r="I1286" s="155"/>
      <c r="J1286" s="155"/>
      <c r="K1286" s="155"/>
      <c r="L1286" s="155"/>
      <c r="M1286" s="155"/>
      <c r="N1286" s="155"/>
      <c r="O1286" s="155"/>
      <c r="P1286" s="155"/>
      <c r="Q1286" s="155"/>
      <c r="R1286" s="155"/>
      <c r="S1286" s="155"/>
      <c r="T1286" s="155"/>
      <c r="U1286" s="155"/>
      <c r="V1286" s="155"/>
      <c r="W1286" s="155"/>
      <c r="X1286" s="155"/>
      <c r="Y1286" s="155"/>
      <c r="Z1286" s="155"/>
      <c r="AA1286" s="155"/>
      <c r="AB1286" s="155"/>
      <c r="AC1286" s="155"/>
      <c r="AD1286" s="155"/>
      <c r="AE1286" s="155"/>
      <c r="AF1286" s="155"/>
      <c r="AG1286" s="155"/>
      <c r="AH1286" s="155"/>
      <c r="AI1286" s="155"/>
      <c r="AJ1286" s="155"/>
      <c r="AK1286" s="155"/>
      <c r="AL1286" s="155"/>
      <c r="AM1286" s="155"/>
      <c r="AN1286" s="155"/>
      <c r="AO1286" s="155"/>
      <c r="AP1286" s="155"/>
      <c r="AQ1286" s="155"/>
      <c r="AR1286" s="155"/>
      <c r="AS1286" s="155"/>
      <c r="AT1286" s="155"/>
      <c r="AU1286" s="155"/>
      <c r="AV1286" s="155"/>
      <c r="AW1286" s="155"/>
      <c r="AX1286" s="155"/>
    </row>
    <row r="1287" spans="4:50">
      <c r="D1287" s="155"/>
      <c r="E1287" s="155"/>
      <c r="F1287" s="155"/>
      <c r="G1287" s="155"/>
      <c r="H1287" s="155"/>
      <c r="I1287" s="155"/>
      <c r="J1287" s="155"/>
      <c r="K1287" s="155"/>
      <c r="L1287" s="155"/>
      <c r="M1287" s="155"/>
      <c r="N1287" s="155"/>
      <c r="O1287" s="155"/>
      <c r="P1287" s="155"/>
      <c r="Q1287" s="155"/>
      <c r="R1287" s="155"/>
      <c r="S1287" s="155"/>
      <c r="T1287" s="155"/>
      <c r="U1287" s="155"/>
      <c r="V1287" s="155"/>
      <c r="W1287" s="155"/>
      <c r="X1287" s="155"/>
      <c r="Y1287" s="155"/>
      <c r="Z1287" s="155"/>
      <c r="AA1287" s="155"/>
      <c r="AB1287" s="155"/>
      <c r="AC1287" s="155"/>
      <c r="AD1287" s="155"/>
      <c r="AE1287" s="155"/>
      <c r="AF1287" s="155"/>
      <c r="AG1287" s="155"/>
      <c r="AH1287" s="155"/>
      <c r="AI1287" s="155"/>
      <c r="AJ1287" s="155"/>
      <c r="AK1287" s="155"/>
      <c r="AL1287" s="155"/>
      <c r="AM1287" s="155"/>
      <c r="AN1287" s="155"/>
      <c r="AO1287" s="155"/>
      <c r="AP1287" s="155"/>
      <c r="AQ1287" s="155"/>
      <c r="AR1287" s="155"/>
      <c r="AS1287" s="155"/>
      <c r="AT1287" s="155"/>
      <c r="AU1287" s="155"/>
      <c r="AV1287" s="155"/>
      <c r="AW1287" s="155"/>
      <c r="AX1287" s="155"/>
    </row>
    <row r="1288" spans="4:50">
      <c r="D1288" s="155"/>
      <c r="E1288" s="155"/>
      <c r="F1288" s="155"/>
      <c r="G1288" s="155"/>
      <c r="H1288" s="155"/>
      <c r="I1288" s="155"/>
      <c r="J1288" s="155"/>
      <c r="K1288" s="155"/>
      <c r="L1288" s="155"/>
      <c r="M1288" s="155"/>
      <c r="N1288" s="155"/>
      <c r="O1288" s="155"/>
      <c r="P1288" s="155"/>
      <c r="Q1288" s="155"/>
      <c r="R1288" s="155"/>
      <c r="S1288" s="155"/>
      <c r="T1288" s="155"/>
      <c r="U1288" s="155"/>
      <c r="V1288" s="155"/>
      <c r="W1288" s="155"/>
      <c r="X1288" s="155"/>
      <c r="Y1288" s="155"/>
      <c r="Z1288" s="155"/>
      <c r="AA1288" s="155"/>
      <c r="AB1288" s="155"/>
      <c r="AC1288" s="155"/>
      <c r="AD1288" s="155"/>
      <c r="AE1288" s="155"/>
      <c r="AF1288" s="155"/>
      <c r="AG1288" s="155"/>
      <c r="AH1288" s="155"/>
      <c r="AI1288" s="155"/>
      <c r="AJ1288" s="155"/>
      <c r="AK1288" s="155"/>
      <c r="AL1288" s="155"/>
      <c r="AM1288" s="155"/>
      <c r="AN1288" s="155"/>
      <c r="AO1288" s="155"/>
      <c r="AP1288" s="155"/>
      <c r="AQ1288" s="155"/>
      <c r="AR1288" s="155"/>
      <c r="AS1288" s="155"/>
      <c r="AT1288" s="155"/>
      <c r="AU1288" s="155"/>
      <c r="AV1288" s="155"/>
      <c r="AW1288" s="155"/>
      <c r="AX1288" s="155"/>
    </row>
    <row r="1289" spans="4:50">
      <c r="D1289" s="155"/>
      <c r="E1289" s="155"/>
      <c r="F1289" s="155"/>
      <c r="G1289" s="155"/>
      <c r="H1289" s="155"/>
      <c r="I1289" s="155"/>
      <c r="J1289" s="155"/>
      <c r="K1289" s="155"/>
      <c r="L1289" s="155"/>
      <c r="M1289" s="155"/>
      <c r="N1289" s="155"/>
      <c r="O1289" s="155"/>
      <c r="P1289" s="155"/>
      <c r="Q1289" s="155"/>
      <c r="R1289" s="155"/>
      <c r="S1289" s="155"/>
      <c r="T1289" s="155"/>
      <c r="U1289" s="155"/>
      <c r="V1289" s="155"/>
      <c r="W1289" s="155"/>
      <c r="X1289" s="155"/>
      <c r="Y1289" s="155"/>
      <c r="Z1289" s="155"/>
      <c r="AA1289" s="155"/>
      <c r="AB1289" s="155"/>
      <c r="AC1289" s="155"/>
      <c r="AD1289" s="155"/>
      <c r="AE1289" s="155"/>
      <c r="AF1289" s="155"/>
      <c r="AG1289" s="155"/>
      <c r="AH1289" s="155"/>
      <c r="AI1289" s="155"/>
      <c r="AJ1289" s="155"/>
      <c r="AK1289" s="155"/>
      <c r="AL1289" s="155"/>
      <c r="AM1289" s="155"/>
      <c r="AN1289" s="155"/>
      <c r="AO1289" s="155"/>
      <c r="AP1289" s="155"/>
      <c r="AQ1289" s="155"/>
      <c r="AR1289" s="155"/>
      <c r="AS1289" s="155"/>
      <c r="AT1289" s="155"/>
      <c r="AU1289" s="155"/>
      <c r="AV1289" s="155"/>
      <c r="AW1289" s="155"/>
      <c r="AX1289" s="155"/>
    </row>
    <row r="1290" spans="4:50">
      <c r="D1290" s="155"/>
      <c r="E1290" s="155"/>
      <c r="F1290" s="155"/>
      <c r="G1290" s="155"/>
      <c r="H1290" s="155"/>
      <c r="I1290" s="155"/>
      <c r="J1290" s="155"/>
      <c r="K1290" s="155"/>
      <c r="L1290" s="155"/>
      <c r="M1290" s="155"/>
      <c r="N1290" s="155"/>
      <c r="O1290" s="155"/>
      <c r="P1290" s="155"/>
      <c r="Q1290" s="155"/>
      <c r="R1290" s="155"/>
      <c r="S1290" s="155"/>
      <c r="T1290" s="155"/>
      <c r="U1290" s="155"/>
      <c r="V1290" s="155"/>
      <c r="W1290" s="155"/>
      <c r="X1290" s="155"/>
      <c r="Y1290" s="155"/>
      <c r="Z1290" s="155"/>
      <c r="AA1290" s="155"/>
      <c r="AB1290" s="155"/>
      <c r="AC1290" s="155"/>
      <c r="AD1290" s="155"/>
      <c r="AE1290" s="155"/>
      <c r="AF1290" s="155"/>
      <c r="AG1290" s="155"/>
      <c r="AH1290" s="155"/>
      <c r="AI1290" s="155"/>
      <c r="AJ1290" s="155"/>
      <c r="AK1290" s="155"/>
      <c r="AL1290" s="155"/>
      <c r="AM1290" s="155"/>
      <c r="AN1290" s="155"/>
      <c r="AO1290" s="155"/>
      <c r="AP1290" s="155"/>
      <c r="AQ1290" s="155"/>
      <c r="AR1290" s="155"/>
      <c r="AS1290" s="155"/>
      <c r="AT1290" s="155"/>
      <c r="AU1290" s="155"/>
      <c r="AV1290" s="155"/>
      <c r="AW1290" s="155"/>
      <c r="AX1290" s="155"/>
    </row>
    <row r="1291" spans="4:50">
      <c r="D1291" s="155"/>
      <c r="E1291" s="155"/>
      <c r="F1291" s="155"/>
      <c r="G1291" s="155"/>
      <c r="H1291" s="155"/>
      <c r="I1291" s="155"/>
      <c r="J1291" s="155"/>
      <c r="K1291" s="155"/>
      <c r="L1291" s="155"/>
      <c r="M1291" s="155"/>
      <c r="N1291" s="155"/>
      <c r="O1291" s="155"/>
      <c r="P1291" s="155"/>
      <c r="Q1291" s="155"/>
      <c r="R1291" s="155"/>
      <c r="S1291" s="155"/>
      <c r="T1291" s="155"/>
      <c r="U1291" s="155"/>
      <c r="V1291" s="155"/>
      <c r="W1291" s="155"/>
      <c r="X1291" s="155"/>
      <c r="Y1291" s="155"/>
      <c r="Z1291" s="155"/>
      <c r="AA1291" s="155"/>
      <c r="AB1291" s="155"/>
      <c r="AC1291" s="155"/>
      <c r="AD1291" s="155"/>
      <c r="AE1291" s="155"/>
      <c r="AF1291" s="155"/>
      <c r="AG1291" s="155"/>
      <c r="AH1291" s="155"/>
      <c r="AI1291" s="155"/>
      <c r="AJ1291" s="155"/>
      <c r="AK1291" s="155"/>
      <c r="AL1291" s="155"/>
      <c r="AM1291" s="155"/>
      <c r="AN1291" s="155"/>
      <c r="AO1291" s="155"/>
      <c r="AP1291" s="155"/>
      <c r="AQ1291" s="155"/>
      <c r="AR1291" s="155"/>
      <c r="AS1291" s="155"/>
      <c r="AT1291" s="155"/>
      <c r="AU1291" s="155"/>
      <c r="AV1291" s="155"/>
      <c r="AW1291" s="155"/>
      <c r="AX1291" s="155"/>
    </row>
    <row r="1292" spans="4:50">
      <c r="D1292" s="155"/>
      <c r="E1292" s="155"/>
      <c r="F1292" s="155"/>
      <c r="G1292" s="155"/>
      <c r="H1292" s="155"/>
      <c r="I1292" s="155"/>
      <c r="J1292" s="155"/>
      <c r="K1292" s="155"/>
      <c r="L1292" s="155"/>
      <c r="M1292" s="155"/>
      <c r="N1292" s="155"/>
      <c r="O1292" s="155"/>
      <c r="P1292" s="155"/>
      <c r="Q1292" s="155"/>
      <c r="R1292" s="155"/>
      <c r="S1292" s="155"/>
      <c r="T1292" s="155"/>
      <c r="U1292" s="155"/>
      <c r="V1292" s="155"/>
      <c r="W1292" s="155"/>
      <c r="X1292" s="155"/>
      <c r="Y1292" s="155"/>
      <c r="Z1292" s="155"/>
      <c r="AA1292" s="155"/>
      <c r="AB1292" s="155"/>
      <c r="AC1292" s="155"/>
      <c r="AD1292" s="155"/>
      <c r="AE1292" s="155"/>
      <c r="AF1292" s="155"/>
      <c r="AG1292" s="155"/>
      <c r="AH1292" s="155"/>
      <c r="AI1292" s="155"/>
      <c r="AJ1292" s="155"/>
      <c r="AK1292" s="155"/>
      <c r="AL1292" s="155"/>
      <c r="AM1292" s="155"/>
      <c r="AN1292" s="155"/>
      <c r="AO1292" s="155"/>
      <c r="AP1292" s="155"/>
      <c r="AQ1292" s="155"/>
      <c r="AR1292" s="155"/>
      <c r="AS1292" s="155"/>
      <c r="AT1292" s="155"/>
      <c r="AU1292" s="155"/>
      <c r="AV1292" s="155"/>
      <c r="AW1292" s="155"/>
      <c r="AX1292" s="155"/>
    </row>
    <row r="1293" spans="4:50">
      <c r="D1293" s="155"/>
      <c r="E1293" s="155"/>
      <c r="F1293" s="155"/>
      <c r="G1293" s="155"/>
      <c r="H1293" s="155"/>
      <c r="I1293" s="155"/>
      <c r="J1293" s="155"/>
      <c r="K1293" s="155"/>
      <c r="L1293" s="155"/>
      <c r="M1293" s="155"/>
      <c r="N1293" s="155"/>
      <c r="O1293" s="155"/>
      <c r="P1293" s="155"/>
      <c r="Q1293" s="155"/>
      <c r="R1293" s="155"/>
      <c r="S1293" s="155"/>
      <c r="T1293" s="155"/>
      <c r="U1293" s="155"/>
      <c r="V1293" s="155"/>
      <c r="W1293" s="155"/>
      <c r="X1293" s="155"/>
      <c r="Y1293" s="155"/>
      <c r="Z1293" s="155"/>
      <c r="AA1293" s="155"/>
      <c r="AB1293" s="155"/>
      <c r="AC1293" s="155"/>
      <c r="AD1293" s="155"/>
      <c r="AE1293" s="155"/>
      <c r="AF1293" s="155"/>
      <c r="AG1293" s="155"/>
      <c r="AH1293" s="155"/>
      <c r="AI1293" s="155"/>
      <c r="AJ1293" s="155"/>
      <c r="AK1293" s="155"/>
      <c r="AL1293" s="155"/>
      <c r="AM1293" s="155"/>
      <c r="AN1293" s="155"/>
      <c r="AO1293" s="155"/>
      <c r="AP1293" s="155"/>
      <c r="AQ1293" s="155"/>
      <c r="AR1293" s="155"/>
      <c r="AS1293" s="155"/>
      <c r="AT1293" s="155"/>
      <c r="AU1293" s="155"/>
      <c r="AV1293" s="155"/>
      <c r="AW1293" s="155"/>
      <c r="AX1293" s="155"/>
    </row>
    <row r="1294" spans="4:50">
      <c r="D1294" s="155"/>
      <c r="E1294" s="155"/>
      <c r="F1294" s="155"/>
      <c r="G1294" s="155"/>
      <c r="H1294" s="155"/>
      <c r="I1294" s="155"/>
      <c r="J1294" s="155"/>
      <c r="K1294" s="155"/>
      <c r="L1294" s="155"/>
      <c r="M1294" s="155"/>
      <c r="N1294" s="155"/>
      <c r="O1294" s="155"/>
      <c r="P1294" s="155"/>
      <c r="Q1294" s="155"/>
      <c r="R1294" s="155"/>
      <c r="S1294" s="155"/>
      <c r="T1294" s="155"/>
      <c r="U1294" s="155"/>
      <c r="V1294" s="155"/>
      <c r="W1294" s="155"/>
      <c r="X1294" s="155"/>
      <c r="Y1294" s="155"/>
      <c r="Z1294" s="155"/>
      <c r="AA1294" s="155"/>
      <c r="AB1294" s="155"/>
      <c r="AC1294" s="155"/>
      <c r="AD1294" s="155"/>
      <c r="AE1294" s="155"/>
      <c r="AF1294" s="155"/>
      <c r="AG1294" s="155"/>
      <c r="AH1294" s="155"/>
      <c r="AI1294" s="155"/>
      <c r="AJ1294" s="155"/>
      <c r="AK1294" s="155"/>
      <c r="AL1294" s="155"/>
      <c r="AM1294" s="155"/>
      <c r="AN1294" s="155"/>
      <c r="AO1294" s="155"/>
      <c r="AP1294" s="155"/>
      <c r="AQ1294" s="155"/>
      <c r="AR1294" s="155"/>
      <c r="AS1294" s="155"/>
      <c r="AT1294" s="155"/>
      <c r="AU1294" s="155"/>
      <c r="AV1294" s="155"/>
      <c r="AW1294" s="155"/>
      <c r="AX1294" s="155"/>
    </row>
    <row r="1295" spans="4:50">
      <c r="D1295" s="155"/>
      <c r="E1295" s="155"/>
      <c r="F1295" s="155"/>
      <c r="G1295" s="155"/>
      <c r="H1295" s="155"/>
      <c r="I1295" s="155"/>
      <c r="J1295" s="155"/>
      <c r="K1295" s="155"/>
      <c r="L1295" s="155"/>
      <c r="M1295" s="155"/>
      <c r="N1295" s="155"/>
      <c r="O1295" s="155"/>
      <c r="P1295" s="155"/>
      <c r="Q1295" s="155"/>
      <c r="R1295" s="155"/>
      <c r="S1295" s="155"/>
      <c r="T1295" s="155"/>
      <c r="U1295" s="155"/>
      <c r="V1295" s="155"/>
      <c r="W1295" s="155"/>
      <c r="X1295" s="155"/>
      <c r="Y1295" s="155"/>
      <c r="Z1295" s="155"/>
      <c r="AA1295" s="155"/>
      <c r="AB1295" s="155"/>
      <c r="AC1295" s="155"/>
      <c r="AD1295" s="155"/>
      <c r="AE1295" s="155"/>
      <c r="AF1295" s="155"/>
      <c r="AG1295" s="155"/>
      <c r="AH1295" s="155"/>
      <c r="AI1295" s="155"/>
      <c r="AJ1295" s="155"/>
      <c r="AK1295" s="155"/>
      <c r="AL1295" s="155"/>
      <c r="AM1295" s="155"/>
      <c r="AN1295" s="155"/>
      <c r="AO1295" s="155"/>
      <c r="AP1295" s="155"/>
      <c r="AQ1295" s="155"/>
      <c r="AR1295" s="155"/>
      <c r="AS1295" s="155"/>
      <c r="AT1295" s="155"/>
      <c r="AU1295" s="155"/>
      <c r="AV1295" s="155"/>
      <c r="AW1295" s="155"/>
      <c r="AX1295" s="155"/>
    </row>
    <row r="1296" spans="4:50">
      <c r="D1296" s="155"/>
      <c r="E1296" s="155"/>
      <c r="F1296" s="155"/>
      <c r="G1296" s="155"/>
      <c r="H1296" s="155"/>
      <c r="I1296" s="155"/>
      <c r="J1296" s="155"/>
      <c r="K1296" s="155"/>
      <c r="L1296" s="155"/>
      <c r="M1296" s="155"/>
      <c r="N1296" s="155"/>
      <c r="O1296" s="155"/>
      <c r="P1296" s="155"/>
      <c r="Q1296" s="155"/>
      <c r="R1296" s="155"/>
      <c r="S1296" s="155"/>
      <c r="T1296" s="155"/>
      <c r="U1296" s="155"/>
      <c r="V1296" s="155"/>
      <c r="W1296" s="155"/>
      <c r="X1296" s="155"/>
      <c r="Y1296" s="155"/>
      <c r="Z1296" s="155"/>
      <c r="AA1296" s="155"/>
      <c r="AB1296" s="155"/>
      <c r="AC1296" s="155"/>
      <c r="AD1296" s="155"/>
      <c r="AE1296" s="155"/>
      <c r="AF1296" s="155"/>
      <c r="AG1296" s="155"/>
      <c r="AH1296" s="155"/>
      <c r="AI1296" s="155"/>
      <c r="AJ1296" s="155"/>
      <c r="AK1296" s="155"/>
      <c r="AL1296" s="155"/>
      <c r="AM1296" s="155"/>
      <c r="AN1296" s="155"/>
      <c r="AO1296" s="155"/>
      <c r="AP1296" s="155"/>
      <c r="AQ1296" s="155"/>
      <c r="AR1296" s="155"/>
      <c r="AS1296" s="155"/>
      <c r="AT1296" s="155"/>
      <c r="AU1296" s="155"/>
      <c r="AV1296" s="155"/>
      <c r="AW1296" s="155"/>
      <c r="AX1296" s="155"/>
    </row>
    <row r="1297" spans="4:50">
      <c r="D1297" s="155"/>
      <c r="E1297" s="155"/>
      <c r="F1297" s="155"/>
      <c r="G1297" s="155"/>
      <c r="H1297" s="155"/>
      <c r="I1297" s="155"/>
      <c r="J1297" s="155"/>
      <c r="K1297" s="155"/>
      <c r="L1297" s="155"/>
      <c r="M1297" s="155"/>
      <c r="N1297" s="155"/>
      <c r="O1297" s="155"/>
      <c r="P1297" s="155"/>
      <c r="Q1297" s="155"/>
      <c r="R1297" s="155"/>
      <c r="S1297" s="155"/>
      <c r="T1297" s="155"/>
      <c r="U1297" s="155"/>
      <c r="V1297" s="155"/>
      <c r="W1297" s="155"/>
      <c r="X1297" s="155"/>
      <c r="Y1297" s="155"/>
      <c r="Z1297" s="155"/>
      <c r="AA1297" s="155"/>
      <c r="AB1297" s="155"/>
      <c r="AC1297" s="155"/>
      <c r="AD1297" s="155"/>
      <c r="AE1297" s="155"/>
      <c r="AF1297" s="155"/>
      <c r="AG1297" s="155"/>
      <c r="AH1297" s="155"/>
      <c r="AI1297" s="155"/>
      <c r="AJ1297" s="155"/>
      <c r="AK1297" s="155"/>
      <c r="AL1297" s="155"/>
      <c r="AM1297" s="155"/>
      <c r="AN1297" s="155"/>
      <c r="AO1297" s="155"/>
      <c r="AP1297" s="155"/>
      <c r="AQ1297" s="155"/>
      <c r="AR1297" s="155"/>
      <c r="AS1297" s="155"/>
      <c r="AT1297" s="155"/>
      <c r="AU1297" s="155"/>
      <c r="AV1297" s="155"/>
      <c r="AW1297" s="155"/>
      <c r="AX1297" s="155"/>
    </row>
    <row r="1298" spans="4:50">
      <c r="D1298" s="155"/>
      <c r="E1298" s="155"/>
      <c r="F1298" s="155"/>
      <c r="G1298" s="155"/>
      <c r="H1298" s="155"/>
      <c r="I1298" s="155"/>
      <c r="J1298" s="155"/>
      <c r="K1298" s="155"/>
      <c r="L1298" s="155"/>
      <c r="M1298" s="155"/>
      <c r="N1298" s="155"/>
      <c r="O1298" s="155"/>
      <c r="P1298" s="155"/>
      <c r="Q1298" s="155"/>
      <c r="R1298" s="155"/>
      <c r="S1298" s="155"/>
      <c r="T1298" s="155"/>
      <c r="U1298" s="155"/>
      <c r="V1298" s="155"/>
      <c r="W1298" s="155"/>
      <c r="X1298" s="155"/>
      <c r="Y1298" s="155"/>
      <c r="Z1298" s="155"/>
      <c r="AA1298" s="155"/>
      <c r="AB1298" s="155"/>
      <c r="AC1298" s="155"/>
      <c r="AD1298" s="155"/>
      <c r="AE1298" s="155"/>
      <c r="AF1298" s="155"/>
      <c r="AG1298" s="155"/>
      <c r="AH1298" s="155"/>
      <c r="AI1298" s="155"/>
      <c r="AJ1298" s="155"/>
      <c r="AK1298" s="155"/>
      <c r="AL1298" s="155"/>
      <c r="AM1298" s="155"/>
      <c r="AN1298" s="155"/>
      <c r="AO1298" s="155"/>
      <c r="AP1298" s="155"/>
      <c r="AQ1298" s="155"/>
      <c r="AR1298" s="155"/>
      <c r="AS1298" s="155"/>
      <c r="AT1298" s="155"/>
      <c r="AU1298" s="155"/>
      <c r="AV1298" s="155"/>
      <c r="AW1298" s="155"/>
      <c r="AX1298" s="155"/>
    </row>
    <row r="1299" spans="4:50">
      <c r="D1299" s="155"/>
      <c r="E1299" s="155"/>
      <c r="F1299" s="155"/>
      <c r="G1299" s="155"/>
      <c r="H1299" s="155"/>
      <c r="I1299" s="155"/>
      <c r="J1299" s="155"/>
      <c r="K1299" s="155"/>
      <c r="L1299" s="155"/>
      <c r="M1299" s="155"/>
      <c r="N1299" s="155"/>
      <c r="O1299" s="155"/>
      <c r="P1299" s="155"/>
      <c r="Q1299" s="155"/>
      <c r="R1299" s="155"/>
      <c r="S1299" s="155"/>
      <c r="T1299" s="155"/>
      <c r="U1299" s="155"/>
      <c r="V1299" s="155"/>
      <c r="W1299" s="155"/>
      <c r="X1299" s="155"/>
      <c r="Y1299" s="155"/>
      <c r="Z1299" s="155"/>
      <c r="AA1299" s="155"/>
      <c r="AB1299" s="155"/>
      <c r="AC1299" s="155"/>
      <c r="AD1299" s="155"/>
      <c r="AE1299" s="155"/>
      <c r="AF1299" s="155"/>
      <c r="AG1299" s="155"/>
      <c r="AH1299" s="155"/>
      <c r="AI1299" s="155"/>
      <c r="AJ1299" s="155"/>
      <c r="AK1299" s="155"/>
      <c r="AL1299" s="155"/>
      <c r="AM1299" s="155"/>
      <c r="AN1299" s="155"/>
      <c r="AO1299" s="155"/>
      <c r="AP1299" s="155"/>
      <c r="AQ1299" s="155"/>
      <c r="AR1299" s="155"/>
      <c r="AS1299" s="155"/>
      <c r="AT1299" s="155"/>
      <c r="AU1299" s="155"/>
      <c r="AV1299" s="155"/>
      <c r="AW1299" s="155"/>
      <c r="AX1299" s="155"/>
    </row>
    <row r="1300" spans="4:50">
      <c r="D1300" s="155"/>
      <c r="E1300" s="155"/>
      <c r="F1300" s="155"/>
      <c r="G1300" s="155"/>
      <c r="H1300" s="155"/>
      <c r="I1300" s="155"/>
      <c r="J1300" s="155"/>
      <c r="K1300" s="155"/>
      <c r="L1300" s="155"/>
      <c r="M1300" s="155"/>
      <c r="N1300" s="155"/>
      <c r="O1300" s="155"/>
      <c r="P1300" s="155"/>
      <c r="Q1300" s="155"/>
      <c r="R1300" s="155"/>
      <c r="S1300" s="155"/>
      <c r="T1300" s="155"/>
      <c r="U1300" s="155"/>
      <c r="V1300" s="155"/>
      <c r="W1300" s="155"/>
      <c r="X1300" s="155"/>
      <c r="Y1300" s="155"/>
      <c r="Z1300" s="155"/>
      <c r="AA1300" s="155"/>
      <c r="AB1300" s="155"/>
      <c r="AC1300" s="155"/>
      <c r="AD1300" s="155"/>
      <c r="AE1300" s="155"/>
      <c r="AF1300" s="155"/>
      <c r="AG1300" s="155"/>
      <c r="AH1300" s="155"/>
      <c r="AI1300" s="155"/>
      <c r="AJ1300" s="155"/>
      <c r="AK1300" s="155"/>
      <c r="AL1300" s="155"/>
      <c r="AM1300" s="155"/>
      <c r="AN1300" s="155"/>
      <c r="AO1300" s="155"/>
      <c r="AP1300" s="155"/>
      <c r="AQ1300" s="155"/>
      <c r="AR1300" s="155"/>
      <c r="AS1300" s="155"/>
      <c r="AT1300" s="155"/>
      <c r="AU1300" s="155"/>
      <c r="AV1300" s="155"/>
      <c r="AW1300" s="155"/>
      <c r="AX1300" s="155"/>
    </row>
    <row r="1301" spans="4:50">
      <c r="D1301" s="155"/>
      <c r="E1301" s="155"/>
      <c r="F1301" s="155"/>
      <c r="G1301" s="155"/>
      <c r="H1301" s="155"/>
      <c r="I1301" s="155"/>
      <c r="J1301" s="155"/>
      <c r="K1301" s="155"/>
      <c r="L1301" s="155"/>
      <c r="M1301" s="155"/>
      <c r="N1301" s="155"/>
      <c r="O1301" s="155"/>
      <c r="P1301" s="155"/>
      <c r="Q1301" s="155"/>
      <c r="R1301" s="155"/>
      <c r="S1301" s="155"/>
      <c r="T1301" s="155"/>
      <c r="U1301" s="155"/>
      <c r="V1301" s="155"/>
      <c r="W1301" s="155"/>
      <c r="X1301" s="155"/>
      <c r="Y1301" s="155"/>
      <c r="Z1301" s="155"/>
      <c r="AA1301" s="155"/>
      <c r="AB1301" s="155"/>
      <c r="AC1301" s="155"/>
      <c r="AD1301" s="155"/>
      <c r="AE1301" s="155"/>
      <c r="AF1301" s="155"/>
      <c r="AG1301" s="155"/>
      <c r="AH1301" s="155"/>
      <c r="AI1301" s="155"/>
      <c r="AJ1301" s="155"/>
      <c r="AK1301" s="155"/>
      <c r="AL1301" s="155"/>
      <c r="AM1301" s="155"/>
      <c r="AN1301" s="155"/>
      <c r="AO1301" s="155"/>
      <c r="AP1301" s="155"/>
      <c r="AQ1301" s="155"/>
      <c r="AR1301" s="155"/>
      <c r="AS1301" s="155"/>
      <c r="AT1301" s="155"/>
      <c r="AU1301" s="155"/>
      <c r="AV1301" s="155"/>
      <c r="AW1301" s="155"/>
      <c r="AX1301" s="155"/>
    </row>
    <row r="1302" spans="4:50">
      <c r="D1302" s="155"/>
      <c r="E1302" s="155"/>
      <c r="F1302" s="155"/>
      <c r="G1302" s="155"/>
      <c r="H1302" s="155"/>
      <c r="I1302" s="155"/>
      <c r="J1302" s="155"/>
      <c r="K1302" s="155"/>
      <c r="L1302" s="155"/>
      <c r="M1302" s="155"/>
      <c r="N1302" s="155"/>
      <c r="O1302" s="155"/>
      <c r="P1302" s="155"/>
      <c r="Q1302" s="155"/>
      <c r="R1302" s="155"/>
      <c r="S1302" s="155"/>
      <c r="T1302" s="155"/>
      <c r="U1302" s="155"/>
      <c r="V1302" s="155"/>
      <c r="W1302" s="155"/>
      <c r="X1302" s="155"/>
      <c r="Y1302" s="155"/>
      <c r="Z1302" s="155"/>
      <c r="AA1302" s="155"/>
      <c r="AB1302" s="155"/>
      <c r="AC1302" s="155"/>
      <c r="AD1302" s="155"/>
      <c r="AE1302" s="155"/>
      <c r="AF1302" s="155"/>
      <c r="AG1302" s="155"/>
      <c r="AH1302" s="155"/>
      <c r="AI1302" s="155"/>
      <c r="AJ1302" s="155"/>
      <c r="AK1302" s="155"/>
      <c r="AL1302" s="155"/>
      <c r="AM1302" s="155"/>
      <c r="AN1302" s="155"/>
      <c r="AO1302" s="155"/>
      <c r="AP1302" s="155"/>
      <c r="AQ1302" s="155"/>
      <c r="AR1302" s="155"/>
      <c r="AS1302" s="155"/>
      <c r="AT1302" s="155"/>
      <c r="AU1302" s="155"/>
      <c r="AV1302" s="155"/>
      <c r="AW1302" s="155"/>
      <c r="AX1302" s="155"/>
    </row>
    <row r="1303" spans="4:50">
      <c r="D1303" s="155"/>
      <c r="E1303" s="155"/>
      <c r="F1303" s="155"/>
      <c r="G1303" s="155"/>
      <c r="H1303" s="155"/>
      <c r="I1303" s="155"/>
      <c r="J1303" s="155"/>
      <c r="K1303" s="155"/>
      <c r="L1303" s="155"/>
      <c r="M1303" s="155"/>
      <c r="N1303" s="155"/>
      <c r="O1303" s="155"/>
      <c r="P1303" s="155"/>
      <c r="Q1303" s="155"/>
      <c r="R1303" s="155"/>
      <c r="S1303" s="155"/>
      <c r="T1303" s="155"/>
      <c r="U1303" s="155"/>
      <c r="V1303" s="155"/>
      <c r="W1303" s="155"/>
      <c r="X1303" s="155"/>
      <c r="Y1303" s="155"/>
      <c r="Z1303" s="155"/>
      <c r="AA1303" s="155"/>
      <c r="AB1303" s="155"/>
      <c r="AC1303" s="155"/>
      <c r="AD1303" s="155"/>
      <c r="AE1303" s="155"/>
      <c r="AF1303" s="155"/>
      <c r="AG1303" s="155"/>
      <c r="AH1303" s="155"/>
      <c r="AI1303" s="155"/>
      <c r="AJ1303" s="155"/>
      <c r="AK1303" s="155"/>
      <c r="AL1303" s="155"/>
      <c r="AM1303" s="155"/>
      <c r="AN1303" s="155"/>
      <c r="AO1303" s="155"/>
      <c r="AP1303" s="155"/>
      <c r="AQ1303" s="155"/>
      <c r="AR1303" s="155"/>
      <c r="AS1303" s="155"/>
      <c r="AT1303" s="155"/>
      <c r="AU1303" s="155"/>
      <c r="AV1303" s="155"/>
      <c r="AW1303" s="155"/>
      <c r="AX1303" s="155"/>
    </row>
    <row r="1304" spans="4:50">
      <c r="D1304" s="155"/>
      <c r="E1304" s="155"/>
      <c r="F1304" s="155"/>
      <c r="G1304" s="155"/>
      <c r="H1304" s="155"/>
      <c r="I1304" s="155"/>
      <c r="J1304" s="155"/>
      <c r="K1304" s="155"/>
      <c r="L1304" s="155"/>
      <c r="M1304" s="155"/>
      <c r="N1304" s="155"/>
      <c r="O1304" s="155"/>
      <c r="P1304" s="155"/>
      <c r="Q1304" s="155"/>
      <c r="R1304" s="155"/>
      <c r="S1304" s="155"/>
      <c r="T1304" s="155"/>
      <c r="U1304" s="155"/>
      <c r="V1304" s="155"/>
      <c r="W1304" s="155"/>
      <c r="X1304" s="155"/>
      <c r="Y1304" s="155"/>
      <c r="Z1304" s="155"/>
      <c r="AA1304" s="155"/>
      <c r="AB1304" s="155"/>
      <c r="AC1304" s="155"/>
      <c r="AD1304" s="155"/>
      <c r="AE1304" s="155"/>
      <c r="AF1304" s="155"/>
      <c r="AG1304" s="155"/>
      <c r="AH1304" s="155"/>
      <c r="AI1304" s="155"/>
      <c r="AJ1304" s="155"/>
      <c r="AK1304" s="155"/>
      <c r="AL1304" s="155"/>
      <c r="AM1304" s="155"/>
      <c r="AN1304" s="155"/>
      <c r="AO1304" s="155"/>
      <c r="AP1304" s="155"/>
      <c r="AQ1304" s="155"/>
      <c r="AR1304" s="155"/>
      <c r="AS1304" s="155"/>
      <c r="AT1304" s="155"/>
      <c r="AU1304" s="155"/>
      <c r="AV1304" s="155"/>
      <c r="AW1304" s="155"/>
      <c r="AX1304" s="155"/>
    </row>
    <row r="1305" spans="4:50">
      <c r="D1305" s="155"/>
      <c r="E1305" s="155"/>
      <c r="F1305" s="155"/>
      <c r="G1305" s="155"/>
      <c r="H1305" s="155"/>
      <c r="I1305" s="155"/>
      <c r="J1305" s="155"/>
      <c r="K1305" s="155"/>
      <c r="L1305" s="155"/>
      <c r="M1305" s="155"/>
      <c r="N1305" s="155"/>
      <c r="O1305" s="155"/>
      <c r="P1305" s="155"/>
      <c r="Q1305" s="155"/>
      <c r="R1305" s="155"/>
      <c r="S1305" s="155"/>
      <c r="T1305" s="155"/>
      <c r="U1305" s="155"/>
      <c r="V1305" s="155"/>
      <c r="W1305" s="155"/>
      <c r="X1305" s="155"/>
      <c r="Y1305" s="155"/>
      <c r="Z1305" s="155"/>
      <c r="AA1305" s="155"/>
      <c r="AB1305" s="155"/>
      <c r="AC1305" s="155"/>
      <c r="AD1305" s="155"/>
      <c r="AE1305" s="155"/>
      <c r="AF1305" s="155"/>
      <c r="AG1305" s="155"/>
      <c r="AH1305" s="155"/>
      <c r="AI1305" s="155"/>
      <c r="AJ1305" s="155"/>
      <c r="AK1305" s="155"/>
      <c r="AL1305" s="155"/>
      <c r="AM1305" s="155"/>
      <c r="AN1305" s="155"/>
      <c r="AO1305" s="155"/>
      <c r="AP1305" s="155"/>
      <c r="AQ1305" s="155"/>
      <c r="AR1305" s="155"/>
      <c r="AS1305" s="155"/>
      <c r="AT1305" s="155"/>
      <c r="AU1305" s="155"/>
      <c r="AV1305" s="155"/>
      <c r="AW1305" s="155"/>
      <c r="AX1305" s="155"/>
    </row>
    <row r="1306" spans="4:50">
      <c r="D1306" s="155"/>
      <c r="E1306" s="155"/>
      <c r="F1306" s="155"/>
      <c r="G1306" s="155"/>
      <c r="H1306" s="155"/>
      <c r="I1306" s="155"/>
      <c r="J1306" s="155"/>
      <c r="K1306" s="155"/>
      <c r="L1306" s="155"/>
      <c r="M1306" s="155"/>
      <c r="N1306" s="155"/>
      <c r="O1306" s="155"/>
      <c r="P1306" s="155"/>
      <c r="Q1306" s="155"/>
      <c r="R1306" s="155"/>
      <c r="S1306" s="155"/>
      <c r="T1306" s="155"/>
      <c r="U1306" s="155"/>
      <c r="V1306" s="155"/>
      <c r="W1306" s="155"/>
      <c r="X1306" s="155"/>
      <c r="Y1306" s="155"/>
      <c r="Z1306" s="155"/>
      <c r="AA1306" s="155"/>
      <c r="AB1306" s="155"/>
      <c r="AC1306" s="155"/>
      <c r="AD1306" s="155"/>
      <c r="AE1306" s="155"/>
      <c r="AF1306" s="155"/>
      <c r="AG1306" s="155"/>
      <c r="AH1306" s="155"/>
      <c r="AI1306" s="155"/>
      <c r="AJ1306" s="155"/>
      <c r="AK1306" s="155"/>
      <c r="AL1306" s="155"/>
      <c r="AM1306" s="155"/>
      <c r="AN1306" s="155"/>
      <c r="AO1306" s="155"/>
      <c r="AP1306" s="155"/>
      <c r="AQ1306" s="155"/>
      <c r="AR1306" s="155"/>
      <c r="AS1306" s="155"/>
      <c r="AT1306" s="155"/>
      <c r="AU1306" s="155"/>
      <c r="AV1306" s="155"/>
      <c r="AW1306" s="155"/>
      <c r="AX1306" s="155"/>
    </row>
    <row r="1307" spans="4:50">
      <c r="D1307" s="155"/>
      <c r="E1307" s="155"/>
      <c r="F1307" s="155"/>
      <c r="G1307" s="155"/>
      <c r="H1307" s="155"/>
      <c r="I1307" s="155"/>
      <c r="J1307" s="155"/>
      <c r="K1307" s="155"/>
      <c r="L1307" s="155"/>
      <c r="M1307" s="155"/>
      <c r="N1307" s="155"/>
      <c r="O1307" s="155"/>
      <c r="P1307" s="155"/>
      <c r="Q1307" s="155"/>
      <c r="R1307" s="155"/>
      <c r="S1307" s="155"/>
      <c r="T1307" s="155"/>
      <c r="U1307" s="155"/>
      <c r="V1307" s="155"/>
      <c r="W1307" s="155"/>
      <c r="X1307" s="155"/>
      <c r="Y1307" s="155"/>
      <c r="Z1307" s="155"/>
      <c r="AA1307" s="155"/>
      <c r="AB1307" s="155"/>
      <c r="AC1307" s="155"/>
      <c r="AD1307" s="155"/>
      <c r="AE1307" s="155"/>
      <c r="AF1307" s="155"/>
      <c r="AG1307" s="155"/>
      <c r="AH1307" s="155"/>
      <c r="AI1307" s="155"/>
      <c r="AJ1307" s="155"/>
      <c r="AK1307" s="155"/>
      <c r="AL1307" s="155"/>
      <c r="AM1307" s="155"/>
      <c r="AN1307" s="155"/>
      <c r="AO1307" s="155"/>
      <c r="AP1307" s="155"/>
      <c r="AQ1307" s="155"/>
      <c r="AR1307" s="155"/>
      <c r="AS1307" s="155"/>
      <c r="AT1307" s="155"/>
      <c r="AU1307" s="155"/>
      <c r="AV1307" s="155"/>
      <c r="AW1307" s="155"/>
      <c r="AX1307" s="155"/>
    </row>
    <row r="1308" spans="4:50">
      <c r="D1308" s="155"/>
      <c r="E1308" s="155"/>
      <c r="F1308" s="155"/>
      <c r="G1308" s="155"/>
      <c r="H1308" s="155"/>
      <c r="I1308" s="155"/>
      <c r="J1308" s="155"/>
      <c r="K1308" s="155"/>
      <c r="L1308" s="155"/>
      <c r="M1308" s="155"/>
      <c r="N1308" s="155"/>
      <c r="O1308" s="155"/>
      <c r="P1308" s="155"/>
      <c r="Q1308" s="155"/>
      <c r="R1308" s="155"/>
      <c r="S1308" s="155"/>
      <c r="T1308" s="155"/>
      <c r="U1308" s="155"/>
      <c r="V1308" s="155"/>
      <c r="W1308" s="155"/>
      <c r="X1308" s="155"/>
      <c r="Y1308" s="155"/>
      <c r="Z1308" s="155"/>
      <c r="AA1308" s="155"/>
      <c r="AB1308" s="155"/>
      <c r="AC1308" s="155"/>
      <c r="AD1308" s="155"/>
      <c r="AE1308" s="155"/>
      <c r="AF1308" s="155"/>
      <c r="AG1308" s="155"/>
      <c r="AH1308" s="155"/>
      <c r="AI1308" s="155"/>
      <c r="AJ1308" s="155"/>
      <c r="AK1308" s="155"/>
      <c r="AL1308" s="155"/>
      <c r="AM1308" s="155"/>
      <c r="AN1308" s="155"/>
      <c r="AO1308" s="155"/>
      <c r="AP1308" s="155"/>
      <c r="AQ1308" s="155"/>
      <c r="AR1308" s="155"/>
      <c r="AS1308" s="155"/>
      <c r="AT1308" s="155"/>
      <c r="AU1308" s="155"/>
      <c r="AV1308" s="155"/>
      <c r="AW1308" s="155"/>
      <c r="AX1308" s="155"/>
    </row>
    <row r="1309" spans="4:50">
      <c r="D1309" s="155"/>
      <c r="E1309" s="155"/>
      <c r="F1309" s="155"/>
      <c r="G1309" s="155"/>
      <c r="H1309" s="155"/>
      <c r="I1309" s="155"/>
      <c r="J1309" s="155"/>
      <c r="K1309" s="155"/>
      <c r="L1309" s="155"/>
      <c r="M1309" s="155"/>
      <c r="N1309" s="155"/>
      <c r="O1309" s="155"/>
      <c r="P1309" s="155"/>
      <c r="Q1309" s="155"/>
      <c r="R1309" s="155"/>
      <c r="S1309" s="155"/>
      <c r="T1309" s="155"/>
      <c r="U1309" s="155"/>
      <c r="V1309" s="155"/>
      <c r="W1309" s="155"/>
      <c r="X1309" s="155"/>
      <c r="Y1309" s="155"/>
      <c r="Z1309" s="155"/>
      <c r="AA1309" s="155"/>
      <c r="AB1309" s="155"/>
      <c r="AC1309" s="155"/>
      <c r="AD1309" s="155"/>
      <c r="AE1309" s="155"/>
      <c r="AF1309" s="155"/>
      <c r="AG1309" s="155"/>
      <c r="AH1309" s="155"/>
      <c r="AI1309" s="155"/>
      <c r="AJ1309" s="155"/>
      <c r="AK1309" s="155"/>
      <c r="AL1309" s="155"/>
      <c r="AM1309" s="155"/>
      <c r="AN1309" s="155"/>
      <c r="AO1309" s="155"/>
      <c r="AP1309" s="155"/>
      <c r="AQ1309" s="155"/>
      <c r="AR1309" s="155"/>
      <c r="AS1309" s="155"/>
      <c r="AT1309" s="155"/>
      <c r="AU1309" s="155"/>
      <c r="AV1309" s="155"/>
      <c r="AW1309" s="155"/>
      <c r="AX1309" s="155"/>
    </row>
    <row r="1310" spans="4:50">
      <c r="D1310" s="155"/>
      <c r="E1310" s="155"/>
      <c r="F1310" s="155"/>
      <c r="G1310" s="155"/>
      <c r="H1310" s="155"/>
      <c r="I1310" s="155"/>
      <c r="J1310" s="155"/>
      <c r="K1310" s="155"/>
      <c r="L1310" s="155"/>
      <c r="M1310" s="155"/>
      <c r="N1310" s="155"/>
      <c r="O1310" s="155"/>
      <c r="P1310" s="155"/>
      <c r="Q1310" s="155"/>
      <c r="R1310" s="155"/>
      <c r="S1310" s="155"/>
      <c r="T1310" s="155"/>
      <c r="U1310" s="155"/>
      <c r="V1310" s="155"/>
      <c r="W1310" s="155"/>
      <c r="X1310" s="155"/>
      <c r="Y1310" s="155"/>
      <c r="Z1310" s="155"/>
      <c r="AA1310" s="155"/>
      <c r="AB1310" s="155"/>
      <c r="AC1310" s="155"/>
      <c r="AD1310" s="155"/>
      <c r="AE1310" s="155"/>
      <c r="AF1310" s="155"/>
      <c r="AG1310" s="155"/>
      <c r="AH1310" s="155"/>
      <c r="AI1310" s="155"/>
      <c r="AJ1310" s="155"/>
      <c r="AK1310" s="155"/>
      <c r="AL1310" s="155"/>
      <c r="AM1310" s="155"/>
      <c r="AN1310" s="155"/>
      <c r="AO1310" s="155"/>
      <c r="AP1310" s="155"/>
      <c r="AQ1310" s="155"/>
      <c r="AR1310" s="155"/>
      <c r="AS1310" s="155"/>
      <c r="AT1310" s="155"/>
      <c r="AU1310" s="155"/>
      <c r="AV1310" s="155"/>
      <c r="AW1310" s="155"/>
      <c r="AX1310" s="155"/>
    </row>
    <row r="1311" spans="4:50">
      <c r="D1311" s="155"/>
      <c r="E1311" s="155"/>
      <c r="F1311" s="155"/>
      <c r="G1311" s="155"/>
      <c r="H1311" s="155"/>
      <c r="I1311" s="155"/>
      <c r="J1311" s="155"/>
      <c r="K1311" s="155"/>
      <c r="L1311" s="155"/>
      <c r="M1311" s="155"/>
      <c r="N1311" s="155"/>
      <c r="O1311" s="155"/>
      <c r="P1311" s="155"/>
      <c r="Q1311" s="155"/>
      <c r="R1311" s="155"/>
      <c r="S1311" s="155"/>
      <c r="T1311" s="155"/>
      <c r="U1311" s="155"/>
      <c r="V1311" s="155"/>
      <c r="W1311" s="155"/>
      <c r="X1311" s="155"/>
      <c r="Y1311" s="155"/>
      <c r="Z1311" s="155"/>
      <c r="AA1311" s="155"/>
      <c r="AB1311" s="155"/>
      <c r="AC1311" s="155"/>
      <c r="AD1311" s="155"/>
      <c r="AE1311" s="155"/>
      <c r="AF1311" s="155"/>
      <c r="AG1311" s="155"/>
      <c r="AH1311" s="155"/>
      <c r="AI1311" s="155"/>
      <c r="AJ1311" s="155"/>
      <c r="AK1311" s="155"/>
      <c r="AL1311" s="155"/>
      <c r="AM1311" s="155"/>
      <c r="AN1311" s="155"/>
      <c r="AO1311" s="155"/>
      <c r="AP1311" s="155"/>
      <c r="AQ1311" s="155"/>
      <c r="AR1311" s="155"/>
      <c r="AS1311" s="155"/>
      <c r="AT1311" s="155"/>
      <c r="AU1311" s="155"/>
      <c r="AV1311" s="155"/>
      <c r="AW1311" s="155"/>
      <c r="AX1311" s="155"/>
    </row>
    <row r="1312" spans="4:50">
      <c r="D1312" s="155"/>
      <c r="E1312" s="155"/>
      <c r="F1312" s="155"/>
      <c r="G1312" s="155"/>
      <c r="H1312" s="155"/>
      <c r="I1312" s="155"/>
      <c r="J1312" s="155"/>
      <c r="K1312" s="155"/>
      <c r="L1312" s="155"/>
      <c r="M1312" s="155"/>
      <c r="N1312" s="155"/>
      <c r="O1312" s="155"/>
      <c r="P1312" s="155"/>
      <c r="Q1312" s="155"/>
      <c r="R1312" s="155"/>
      <c r="S1312" s="155"/>
      <c r="T1312" s="155"/>
      <c r="U1312" s="155"/>
      <c r="V1312" s="155"/>
      <c r="W1312" s="155"/>
      <c r="X1312" s="155"/>
      <c r="Y1312" s="155"/>
      <c r="Z1312" s="155"/>
      <c r="AA1312" s="155"/>
      <c r="AB1312" s="155"/>
      <c r="AC1312" s="155"/>
      <c r="AD1312" s="155"/>
      <c r="AE1312" s="155"/>
      <c r="AF1312" s="155"/>
      <c r="AG1312" s="155"/>
      <c r="AH1312" s="155"/>
      <c r="AI1312" s="155"/>
      <c r="AJ1312" s="155"/>
      <c r="AK1312" s="155"/>
      <c r="AL1312" s="155"/>
      <c r="AM1312" s="155"/>
      <c r="AN1312" s="155"/>
      <c r="AO1312" s="155"/>
      <c r="AP1312" s="155"/>
      <c r="AQ1312" s="155"/>
      <c r="AR1312" s="155"/>
      <c r="AS1312" s="155"/>
      <c r="AT1312" s="155"/>
      <c r="AU1312" s="155"/>
      <c r="AV1312" s="155"/>
      <c r="AW1312" s="155"/>
      <c r="AX1312" s="155"/>
    </row>
    <row r="1313" spans="4:50">
      <c r="D1313" s="155"/>
      <c r="E1313" s="155"/>
      <c r="F1313" s="155"/>
      <c r="G1313" s="155"/>
      <c r="H1313" s="155"/>
      <c r="I1313" s="155"/>
      <c r="J1313" s="155"/>
      <c r="K1313" s="155"/>
      <c r="L1313" s="155"/>
      <c r="M1313" s="155"/>
      <c r="N1313" s="155"/>
      <c r="O1313" s="155"/>
      <c r="P1313" s="155"/>
      <c r="Q1313" s="155"/>
      <c r="R1313" s="155"/>
      <c r="S1313" s="155"/>
      <c r="T1313" s="155"/>
      <c r="U1313" s="155"/>
      <c r="V1313" s="155"/>
      <c r="W1313" s="155"/>
      <c r="X1313" s="155"/>
      <c r="Y1313" s="155"/>
      <c r="Z1313" s="155"/>
      <c r="AA1313" s="155"/>
      <c r="AB1313" s="155"/>
      <c r="AC1313" s="155"/>
      <c r="AD1313" s="155"/>
      <c r="AE1313" s="155"/>
      <c r="AF1313" s="155"/>
      <c r="AG1313" s="155"/>
      <c r="AH1313" s="155"/>
      <c r="AI1313" s="155"/>
      <c r="AJ1313" s="155"/>
      <c r="AK1313" s="155"/>
      <c r="AL1313" s="155"/>
      <c r="AM1313" s="155"/>
      <c r="AN1313" s="155"/>
      <c r="AO1313" s="155"/>
      <c r="AP1313" s="155"/>
      <c r="AQ1313" s="155"/>
      <c r="AR1313" s="155"/>
      <c r="AS1313" s="155"/>
      <c r="AT1313" s="155"/>
      <c r="AU1313" s="155"/>
      <c r="AV1313" s="155"/>
      <c r="AW1313" s="155"/>
      <c r="AX1313" s="155"/>
    </row>
    <row r="1314" spans="4:50">
      <c r="D1314" s="155"/>
      <c r="E1314" s="155"/>
      <c r="F1314" s="155"/>
      <c r="G1314" s="155"/>
      <c r="H1314" s="155"/>
      <c r="I1314" s="155"/>
      <c r="J1314" s="155"/>
      <c r="K1314" s="155"/>
      <c r="L1314" s="155"/>
      <c r="M1314" s="155"/>
      <c r="N1314" s="155"/>
      <c r="O1314" s="155"/>
      <c r="P1314" s="155"/>
      <c r="Q1314" s="155"/>
      <c r="R1314" s="155"/>
      <c r="S1314" s="155"/>
      <c r="T1314" s="155"/>
      <c r="U1314" s="155"/>
      <c r="V1314" s="155"/>
      <c r="W1314" s="155"/>
      <c r="X1314" s="155"/>
      <c r="Y1314" s="155"/>
      <c r="Z1314" s="155"/>
      <c r="AA1314" s="155"/>
      <c r="AB1314" s="155"/>
      <c r="AC1314" s="155"/>
      <c r="AD1314" s="155"/>
      <c r="AE1314" s="155"/>
      <c r="AF1314" s="155"/>
      <c r="AG1314" s="155"/>
      <c r="AH1314" s="155"/>
      <c r="AI1314" s="155"/>
      <c r="AJ1314" s="155"/>
      <c r="AK1314" s="155"/>
      <c r="AL1314" s="155"/>
      <c r="AM1314" s="155"/>
      <c r="AN1314" s="155"/>
      <c r="AO1314" s="155"/>
      <c r="AP1314" s="155"/>
      <c r="AQ1314" s="155"/>
      <c r="AR1314" s="155"/>
      <c r="AS1314" s="155"/>
      <c r="AT1314" s="155"/>
      <c r="AU1314" s="155"/>
      <c r="AV1314" s="155"/>
      <c r="AW1314" s="155"/>
      <c r="AX1314" s="155"/>
    </row>
    <row r="1315" spans="4:50">
      <c r="D1315" s="155"/>
      <c r="E1315" s="155"/>
      <c r="F1315" s="155"/>
      <c r="G1315" s="155"/>
      <c r="H1315" s="155"/>
      <c r="I1315" s="155"/>
      <c r="J1315" s="155"/>
      <c r="K1315" s="155"/>
      <c r="L1315" s="155"/>
      <c r="M1315" s="155"/>
      <c r="N1315" s="155"/>
      <c r="O1315" s="155"/>
      <c r="P1315" s="155"/>
      <c r="Q1315" s="155"/>
      <c r="R1315" s="155"/>
      <c r="S1315" s="155"/>
      <c r="T1315" s="155"/>
      <c r="U1315" s="155"/>
      <c r="V1315" s="155"/>
      <c r="W1315" s="155"/>
      <c r="X1315" s="155"/>
      <c r="Y1315" s="155"/>
      <c r="Z1315" s="155"/>
      <c r="AA1315" s="155"/>
      <c r="AB1315" s="155"/>
      <c r="AC1315" s="155"/>
      <c r="AD1315" s="155"/>
      <c r="AE1315" s="155"/>
      <c r="AF1315" s="155"/>
      <c r="AG1315" s="155"/>
      <c r="AH1315" s="155"/>
      <c r="AI1315" s="155"/>
      <c r="AJ1315" s="155"/>
      <c r="AK1315" s="155"/>
      <c r="AL1315" s="155"/>
      <c r="AM1315" s="155"/>
      <c r="AN1315" s="155"/>
      <c r="AO1315" s="155"/>
      <c r="AP1315" s="155"/>
      <c r="AQ1315" s="155"/>
      <c r="AR1315" s="155"/>
      <c r="AS1315" s="155"/>
      <c r="AT1315" s="155"/>
      <c r="AU1315" s="155"/>
      <c r="AV1315" s="155"/>
      <c r="AW1315" s="155"/>
      <c r="AX1315" s="155"/>
    </row>
    <row r="1316" spans="4:50">
      <c r="D1316" s="155"/>
      <c r="E1316" s="155"/>
      <c r="F1316" s="155"/>
      <c r="G1316" s="155"/>
      <c r="H1316" s="155"/>
      <c r="I1316" s="155"/>
      <c r="J1316" s="155"/>
      <c r="K1316" s="155"/>
      <c r="L1316" s="155"/>
      <c r="M1316" s="155"/>
      <c r="N1316" s="155"/>
      <c r="O1316" s="155"/>
      <c r="P1316" s="155"/>
      <c r="Q1316" s="155"/>
      <c r="R1316" s="155"/>
      <c r="S1316" s="155"/>
      <c r="T1316" s="155"/>
      <c r="U1316" s="155"/>
      <c r="V1316" s="155"/>
      <c r="W1316" s="155"/>
      <c r="X1316" s="155"/>
      <c r="Y1316" s="155"/>
      <c r="Z1316" s="155"/>
      <c r="AA1316" s="155"/>
      <c r="AB1316" s="155"/>
      <c r="AC1316" s="155"/>
      <c r="AD1316" s="155"/>
      <c r="AE1316" s="155"/>
      <c r="AF1316" s="155"/>
      <c r="AG1316" s="155"/>
      <c r="AH1316" s="155"/>
      <c r="AI1316" s="155"/>
      <c r="AJ1316" s="155"/>
      <c r="AK1316" s="155"/>
      <c r="AL1316" s="155"/>
      <c r="AM1316" s="155"/>
      <c r="AN1316" s="155"/>
      <c r="AO1316" s="155"/>
      <c r="AP1316" s="155"/>
      <c r="AQ1316" s="155"/>
      <c r="AR1316" s="155"/>
      <c r="AS1316" s="155"/>
      <c r="AT1316" s="155"/>
      <c r="AU1316" s="155"/>
      <c r="AV1316" s="155"/>
      <c r="AW1316" s="155"/>
      <c r="AX1316" s="155"/>
    </row>
    <row r="1317" spans="4:50">
      <c r="D1317" s="155"/>
      <c r="E1317" s="155"/>
      <c r="F1317" s="155"/>
      <c r="G1317" s="155"/>
      <c r="H1317" s="155"/>
      <c r="I1317" s="155"/>
      <c r="J1317" s="155"/>
      <c r="K1317" s="155"/>
      <c r="L1317" s="155"/>
      <c r="M1317" s="155"/>
      <c r="N1317" s="155"/>
      <c r="O1317" s="155"/>
      <c r="P1317" s="155"/>
      <c r="Q1317" s="155"/>
      <c r="R1317" s="155"/>
      <c r="S1317" s="155"/>
      <c r="T1317" s="155"/>
      <c r="U1317" s="155"/>
      <c r="V1317" s="155"/>
      <c r="W1317" s="155"/>
      <c r="X1317" s="155"/>
      <c r="Y1317" s="155"/>
      <c r="Z1317" s="155"/>
      <c r="AA1317" s="155"/>
      <c r="AB1317" s="155"/>
      <c r="AC1317" s="155"/>
      <c r="AD1317" s="155"/>
      <c r="AE1317" s="155"/>
      <c r="AF1317" s="155"/>
      <c r="AG1317" s="155"/>
      <c r="AH1317" s="155"/>
      <c r="AI1317" s="155"/>
      <c r="AJ1317" s="155"/>
      <c r="AK1317" s="155"/>
      <c r="AL1317" s="155"/>
      <c r="AM1317" s="155"/>
      <c r="AN1317" s="155"/>
      <c r="AO1317" s="155"/>
      <c r="AP1317" s="155"/>
      <c r="AQ1317" s="155"/>
      <c r="AR1317" s="155"/>
      <c r="AS1317" s="155"/>
      <c r="AT1317" s="155"/>
      <c r="AU1317" s="155"/>
      <c r="AV1317" s="155"/>
      <c r="AW1317" s="155"/>
      <c r="AX1317" s="155"/>
    </row>
    <row r="1318" spans="4:50">
      <c r="D1318" s="155"/>
      <c r="E1318" s="155"/>
      <c r="F1318" s="155"/>
      <c r="G1318" s="155"/>
      <c r="H1318" s="155"/>
      <c r="I1318" s="155"/>
      <c r="J1318" s="155"/>
      <c r="K1318" s="155"/>
      <c r="L1318" s="155"/>
      <c r="M1318" s="155"/>
      <c r="N1318" s="155"/>
      <c r="O1318" s="155"/>
      <c r="P1318" s="155"/>
      <c r="Q1318" s="155"/>
      <c r="R1318" s="155"/>
      <c r="S1318" s="155"/>
      <c r="T1318" s="155"/>
      <c r="U1318" s="155"/>
      <c r="V1318" s="155"/>
      <c r="W1318" s="155"/>
      <c r="X1318" s="155"/>
      <c r="Y1318" s="155"/>
      <c r="Z1318" s="155"/>
      <c r="AA1318" s="155"/>
      <c r="AB1318" s="155"/>
      <c r="AC1318" s="155"/>
      <c r="AD1318" s="155"/>
      <c r="AE1318" s="155"/>
      <c r="AF1318" s="155"/>
      <c r="AG1318" s="155"/>
      <c r="AH1318" s="155"/>
      <c r="AI1318" s="155"/>
      <c r="AJ1318" s="155"/>
      <c r="AK1318" s="155"/>
      <c r="AL1318" s="155"/>
      <c r="AM1318" s="155"/>
      <c r="AN1318" s="155"/>
      <c r="AO1318" s="155"/>
      <c r="AP1318" s="155"/>
      <c r="AQ1318" s="155"/>
      <c r="AR1318" s="155"/>
      <c r="AS1318" s="155"/>
      <c r="AT1318" s="155"/>
      <c r="AU1318" s="155"/>
      <c r="AV1318" s="155"/>
      <c r="AW1318" s="155"/>
      <c r="AX1318" s="155"/>
    </row>
    <row r="1319" spans="4:50">
      <c r="D1319" s="155"/>
      <c r="E1319" s="155"/>
      <c r="F1319" s="155"/>
      <c r="G1319" s="155"/>
      <c r="H1319" s="155"/>
      <c r="I1319" s="155"/>
      <c r="J1319" s="155"/>
      <c r="K1319" s="155"/>
      <c r="L1319" s="155"/>
      <c r="M1319" s="155"/>
      <c r="N1319" s="155"/>
      <c r="O1319" s="155"/>
      <c r="P1319" s="155"/>
      <c r="Q1319" s="155"/>
      <c r="R1319" s="155"/>
      <c r="S1319" s="155"/>
      <c r="T1319" s="155"/>
      <c r="U1319" s="155"/>
      <c r="V1319" s="155"/>
      <c r="W1319" s="155"/>
      <c r="X1319" s="155"/>
      <c r="Y1319" s="155"/>
      <c r="Z1319" s="155"/>
      <c r="AA1319" s="155"/>
      <c r="AB1319" s="155"/>
      <c r="AC1319" s="155"/>
      <c r="AD1319" s="155"/>
      <c r="AE1319" s="155"/>
      <c r="AF1319" s="155"/>
      <c r="AG1319" s="155"/>
      <c r="AH1319" s="155"/>
      <c r="AI1319" s="155"/>
      <c r="AJ1319" s="155"/>
      <c r="AK1319" s="155"/>
      <c r="AL1319" s="155"/>
      <c r="AM1319" s="155"/>
      <c r="AN1319" s="155"/>
      <c r="AO1319" s="155"/>
      <c r="AP1319" s="155"/>
      <c r="AQ1319" s="155"/>
      <c r="AR1319" s="155"/>
      <c r="AS1319" s="155"/>
      <c r="AT1319" s="155"/>
      <c r="AU1319" s="155"/>
      <c r="AV1319" s="155"/>
      <c r="AW1319" s="155"/>
      <c r="AX1319" s="155"/>
    </row>
    <row r="1320" spans="4:50">
      <c r="D1320" s="155"/>
      <c r="E1320" s="155"/>
      <c r="F1320" s="155"/>
      <c r="G1320" s="155"/>
      <c r="H1320" s="155"/>
      <c r="I1320" s="155"/>
      <c r="J1320" s="155"/>
      <c r="K1320" s="155"/>
      <c r="L1320" s="155"/>
      <c r="M1320" s="155"/>
      <c r="N1320" s="155"/>
      <c r="O1320" s="155"/>
      <c r="P1320" s="155"/>
      <c r="Q1320" s="155"/>
      <c r="R1320" s="155"/>
      <c r="S1320" s="155"/>
      <c r="T1320" s="155"/>
      <c r="U1320" s="155"/>
      <c r="V1320" s="155"/>
      <c r="W1320" s="155"/>
      <c r="X1320" s="155"/>
      <c r="Y1320" s="155"/>
      <c r="Z1320" s="155"/>
      <c r="AA1320" s="155"/>
      <c r="AB1320" s="155"/>
      <c r="AC1320" s="155"/>
      <c r="AD1320" s="155"/>
      <c r="AE1320" s="155"/>
      <c r="AF1320" s="155"/>
      <c r="AG1320" s="155"/>
      <c r="AH1320" s="155"/>
      <c r="AI1320" s="155"/>
      <c r="AJ1320" s="155"/>
      <c r="AK1320" s="155"/>
      <c r="AL1320" s="155"/>
      <c r="AM1320" s="155"/>
      <c r="AN1320" s="155"/>
      <c r="AO1320" s="155"/>
      <c r="AP1320" s="155"/>
      <c r="AQ1320" s="155"/>
      <c r="AR1320" s="155"/>
      <c r="AS1320" s="155"/>
      <c r="AT1320" s="155"/>
      <c r="AU1320" s="155"/>
      <c r="AV1320" s="155"/>
      <c r="AW1320" s="155"/>
      <c r="AX1320" s="155"/>
    </row>
    <row r="1321" spans="4:50">
      <c r="D1321" s="155"/>
      <c r="E1321" s="155"/>
      <c r="F1321" s="155"/>
      <c r="G1321" s="155"/>
      <c r="H1321" s="155"/>
      <c r="I1321" s="155"/>
      <c r="J1321" s="155"/>
      <c r="K1321" s="155"/>
      <c r="L1321" s="155"/>
      <c r="M1321" s="155"/>
      <c r="N1321" s="155"/>
      <c r="O1321" s="155"/>
      <c r="P1321" s="155"/>
      <c r="Q1321" s="155"/>
      <c r="R1321" s="155"/>
      <c r="S1321" s="155"/>
      <c r="T1321" s="155"/>
      <c r="U1321" s="155"/>
      <c r="V1321" s="155"/>
      <c r="W1321" s="155"/>
      <c r="X1321" s="155"/>
      <c r="Y1321" s="155"/>
      <c r="Z1321" s="155"/>
      <c r="AA1321" s="155"/>
      <c r="AB1321" s="155"/>
      <c r="AC1321" s="155"/>
      <c r="AD1321" s="155"/>
      <c r="AE1321" s="155"/>
      <c r="AF1321" s="155"/>
      <c r="AG1321" s="155"/>
      <c r="AH1321" s="155"/>
      <c r="AI1321" s="155"/>
      <c r="AJ1321" s="155"/>
      <c r="AK1321" s="155"/>
      <c r="AL1321" s="155"/>
      <c r="AM1321" s="155"/>
      <c r="AN1321" s="155"/>
      <c r="AO1321" s="155"/>
      <c r="AP1321" s="155"/>
      <c r="AQ1321" s="155"/>
      <c r="AR1321" s="155"/>
      <c r="AS1321" s="155"/>
      <c r="AT1321" s="155"/>
      <c r="AU1321" s="155"/>
      <c r="AV1321" s="155"/>
      <c r="AW1321" s="155"/>
      <c r="AX1321" s="155"/>
    </row>
    <row r="1322" spans="4:50">
      <c r="D1322" s="155"/>
      <c r="E1322" s="155"/>
      <c r="F1322" s="155"/>
      <c r="G1322" s="155"/>
      <c r="H1322" s="155"/>
      <c r="I1322" s="155"/>
      <c r="J1322" s="155"/>
      <c r="K1322" s="155"/>
      <c r="L1322" s="155"/>
      <c r="M1322" s="155"/>
      <c r="N1322" s="155"/>
      <c r="O1322" s="155"/>
      <c r="P1322" s="155"/>
      <c r="Q1322" s="155"/>
      <c r="R1322" s="155"/>
      <c r="S1322" s="155"/>
      <c r="T1322" s="155"/>
      <c r="U1322" s="155"/>
      <c r="V1322" s="155"/>
      <c r="W1322" s="155"/>
      <c r="X1322" s="155"/>
      <c r="Y1322" s="155"/>
      <c r="Z1322" s="155"/>
      <c r="AA1322" s="155"/>
      <c r="AB1322" s="155"/>
      <c r="AC1322" s="155"/>
      <c r="AD1322" s="155"/>
      <c r="AE1322" s="155"/>
      <c r="AF1322" s="155"/>
      <c r="AG1322" s="155"/>
      <c r="AH1322" s="155"/>
      <c r="AI1322" s="155"/>
      <c r="AJ1322" s="155"/>
      <c r="AK1322" s="155"/>
      <c r="AL1322" s="155"/>
      <c r="AM1322" s="155"/>
      <c r="AN1322" s="155"/>
      <c r="AO1322" s="155"/>
      <c r="AP1322" s="155"/>
      <c r="AQ1322" s="155"/>
      <c r="AR1322" s="155"/>
      <c r="AS1322" s="155"/>
      <c r="AT1322" s="155"/>
      <c r="AU1322" s="155"/>
      <c r="AV1322" s="155"/>
      <c r="AW1322" s="155"/>
      <c r="AX1322" s="155"/>
    </row>
    <row r="1323" spans="4:50">
      <c r="D1323" s="155"/>
      <c r="E1323" s="155"/>
      <c r="F1323" s="155"/>
      <c r="G1323" s="155"/>
      <c r="H1323" s="155"/>
      <c r="I1323" s="155"/>
      <c r="J1323" s="155"/>
      <c r="K1323" s="155"/>
      <c r="L1323" s="155"/>
      <c r="M1323" s="155"/>
      <c r="N1323" s="155"/>
      <c r="O1323" s="155"/>
      <c r="P1323" s="155"/>
      <c r="Q1323" s="155"/>
      <c r="R1323" s="155"/>
      <c r="S1323" s="155"/>
      <c r="T1323" s="155"/>
      <c r="U1323" s="155"/>
      <c r="V1323" s="155"/>
      <c r="W1323" s="155"/>
      <c r="X1323" s="155"/>
      <c r="Y1323" s="155"/>
      <c r="Z1323" s="155"/>
      <c r="AA1323" s="155"/>
      <c r="AB1323" s="155"/>
      <c r="AC1323" s="155"/>
      <c r="AD1323" s="155"/>
      <c r="AE1323" s="155"/>
      <c r="AF1323" s="155"/>
      <c r="AG1323" s="155"/>
      <c r="AH1323" s="155"/>
      <c r="AI1323" s="155"/>
      <c r="AJ1323" s="155"/>
      <c r="AK1323" s="155"/>
      <c r="AL1323" s="155"/>
      <c r="AM1323" s="155"/>
      <c r="AN1323" s="155"/>
      <c r="AO1323" s="155"/>
      <c r="AP1323" s="155"/>
      <c r="AQ1323" s="155"/>
      <c r="AR1323" s="155"/>
      <c r="AS1323" s="155"/>
      <c r="AT1323" s="155"/>
      <c r="AU1323" s="155"/>
      <c r="AV1323" s="155"/>
      <c r="AW1323" s="155"/>
      <c r="AX1323" s="155"/>
    </row>
    <row r="1324" spans="4:50">
      <c r="D1324" s="155"/>
      <c r="E1324" s="155"/>
      <c r="F1324" s="155"/>
      <c r="G1324" s="155"/>
      <c r="H1324" s="155"/>
      <c r="I1324" s="155"/>
      <c r="J1324" s="155"/>
      <c r="K1324" s="155"/>
      <c r="L1324" s="155"/>
      <c r="M1324" s="155"/>
      <c r="N1324" s="155"/>
      <c r="O1324" s="155"/>
      <c r="P1324" s="155"/>
      <c r="Q1324" s="155"/>
      <c r="R1324" s="155"/>
      <c r="S1324" s="155"/>
      <c r="T1324" s="155"/>
      <c r="U1324" s="155"/>
      <c r="V1324" s="155"/>
      <c r="W1324" s="155"/>
      <c r="X1324" s="155"/>
      <c r="Y1324" s="155"/>
      <c r="Z1324" s="155"/>
      <c r="AA1324" s="155"/>
      <c r="AB1324" s="155"/>
      <c r="AC1324" s="155"/>
      <c r="AD1324" s="155"/>
      <c r="AE1324" s="155"/>
      <c r="AF1324" s="155"/>
      <c r="AG1324" s="155"/>
      <c r="AH1324" s="155"/>
      <c r="AI1324" s="155"/>
      <c r="AJ1324" s="155"/>
      <c r="AK1324" s="155"/>
      <c r="AL1324" s="155"/>
      <c r="AM1324" s="155"/>
      <c r="AN1324" s="155"/>
      <c r="AO1324" s="155"/>
      <c r="AP1324" s="155"/>
      <c r="AQ1324" s="155"/>
      <c r="AR1324" s="155"/>
      <c r="AS1324" s="155"/>
      <c r="AT1324" s="155"/>
      <c r="AU1324" s="155"/>
      <c r="AV1324" s="155"/>
      <c r="AW1324" s="155"/>
      <c r="AX1324" s="155"/>
    </row>
    <row r="1325" spans="4:50">
      <c r="D1325" s="155"/>
      <c r="E1325" s="155"/>
      <c r="F1325" s="155"/>
      <c r="G1325" s="155"/>
      <c r="H1325" s="155"/>
      <c r="I1325" s="155"/>
      <c r="J1325" s="155"/>
      <c r="K1325" s="155"/>
      <c r="L1325" s="155"/>
      <c r="M1325" s="155"/>
      <c r="N1325" s="155"/>
      <c r="O1325" s="155"/>
      <c r="P1325" s="155"/>
      <c r="Q1325" s="155"/>
      <c r="R1325" s="155"/>
      <c r="S1325" s="155"/>
      <c r="T1325" s="155"/>
      <c r="U1325" s="155"/>
      <c r="V1325" s="155"/>
      <c r="W1325" s="155"/>
      <c r="X1325" s="155"/>
      <c r="Y1325" s="155"/>
      <c r="Z1325" s="155"/>
      <c r="AA1325" s="155"/>
      <c r="AB1325" s="155"/>
      <c r="AC1325" s="155"/>
      <c r="AD1325" s="155"/>
      <c r="AE1325" s="155"/>
      <c r="AF1325" s="155"/>
      <c r="AG1325" s="155"/>
      <c r="AH1325" s="155"/>
      <c r="AI1325" s="155"/>
      <c r="AJ1325" s="155"/>
      <c r="AK1325" s="155"/>
      <c r="AL1325" s="155"/>
      <c r="AM1325" s="155"/>
      <c r="AN1325" s="155"/>
      <c r="AO1325" s="155"/>
      <c r="AP1325" s="155"/>
      <c r="AQ1325" s="155"/>
      <c r="AR1325" s="155"/>
      <c r="AS1325" s="155"/>
      <c r="AT1325" s="155"/>
      <c r="AU1325" s="155"/>
      <c r="AV1325" s="155"/>
      <c r="AW1325" s="155"/>
      <c r="AX1325" s="155"/>
    </row>
    <row r="1326" spans="4:50">
      <c r="D1326" s="155"/>
      <c r="E1326" s="155"/>
      <c r="F1326" s="155"/>
      <c r="G1326" s="155"/>
      <c r="H1326" s="155"/>
      <c r="I1326" s="155"/>
      <c r="J1326" s="155"/>
      <c r="K1326" s="155"/>
      <c r="L1326" s="155"/>
      <c r="M1326" s="155"/>
      <c r="N1326" s="155"/>
      <c r="O1326" s="155"/>
      <c r="P1326" s="155"/>
      <c r="Q1326" s="155"/>
      <c r="R1326" s="155"/>
      <c r="S1326" s="155"/>
      <c r="T1326" s="155"/>
      <c r="U1326" s="155"/>
      <c r="V1326" s="155"/>
      <c r="W1326" s="155"/>
      <c r="X1326" s="155"/>
      <c r="Y1326" s="155"/>
      <c r="Z1326" s="155"/>
      <c r="AA1326" s="155"/>
      <c r="AB1326" s="155"/>
      <c r="AC1326" s="155"/>
      <c r="AD1326" s="155"/>
      <c r="AE1326" s="155"/>
      <c r="AF1326" s="155"/>
      <c r="AG1326" s="155"/>
      <c r="AH1326" s="155"/>
      <c r="AI1326" s="155"/>
      <c r="AJ1326" s="155"/>
      <c r="AK1326" s="155"/>
      <c r="AL1326" s="155"/>
      <c r="AM1326" s="155"/>
      <c r="AN1326" s="155"/>
      <c r="AO1326" s="155"/>
      <c r="AP1326" s="155"/>
      <c r="AQ1326" s="155"/>
      <c r="AR1326" s="155"/>
      <c r="AS1326" s="155"/>
      <c r="AT1326" s="155"/>
      <c r="AU1326" s="155"/>
      <c r="AV1326" s="155"/>
      <c r="AW1326" s="155"/>
      <c r="AX1326" s="155"/>
    </row>
    <row r="1327" spans="4:50">
      <c r="D1327" s="155"/>
      <c r="E1327" s="155"/>
      <c r="F1327" s="155"/>
      <c r="G1327" s="155"/>
      <c r="H1327" s="155"/>
      <c r="I1327" s="155"/>
      <c r="J1327" s="155"/>
      <c r="K1327" s="155"/>
      <c r="L1327" s="155"/>
      <c r="M1327" s="155"/>
      <c r="N1327" s="155"/>
      <c r="O1327" s="155"/>
      <c r="P1327" s="155"/>
      <c r="Q1327" s="155"/>
      <c r="R1327" s="155"/>
      <c r="S1327" s="155"/>
      <c r="T1327" s="155"/>
      <c r="U1327" s="155"/>
      <c r="V1327" s="155"/>
      <c r="W1327" s="155"/>
      <c r="X1327" s="155"/>
      <c r="Y1327" s="155"/>
      <c r="Z1327" s="155"/>
      <c r="AA1327" s="155"/>
      <c r="AB1327" s="155"/>
      <c r="AC1327" s="155"/>
      <c r="AD1327" s="155"/>
      <c r="AE1327" s="155"/>
      <c r="AF1327" s="155"/>
      <c r="AG1327" s="155"/>
      <c r="AH1327" s="155"/>
      <c r="AI1327" s="155"/>
      <c r="AJ1327" s="155"/>
      <c r="AK1327" s="155"/>
      <c r="AL1327" s="155"/>
      <c r="AM1327" s="155"/>
      <c r="AN1327" s="155"/>
      <c r="AO1327" s="155"/>
      <c r="AP1327" s="155"/>
      <c r="AQ1327" s="155"/>
      <c r="AR1327" s="155"/>
      <c r="AS1327" s="155"/>
      <c r="AT1327" s="155"/>
      <c r="AU1327" s="155"/>
      <c r="AV1327" s="155"/>
      <c r="AW1327" s="155"/>
      <c r="AX1327" s="155"/>
    </row>
    <row r="1328" spans="4:50">
      <c r="D1328" s="155"/>
      <c r="E1328" s="155"/>
      <c r="F1328" s="155"/>
      <c r="G1328" s="155"/>
      <c r="H1328" s="155"/>
      <c r="I1328" s="155"/>
      <c r="J1328" s="155"/>
      <c r="K1328" s="155"/>
      <c r="L1328" s="155"/>
      <c r="M1328" s="155"/>
      <c r="N1328" s="155"/>
      <c r="O1328" s="155"/>
      <c r="P1328" s="155"/>
      <c r="Q1328" s="155"/>
      <c r="R1328" s="155"/>
      <c r="S1328" s="155"/>
      <c r="T1328" s="155"/>
      <c r="U1328" s="155"/>
      <c r="V1328" s="155"/>
      <c r="W1328" s="155"/>
      <c r="X1328" s="155"/>
      <c r="Y1328" s="155"/>
      <c r="Z1328" s="155"/>
      <c r="AA1328" s="155"/>
      <c r="AB1328" s="155"/>
      <c r="AC1328" s="155"/>
      <c r="AD1328" s="155"/>
      <c r="AE1328" s="155"/>
      <c r="AF1328" s="155"/>
      <c r="AG1328" s="155"/>
      <c r="AH1328" s="155"/>
      <c r="AI1328" s="155"/>
      <c r="AJ1328" s="155"/>
      <c r="AK1328" s="155"/>
      <c r="AL1328" s="155"/>
      <c r="AM1328" s="155"/>
      <c r="AN1328" s="155"/>
      <c r="AO1328" s="155"/>
      <c r="AP1328" s="155"/>
      <c r="AQ1328" s="155"/>
      <c r="AR1328" s="155"/>
      <c r="AS1328" s="155"/>
      <c r="AT1328" s="155"/>
      <c r="AU1328" s="155"/>
      <c r="AV1328" s="155"/>
      <c r="AW1328" s="155"/>
      <c r="AX1328" s="155"/>
    </row>
    <row r="1329" spans="4:50">
      <c r="D1329" s="155"/>
      <c r="E1329" s="155"/>
      <c r="F1329" s="155"/>
      <c r="G1329" s="155"/>
      <c r="H1329" s="155"/>
      <c r="I1329" s="155"/>
      <c r="J1329" s="155"/>
      <c r="K1329" s="155"/>
      <c r="L1329" s="155"/>
      <c r="M1329" s="155"/>
      <c r="N1329" s="155"/>
      <c r="O1329" s="155"/>
      <c r="P1329" s="155"/>
      <c r="Q1329" s="155"/>
      <c r="R1329" s="155"/>
      <c r="S1329" s="155"/>
      <c r="T1329" s="155"/>
      <c r="U1329" s="155"/>
      <c r="V1329" s="155"/>
      <c r="W1329" s="155"/>
      <c r="X1329" s="155"/>
      <c r="Y1329" s="155"/>
      <c r="Z1329" s="155"/>
      <c r="AA1329" s="155"/>
      <c r="AB1329" s="155"/>
      <c r="AC1329" s="155"/>
      <c r="AD1329" s="155"/>
      <c r="AE1329" s="155"/>
      <c r="AF1329" s="155"/>
      <c r="AG1329" s="155"/>
      <c r="AH1329" s="155"/>
      <c r="AI1329" s="155"/>
      <c r="AJ1329" s="155"/>
      <c r="AK1329" s="155"/>
      <c r="AL1329" s="155"/>
      <c r="AM1329" s="155"/>
      <c r="AN1329" s="155"/>
      <c r="AO1329" s="155"/>
      <c r="AP1329" s="155"/>
      <c r="AQ1329" s="155"/>
      <c r="AR1329" s="155"/>
      <c r="AS1329" s="155"/>
      <c r="AT1329" s="155"/>
      <c r="AU1329" s="155"/>
      <c r="AV1329" s="155"/>
      <c r="AW1329" s="155"/>
      <c r="AX1329" s="155"/>
    </row>
    <row r="1330" spans="4:50">
      <c r="D1330" s="155"/>
      <c r="E1330" s="155"/>
      <c r="F1330" s="155"/>
      <c r="G1330" s="155"/>
      <c r="H1330" s="155"/>
      <c r="I1330" s="155"/>
      <c r="J1330" s="155"/>
      <c r="K1330" s="155"/>
      <c r="L1330" s="155"/>
      <c r="M1330" s="155"/>
      <c r="N1330" s="155"/>
      <c r="O1330" s="155"/>
      <c r="P1330" s="155"/>
      <c r="Q1330" s="155"/>
      <c r="R1330" s="155"/>
      <c r="S1330" s="155"/>
      <c r="T1330" s="155"/>
      <c r="U1330" s="155"/>
      <c r="V1330" s="155"/>
      <c r="W1330" s="155"/>
      <c r="X1330" s="155"/>
      <c r="Y1330" s="155"/>
      <c r="Z1330" s="155"/>
      <c r="AA1330" s="155"/>
      <c r="AB1330" s="155"/>
      <c r="AC1330" s="155"/>
      <c r="AD1330" s="155"/>
      <c r="AE1330" s="155"/>
      <c r="AF1330" s="155"/>
      <c r="AG1330" s="155"/>
      <c r="AH1330" s="155"/>
      <c r="AI1330" s="155"/>
      <c r="AJ1330" s="155"/>
      <c r="AK1330" s="155"/>
      <c r="AL1330" s="155"/>
      <c r="AM1330" s="155"/>
      <c r="AN1330" s="155"/>
      <c r="AO1330" s="155"/>
      <c r="AP1330" s="155"/>
      <c r="AQ1330" s="155"/>
      <c r="AR1330" s="155"/>
      <c r="AS1330" s="155"/>
      <c r="AT1330" s="155"/>
      <c r="AU1330" s="155"/>
      <c r="AV1330" s="155"/>
      <c r="AW1330" s="155"/>
      <c r="AX1330" s="155"/>
    </row>
    <row r="1331" spans="4:50">
      <c r="D1331" s="155"/>
      <c r="E1331" s="155"/>
      <c r="F1331" s="155"/>
      <c r="G1331" s="155"/>
      <c r="H1331" s="155"/>
      <c r="I1331" s="155"/>
      <c r="J1331" s="155"/>
      <c r="K1331" s="155"/>
      <c r="L1331" s="155"/>
      <c r="M1331" s="155"/>
      <c r="N1331" s="155"/>
      <c r="O1331" s="155"/>
      <c r="P1331" s="155"/>
      <c r="Q1331" s="155"/>
      <c r="R1331" s="155"/>
      <c r="S1331" s="155"/>
      <c r="T1331" s="155"/>
      <c r="U1331" s="155"/>
      <c r="V1331" s="155"/>
      <c r="W1331" s="155"/>
      <c r="X1331" s="155"/>
      <c r="Y1331" s="155"/>
      <c r="Z1331" s="155"/>
      <c r="AA1331" s="155"/>
      <c r="AB1331" s="155"/>
      <c r="AC1331" s="155"/>
      <c r="AD1331" s="155"/>
      <c r="AE1331" s="155"/>
      <c r="AF1331" s="155"/>
      <c r="AG1331" s="155"/>
      <c r="AH1331" s="155"/>
      <c r="AI1331" s="155"/>
      <c r="AJ1331" s="155"/>
      <c r="AK1331" s="155"/>
      <c r="AL1331" s="155"/>
      <c r="AM1331" s="155"/>
      <c r="AN1331" s="155"/>
      <c r="AO1331" s="155"/>
      <c r="AP1331" s="155"/>
      <c r="AQ1331" s="155"/>
      <c r="AR1331" s="155"/>
      <c r="AS1331" s="155"/>
      <c r="AT1331" s="155"/>
      <c r="AU1331" s="155"/>
      <c r="AV1331" s="155"/>
      <c r="AW1331" s="155"/>
      <c r="AX1331" s="155"/>
    </row>
    <row r="1332" spans="4:50">
      <c r="D1332" s="155"/>
      <c r="E1332" s="155"/>
      <c r="F1332" s="155"/>
      <c r="G1332" s="155"/>
      <c r="H1332" s="155"/>
      <c r="I1332" s="155"/>
      <c r="J1332" s="155"/>
      <c r="K1332" s="155"/>
      <c r="L1332" s="155"/>
      <c r="M1332" s="155"/>
      <c r="N1332" s="155"/>
      <c r="O1332" s="155"/>
      <c r="P1332" s="155"/>
      <c r="Q1332" s="155"/>
      <c r="R1332" s="155"/>
      <c r="S1332" s="155"/>
      <c r="T1332" s="155"/>
      <c r="U1332" s="155"/>
      <c r="V1332" s="155"/>
      <c r="W1332" s="155"/>
      <c r="X1332" s="155"/>
      <c r="Y1332" s="155"/>
      <c r="Z1332" s="155"/>
      <c r="AA1332" s="155"/>
      <c r="AB1332" s="155"/>
      <c r="AC1332" s="155"/>
      <c r="AD1332" s="155"/>
      <c r="AE1332" s="155"/>
      <c r="AF1332" s="155"/>
      <c r="AG1332" s="155"/>
      <c r="AH1332" s="155"/>
      <c r="AI1332" s="155"/>
      <c r="AJ1332" s="155"/>
      <c r="AK1332" s="155"/>
      <c r="AL1332" s="155"/>
      <c r="AM1332" s="155"/>
      <c r="AN1332" s="155"/>
      <c r="AO1332" s="155"/>
      <c r="AP1332" s="155"/>
      <c r="AQ1332" s="155"/>
      <c r="AR1332" s="155"/>
      <c r="AS1332" s="155"/>
      <c r="AT1332" s="155"/>
      <c r="AU1332" s="155"/>
      <c r="AV1332" s="155"/>
      <c r="AW1332" s="155"/>
      <c r="AX1332" s="155"/>
    </row>
    <row r="1333" spans="4:50">
      <c r="D1333" s="155"/>
      <c r="E1333" s="155"/>
      <c r="F1333" s="155"/>
      <c r="G1333" s="155"/>
      <c r="H1333" s="155"/>
      <c r="I1333" s="155"/>
      <c r="J1333" s="155"/>
      <c r="K1333" s="155"/>
      <c r="L1333" s="155"/>
      <c r="M1333" s="155"/>
      <c r="N1333" s="155"/>
      <c r="O1333" s="155"/>
      <c r="P1333" s="155"/>
      <c r="Q1333" s="155"/>
      <c r="R1333" s="155"/>
      <c r="S1333" s="155"/>
      <c r="T1333" s="155"/>
      <c r="U1333" s="155"/>
      <c r="V1333" s="155"/>
      <c r="W1333" s="155"/>
      <c r="X1333" s="155"/>
      <c r="Y1333" s="155"/>
      <c r="Z1333" s="155"/>
      <c r="AA1333" s="155"/>
      <c r="AB1333" s="155"/>
      <c r="AC1333" s="155"/>
      <c r="AD1333" s="155"/>
      <c r="AE1333" s="155"/>
      <c r="AF1333" s="155"/>
      <c r="AG1333" s="155"/>
      <c r="AH1333" s="155"/>
      <c r="AI1333" s="155"/>
      <c r="AJ1333" s="155"/>
      <c r="AK1333" s="155"/>
      <c r="AL1333" s="155"/>
      <c r="AM1333" s="155"/>
      <c r="AN1333" s="155"/>
      <c r="AO1333" s="155"/>
      <c r="AP1333" s="155"/>
      <c r="AQ1333" s="155"/>
      <c r="AR1333" s="155"/>
      <c r="AS1333" s="155"/>
      <c r="AT1333" s="155"/>
      <c r="AU1333" s="155"/>
      <c r="AV1333" s="155"/>
      <c r="AW1333" s="155"/>
      <c r="AX1333" s="155"/>
    </row>
    <row r="1334" spans="4:50">
      <c r="D1334" s="155"/>
      <c r="E1334" s="155"/>
      <c r="F1334" s="155"/>
      <c r="G1334" s="155"/>
      <c r="H1334" s="155"/>
      <c r="I1334" s="155"/>
      <c r="J1334" s="155"/>
      <c r="K1334" s="155"/>
      <c r="L1334" s="155"/>
      <c r="M1334" s="155"/>
      <c r="N1334" s="155"/>
      <c r="O1334" s="155"/>
      <c r="P1334" s="155"/>
      <c r="Q1334" s="155"/>
      <c r="R1334" s="155"/>
      <c r="S1334" s="155"/>
      <c r="T1334" s="155"/>
      <c r="U1334" s="155"/>
      <c r="V1334" s="155"/>
      <c r="W1334" s="155"/>
      <c r="X1334" s="155"/>
      <c r="Y1334" s="155"/>
      <c r="Z1334" s="155"/>
      <c r="AA1334" s="155"/>
      <c r="AB1334" s="155"/>
      <c r="AC1334" s="155"/>
      <c r="AD1334" s="155"/>
      <c r="AE1334" s="155"/>
      <c r="AF1334" s="155"/>
      <c r="AG1334" s="155"/>
      <c r="AH1334" s="155"/>
      <c r="AI1334" s="155"/>
      <c r="AJ1334" s="155"/>
      <c r="AK1334" s="155"/>
      <c r="AL1334" s="155"/>
      <c r="AM1334" s="155"/>
      <c r="AN1334" s="155"/>
      <c r="AO1334" s="155"/>
      <c r="AP1334" s="155"/>
      <c r="AQ1334" s="155"/>
      <c r="AR1334" s="155"/>
      <c r="AS1334" s="155"/>
      <c r="AT1334" s="155"/>
      <c r="AU1334" s="155"/>
      <c r="AV1334" s="155"/>
      <c r="AW1334" s="155"/>
      <c r="AX1334" s="155"/>
    </row>
    <row r="1335" spans="4:50">
      <c r="D1335" s="155"/>
      <c r="E1335" s="155"/>
      <c r="F1335" s="155"/>
      <c r="G1335" s="155"/>
      <c r="H1335" s="155"/>
      <c r="I1335" s="155"/>
      <c r="J1335" s="155"/>
      <c r="K1335" s="155"/>
      <c r="L1335" s="155"/>
      <c r="M1335" s="155"/>
      <c r="N1335" s="155"/>
      <c r="O1335" s="155"/>
      <c r="P1335" s="155"/>
      <c r="Q1335" s="155"/>
      <c r="R1335" s="155"/>
      <c r="S1335" s="155"/>
      <c r="T1335" s="155"/>
      <c r="U1335" s="155"/>
      <c r="V1335" s="155"/>
      <c r="W1335" s="155"/>
      <c r="X1335" s="155"/>
      <c r="Y1335" s="155"/>
      <c r="Z1335" s="155"/>
      <c r="AA1335" s="155"/>
      <c r="AB1335" s="155"/>
      <c r="AC1335" s="155"/>
      <c r="AD1335" s="155"/>
      <c r="AE1335" s="155"/>
      <c r="AF1335" s="155"/>
      <c r="AG1335" s="155"/>
      <c r="AH1335" s="155"/>
      <c r="AI1335" s="155"/>
      <c r="AJ1335" s="155"/>
      <c r="AK1335" s="155"/>
      <c r="AL1335" s="155"/>
      <c r="AM1335" s="155"/>
      <c r="AN1335" s="155"/>
      <c r="AO1335" s="155"/>
      <c r="AP1335" s="155"/>
      <c r="AQ1335" s="155"/>
      <c r="AR1335" s="155"/>
      <c r="AS1335" s="155"/>
      <c r="AT1335" s="155"/>
      <c r="AU1335" s="155"/>
      <c r="AV1335" s="155"/>
      <c r="AW1335" s="155"/>
      <c r="AX1335" s="155"/>
    </row>
    <row r="1336" spans="4:50">
      <c r="D1336" s="155"/>
      <c r="E1336" s="155"/>
      <c r="F1336" s="155"/>
      <c r="G1336" s="155"/>
      <c r="H1336" s="155"/>
      <c r="I1336" s="155"/>
      <c r="J1336" s="155"/>
      <c r="K1336" s="155"/>
      <c r="L1336" s="155"/>
      <c r="M1336" s="155"/>
      <c r="N1336" s="155"/>
      <c r="O1336" s="155"/>
      <c r="P1336" s="155"/>
      <c r="Q1336" s="155"/>
      <c r="R1336" s="155"/>
      <c r="S1336" s="155"/>
      <c r="T1336" s="155"/>
      <c r="U1336" s="155"/>
      <c r="V1336" s="155"/>
      <c r="W1336" s="155"/>
      <c r="X1336" s="155"/>
      <c r="Y1336" s="155"/>
      <c r="Z1336" s="155"/>
      <c r="AA1336" s="155"/>
      <c r="AB1336" s="155"/>
      <c r="AC1336" s="155"/>
      <c r="AD1336" s="155"/>
      <c r="AE1336" s="155"/>
      <c r="AF1336" s="155"/>
      <c r="AG1336" s="155"/>
      <c r="AH1336" s="155"/>
      <c r="AI1336" s="155"/>
      <c r="AJ1336" s="155"/>
      <c r="AK1336" s="155"/>
      <c r="AL1336" s="155"/>
      <c r="AM1336" s="155"/>
      <c r="AN1336" s="155"/>
      <c r="AO1336" s="155"/>
      <c r="AP1336" s="155"/>
      <c r="AQ1336" s="155"/>
      <c r="AR1336" s="155"/>
      <c r="AS1336" s="155"/>
      <c r="AT1336" s="155"/>
      <c r="AU1336" s="155"/>
      <c r="AV1336" s="155"/>
      <c r="AW1336" s="155"/>
      <c r="AX1336" s="155"/>
    </row>
    <row r="1337" spans="4:50">
      <c r="D1337" s="155"/>
      <c r="E1337" s="155"/>
      <c r="F1337" s="155"/>
      <c r="G1337" s="155"/>
      <c r="H1337" s="155"/>
      <c r="I1337" s="155"/>
      <c r="J1337" s="155"/>
      <c r="K1337" s="155"/>
      <c r="L1337" s="155"/>
      <c r="M1337" s="155"/>
      <c r="N1337" s="155"/>
      <c r="O1337" s="155"/>
      <c r="P1337" s="155"/>
      <c r="Q1337" s="155"/>
      <c r="R1337" s="155"/>
      <c r="S1337" s="155"/>
      <c r="T1337" s="155"/>
      <c r="U1337" s="155"/>
      <c r="V1337" s="155"/>
      <c r="W1337" s="155"/>
      <c r="X1337" s="155"/>
      <c r="Y1337" s="155"/>
      <c r="Z1337" s="155"/>
      <c r="AA1337" s="155"/>
      <c r="AB1337" s="155"/>
      <c r="AC1337" s="155"/>
      <c r="AD1337" s="155"/>
      <c r="AE1337" s="155"/>
      <c r="AF1337" s="155"/>
      <c r="AG1337" s="155"/>
      <c r="AH1337" s="155"/>
      <c r="AI1337" s="155"/>
      <c r="AJ1337" s="155"/>
      <c r="AK1337" s="155"/>
      <c r="AL1337" s="155"/>
      <c r="AM1337" s="155"/>
      <c r="AN1337" s="155"/>
      <c r="AO1337" s="155"/>
      <c r="AP1337" s="155"/>
      <c r="AQ1337" s="155"/>
      <c r="AR1337" s="155"/>
      <c r="AS1337" s="155"/>
      <c r="AT1337" s="155"/>
      <c r="AU1337" s="155"/>
      <c r="AV1337" s="155"/>
      <c r="AW1337" s="155"/>
      <c r="AX1337" s="155"/>
    </row>
    <row r="1338" spans="4:50">
      <c r="D1338" s="155"/>
      <c r="E1338" s="155"/>
      <c r="F1338" s="155"/>
      <c r="G1338" s="155"/>
      <c r="H1338" s="155"/>
      <c r="I1338" s="155"/>
      <c r="J1338" s="155"/>
      <c r="K1338" s="155"/>
      <c r="L1338" s="155"/>
      <c r="M1338" s="155"/>
      <c r="N1338" s="155"/>
      <c r="O1338" s="155"/>
      <c r="P1338" s="155"/>
      <c r="Q1338" s="155"/>
      <c r="R1338" s="155"/>
      <c r="S1338" s="155"/>
      <c r="T1338" s="155"/>
      <c r="U1338" s="155"/>
      <c r="V1338" s="155"/>
      <c r="W1338" s="155"/>
      <c r="X1338" s="155"/>
      <c r="Y1338" s="155"/>
      <c r="Z1338" s="155"/>
      <c r="AA1338" s="155"/>
      <c r="AB1338" s="155"/>
      <c r="AC1338" s="155"/>
      <c r="AD1338" s="155"/>
      <c r="AE1338" s="155"/>
      <c r="AF1338" s="155"/>
      <c r="AG1338" s="155"/>
      <c r="AH1338" s="155"/>
      <c r="AI1338" s="155"/>
      <c r="AJ1338" s="155"/>
      <c r="AK1338" s="155"/>
      <c r="AL1338" s="155"/>
      <c r="AM1338" s="155"/>
      <c r="AN1338" s="155"/>
      <c r="AO1338" s="155"/>
      <c r="AP1338" s="155"/>
      <c r="AQ1338" s="155"/>
      <c r="AR1338" s="155"/>
      <c r="AS1338" s="155"/>
      <c r="AT1338" s="155"/>
      <c r="AU1338" s="155"/>
      <c r="AV1338" s="155"/>
      <c r="AW1338" s="155"/>
      <c r="AX1338" s="155"/>
    </row>
    <row r="1339" spans="4:50">
      <c r="D1339" s="155"/>
      <c r="E1339" s="155"/>
      <c r="F1339" s="155"/>
      <c r="G1339" s="155"/>
      <c r="H1339" s="155"/>
      <c r="I1339" s="155"/>
      <c r="J1339" s="155"/>
      <c r="K1339" s="155"/>
      <c r="L1339" s="155"/>
      <c r="M1339" s="155"/>
      <c r="N1339" s="155"/>
      <c r="O1339" s="155"/>
      <c r="P1339" s="155"/>
      <c r="Q1339" s="155"/>
      <c r="R1339" s="155"/>
      <c r="S1339" s="155"/>
      <c r="T1339" s="155"/>
      <c r="U1339" s="155"/>
      <c r="V1339" s="155"/>
      <c r="W1339" s="155"/>
      <c r="X1339" s="155"/>
      <c r="Y1339" s="155"/>
      <c r="Z1339" s="155"/>
      <c r="AA1339" s="155"/>
      <c r="AB1339" s="155"/>
      <c r="AC1339" s="155"/>
      <c r="AD1339" s="155"/>
      <c r="AE1339" s="155"/>
      <c r="AF1339" s="155"/>
      <c r="AG1339" s="155"/>
      <c r="AH1339" s="155"/>
      <c r="AI1339" s="155"/>
      <c r="AJ1339" s="155"/>
      <c r="AK1339" s="155"/>
      <c r="AL1339" s="155"/>
      <c r="AM1339" s="155"/>
      <c r="AN1339" s="155"/>
      <c r="AO1339" s="155"/>
      <c r="AP1339" s="155"/>
      <c r="AQ1339" s="155"/>
      <c r="AR1339" s="155"/>
      <c r="AS1339" s="155"/>
      <c r="AT1339" s="155"/>
      <c r="AU1339" s="155"/>
      <c r="AV1339" s="155"/>
      <c r="AW1339" s="155"/>
      <c r="AX1339" s="155"/>
    </row>
    <row r="1340" spans="4:50">
      <c r="D1340" s="155"/>
      <c r="E1340" s="155"/>
      <c r="F1340" s="155"/>
      <c r="G1340" s="155"/>
      <c r="H1340" s="155"/>
      <c r="I1340" s="155"/>
      <c r="J1340" s="155"/>
      <c r="K1340" s="155"/>
      <c r="L1340" s="155"/>
      <c r="M1340" s="155"/>
      <c r="N1340" s="155"/>
      <c r="O1340" s="155"/>
      <c r="P1340" s="155"/>
      <c r="Q1340" s="155"/>
      <c r="R1340" s="155"/>
      <c r="S1340" s="155"/>
      <c r="T1340" s="155"/>
      <c r="U1340" s="155"/>
      <c r="V1340" s="155"/>
      <c r="W1340" s="155"/>
      <c r="X1340" s="155"/>
      <c r="Y1340" s="155"/>
      <c r="Z1340" s="155"/>
      <c r="AA1340" s="155"/>
      <c r="AB1340" s="155"/>
      <c r="AC1340" s="155"/>
      <c r="AD1340" s="155"/>
      <c r="AE1340" s="155"/>
      <c r="AF1340" s="155"/>
      <c r="AG1340" s="155"/>
      <c r="AH1340" s="155"/>
      <c r="AI1340" s="155"/>
      <c r="AJ1340" s="155"/>
      <c r="AK1340" s="155"/>
      <c r="AL1340" s="155"/>
      <c r="AM1340" s="155"/>
      <c r="AN1340" s="155"/>
      <c r="AO1340" s="155"/>
      <c r="AP1340" s="155"/>
      <c r="AQ1340" s="155"/>
      <c r="AR1340" s="155"/>
      <c r="AS1340" s="155"/>
      <c r="AT1340" s="155"/>
      <c r="AU1340" s="155"/>
      <c r="AV1340" s="155"/>
      <c r="AW1340" s="155"/>
      <c r="AX1340" s="155"/>
    </row>
    <row r="1341" spans="4:50">
      <c r="D1341" s="155"/>
      <c r="E1341" s="155"/>
      <c r="F1341" s="155"/>
      <c r="G1341" s="155"/>
      <c r="H1341" s="155"/>
      <c r="I1341" s="155"/>
      <c r="J1341" s="155"/>
      <c r="K1341" s="155"/>
      <c r="L1341" s="155"/>
      <c r="M1341" s="155"/>
      <c r="N1341" s="155"/>
      <c r="O1341" s="155"/>
      <c r="P1341" s="155"/>
      <c r="Q1341" s="155"/>
      <c r="R1341" s="155"/>
      <c r="S1341" s="155"/>
      <c r="T1341" s="155"/>
      <c r="U1341" s="155"/>
      <c r="V1341" s="155"/>
      <c r="W1341" s="155"/>
      <c r="X1341" s="155"/>
      <c r="Y1341" s="155"/>
      <c r="Z1341" s="155"/>
      <c r="AA1341" s="155"/>
      <c r="AB1341" s="155"/>
      <c r="AC1341" s="155"/>
      <c r="AD1341" s="155"/>
      <c r="AE1341" s="155"/>
      <c r="AF1341" s="155"/>
      <c r="AG1341" s="155"/>
      <c r="AH1341" s="155"/>
      <c r="AI1341" s="155"/>
      <c r="AJ1341" s="155"/>
      <c r="AK1341" s="155"/>
      <c r="AL1341" s="155"/>
      <c r="AM1341" s="155"/>
      <c r="AN1341" s="155"/>
      <c r="AO1341" s="155"/>
      <c r="AP1341" s="155"/>
      <c r="AQ1341" s="155"/>
      <c r="AR1341" s="155"/>
      <c r="AS1341" s="155"/>
      <c r="AT1341" s="155"/>
      <c r="AU1341" s="155"/>
      <c r="AV1341" s="155"/>
      <c r="AW1341" s="155"/>
      <c r="AX1341" s="155"/>
    </row>
    <row r="1342" spans="4:50">
      <c r="D1342" s="155"/>
      <c r="E1342" s="155"/>
      <c r="F1342" s="155"/>
      <c r="G1342" s="155"/>
      <c r="H1342" s="155"/>
      <c r="I1342" s="155"/>
      <c r="J1342" s="155"/>
      <c r="K1342" s="155"/>
      <c r="L1342" s="155"/>
      <c r="M1342" s="155"/>
      <c r="N1342" s="155"/>
      <c r="O1342" s="155"/>
      <c r="P1342" s="155"/>
      <c r="Q1342" s="155"/>
      <c r="R1342" s="155"/>
      <c r="S1342" s="155"/>
      <c r="T1342" s="155"/>
      <c r="U1342" s="155"/>
      <c r="V1342" s="155"/>
      <c r="W1342" s="155"/>
      <c r="X1342" s="155"/>
      <c r="Y1342" s="155"/>
      <c r="Z1342" s="155"/>
      <c r="AA1342" s="155"/>
      <c r="AB1342" s="155"/>
      <c r="AC1342" s="155"/>
      <c r="AD1342" s="155"/>
      <c r="AE1342" s="155"/>
      <c r="AF1342" s="155"/>
      <c r="AG1342" s="155"/>
      <c r="AH1342" s="155"/>
      <c r="AI1342" s="155"/>
      <c r="AJ1342" s="155"/>
      <c r="AK1342" s="155"/>
      <c r="AL1342" s="155"/>
      <c r="AM1342" s="155"/>
      <c r="AN1342" s="155"/>
      <c r="AO1342" s="155"/>
      <c r="AP1342" s="155"/>
      <c r="AQ1342" s="155"/>
      <c r="AR1342" s="155"/>
      <c r="AS1342" s="155"/>
      <c r="AT1342" s="155"/>
      <c r="AU1342" s="155"/>
      <c r="AV1342" s="155"/>
      <c r="AW1342" s="155"/>
      <c r="AX1342" s="155"/>
    </row>
    <row r="1343" spans="4:50">
      <c r="D1343" s="155"/>
      <c r="E1343" s="155"/>
      <c r="F1343" s="155"/>
      <c r="G1343" s="155"/>
      <c r="H1343" s="155"/>
      <c r="I1343" s="155"/>
      <c r="J1343" s="155"/>
      <c r="K1343" s="155"/>
      <c r="L1343" s="155"/>
      <c r="M1343" s="155"/>
      <c r="N1343" s="155"/>
      <c r="O1343" s="155"/>
      <c r="P1343" s="155"/>
      <c r="Q1343" s="155"/>
      <c r="R1343" s="155"/>
      <c r="S1343" s="155"/>
      <c r="T1343" s="155"/>
      <c r="U1343" s="155"/>
      <c r="V1343" s="155"/>
      <c r="W1343" s="155"/>
      <c r="X1343" s="155"/>
      <c r="Y1343" s="155"/>
      <c r="Z1343" s="155"/>
      <c r="AA1343" s="155"/>
      <c r="AB1343" s="155"/>
      <c r="AC1343" s="155"/>
      <c r="AD1343" s="155"/>
      <c r="AE1343" s="155"/>
      <c r="AF1343" s="155"/>
      <c r="AG1343" s="155"/>
      <c r="AH1343" s="155"/>
      <c r="AI1343" s="155"/>
      <c r="AJ1343" s="155"/>
      <c r="AK1343" s="155"/>
      <c r="AL1343" s="155"/>
      <c r="AM1343" s="155"/>
      <c r="AN1343" s="155"/>
      <c r="AO1343" s="155"/>
      <c r="AP1343" s="155"/>
      <c r="AQ1343" s="155"/>
      <c r="AR1343" s="155"/>
      <c r="AS1343" s="155"/>
      <c r="AT1343" s="155"/>
      <c r="AU1343" s="155"/>
      <c r="AV1343" s="155"/>
      <c r="AW1343" s="155"/>
      <c r="AX1343" s="155"/>
    </row>
    <row r="1344" spans="4:50">
      <c r="D1344" s="155"/>
      <c r="E1344" s="155"/>
      <c r="F1344" s="155"/>
      <c r="G1344" s="155"/>
      <c r="H1344" s="155"/>
      <c r="I1344" s="155"/>
      <c r="J1344" s="155"/>
      <c r="K1344" s="155"/>
      <c r="L1344" s="155"/>
      <c r="M1344" s="155"/>
      <c r="N1344" s="155"/>
      <c r="O1344" s="155"/>
      <c r="P1344" s="155"/>
      <c r="Q1344" s="155"/>
      <c r="R1344" s="155"/>
      <c r="S1344" s="155"/>
      <c r="T1344" s="155"/>
      <c r="U1344" s="155"/>
      <c r="V1344" s="155"/>
      <c r="W1344" s="155"/>
      <c r="X1344" s="155"/>
      <c r="Y1344" s="155"/>
      <c r="Z1344" s="155"/>
      <c r="AA1344" s="155"/>
      <c r="AB1344" s="155"/>
      <c r="AC1344" s="155"/>
      <c r="AD1344" s="155"/>
      <c r="AE1344" s="155"/>
      <c r="AF1344" s="155"/>
      <c r="AG1344" s="155"/>
      <c r="AH1344" s="155"/>
      <c r="AI1344" s="155"/>
      <c r="AJ1344" s="155"/>
      <c r="AK1344" s="155"/>
      <c r="AL1344" s="155"/>
      <c r="AM1344" s="155"/>
      <c r="AN1344" s="155"/>
      <c r="AO1344" s="155"/>
      <c r="AP1344" s="155"/>
      <c r="AQ1344" s="155"/>
      <c r="AR1344" s="155"/>
      <c r="AS1344" s="155"/>
      <c r="AT1344" s="155"/>
      <c r="AU1344" s="155"/>
      <c r="AV1344" s="155"/>
      <c r="AW1344" s="155"/>
      <c r="AX1344" s="155"/>
    </row>
    <row r="1345" spans="4:50">
      <c r="D1345" s="155"/>
      <c r="E1345" s="155"/>
      <c r="F1345" s="155"/>
      <c r="G1345" s="155"/>
      <c r="H1345" s="155"/>
      <c r="I1345" s="155"/>
      <c r="J1345" s="155"/>
      <c r="K1345" s="155"/>
      <c r="L1345" s="155"/>
      <c r="M1345" s="155"/>
      <c r="N1345" s="155"/>
      <c r="O1345" s="155"/>
      <c r="P1345" s="155"/>
      <c r="Q1345" s="155"/>
      <c r="R1345" s="155"/>
      <c r="S1345" s="155"/>
      <c r="T1345" s="155"/>
      <c r="U1345" s="155"/>
      <c r="V1345" s="155"/>
      <c r="W1345" s="155"/>
      <c r="X1345" s="155"/>
      <c r="Y1345" s="155"/>
      <c r="Z1345" s="155"/>
      <c r="AA1345" s="155"/>
      <c r="AB1345" s="155"/>
      <c r="AC1345" s="155"/>
      <c r="AD1345" s="155"/>
      <c r="AE1345" s="155"/>
      <c r="AF1345" s="155"/>
      <c r="AG1345" s="155"/>
      <c r="AH1345" s="155"/>
      <c r="AI1345" s="155"/>
      <c r="AJ1345" s="155"/>
      <c r="AK1345" s="155"/>
      <c r="AL1345" s="155"/>
      <c r="AM1345" s="155"/>
      <c r="AN1345" s="155"/>
      <c r="AO1345" s="155"/>
      <c r="AP1345" s="155"/>
      <c r="AQ1345" s="155"/>
      <c r="AR1345" s="155"/>
      <c r="AS1345" s="155"/>
      <c r="AT1345" s="155"/>
      <c r="AU1345" s="155"/>
      <c r="AV1345" s="155"/>
      <c r="AW1345" s="155"/>
      <c r="AX1345" s="155"/>
    </row>
    <row r="1346" spans="4:50">
      <c r="D1346" s="155"/>
      <c r="E1346" s="155"/>
      <c r="F1346" s="155"/>
      <c r="G1346" s="155"/>
      <c r="H1346" s="155"/>
      <c r="I1346" s="155"/>
      <c r="J1346" s="155"/>
      <c r="K1346" s="155"/>
      <c r="L1346" s="155"/>
      <c r="M1346" s="155"/>
      <c r="N1346" s="155"/>
      <c r="O1346" s="155"/>
      <c r="P1346" s="155"/>
      <c r="Q1346" s="155"/>
      <c r="R1346" s="155"/>
      <c r="S1346" s="155"/>
      <c r="T1346" s="155"/>
      <c r="U1346" s="155"/>
      <c r="V1346" s="155"/>
      <c r="W1346" s="155"/>
      <c r="X1346" s="155"/>
      <c r="Y1346" s="155"/>
      <c r="Z1346" s="155"/>
      <c r="AA1346" s="155"/>
      <c r="AB1346" s="155"/>
      <c r="AC1346" s="155"/>
      <c r="AD1346" s="155"/>
      <c r="AE1346" s="155"/>
      <c r="AF1346" s="155"/>
      <c r="AG1346" s="155"/>
      <c r="AH1346" s="155"/>
      <c r="AI1346" s="155"/>
      <c r="AJ1346" s="155"/>
      <c r="AK1346" s="155"/>
      <c r="AL1346" s="155"/>
      <c r="AM1346" s="155"/>
      <c r="AN1346" s="155"/>
      <c r="AO1346" s="155"/>
      <c r="AP1346" s="155"/>
      <c r="AQ1346" s="155"/>
      <c r="AR1346" s="155"/>
      <c r="AS1346" s="155"/>
      <c r="AT1346" s="155"/>
      <c r="AU1346" s="155"/>
      <c r="AV1346" s="155"/>
      <c r="AW1346" s="155"/>
      <c r="AX1346" s="155"/>
    </row>
    <row r="1347" spans="4:50">
      <c r="D1347" s="155"/>
      <c r="E1347" s="155"/>
      <c r="F1347" s="155"/>
      <c r="G1347" s="155"/>
      <c r="H1347" s="155"/>
      <c r="I1347" s="155"/>
      <c r="J1347" s="155"/>
      <c r="K1347" s="155"/>
      <c r="L1347" s="155"/>
      <c r="M1347" s="155"/>
      <c r="N1347" s="155"/>
      <c r="O1347" s="155"/>
      <c r="P1347" s="155"/>
      <c r="Q1347" s="155"/>
      <c r="R1347" s="155"/>
      <c r="S1347" s="155"/>
      <c r="T1347" s="155"/>
      <c r="U1347" s="155"/>
      <c r="V1347" s="155"/>
      <c r="W1347" s="155"/>
      <c r="X1347" s="155"/>
      <c r="Y1347" s="155"/>
      <c r="Z1347" s="155"/>
      <c r="AA1347" s="155"/>
      <c r="AB1347" s="155"/>
      <c r="AC1347" s="155"/>
      <c r="AD1347" s="155"/>
      <c r="AE1347" s="155"/>
      <c r="AF1347" s="155"/>
      <c r="AG1347" s="155"/>
      <c r="AH1347" s="155"/>
      <c r="AI1347" s="155"/>
      <c r="AJ1347" s="155"/>
      <c r="AK1347" s="155"/>
      <c r="AL1347" s="155"/>
      <c r="AM1347" s="155"/>
      <c r="AN1347" s="155"/>
      <c r="AO1347" s="155"/>
      <c r="AP1347" s="155"/>
      <c r="AQ1347" s="155"/>
      <c r="AR1347" s="155"/>
      <c r="AS1347" s="155"/>
      <c r="AT1347" s="155"/>
      <c r="AU1347" s="155"/>
      <c r="AV1347" s="155"/>
      <c r="AW1347" s="155"/>
      <c r="AX1347" s="155"/>
    </row>
    <row r="1348" spans="4:50">
      <c r="D1348" s="155"/>
      <c r="E1348" s="155"/>
      <c r="F1348" s="155"/>
      <c r="G1348" s="155"/>
      <c r="H1348" s="155"/>
      <c r="I1348" s="155"/>
      <c r="J1348" s="155"/>
      <c r="K1348" s="155"/>
      <c r="L1348" s="155"/>
      <c r="M1348" s="155"/>
      <c r="N1348" s="155"/>
      <c r="O1348" s="155"/>
      <c r="P1348" s="155"/>
      <c r="Q1348" s="155"/>
      <c r="R1348" s="155"/>
      <c r="S1348" s="155"/>
      <c r="T1348" s="155"/>
      <c r="U1348" s="155"/>
      <c r="V1348" s="155"/>
      <c r="W1348" s="155"/>
      <c r="X1348" s="155"/>
      <c r="Y1348" s="155"/>
      <c r="Z1348" s="155"/>
      <c r="AA1348" s="155"/>
      <c r="AB1348" s="155"/>
      <c r="AC1348" s="155"/>
      <c r="AD1348" s="155"/>
      <c r="AE1348" s="155"/>
      <c r="AF1348" s="155"/>
      <c r="AG1348" s="155"/>
      <c r="AH1348" s="155"/>
      <c r="AI1348" s="155"/>
      <c r="AJ1348" s="155"/>
      <c r="AK1348" s="155"/>
      <c r="AL1348" s="155"/>
      <c r="AM1348" s="155"/>
      <c r="AN1348" s="155"/>
      <c r="AO1348" s="155"/>
      <c r="AP1348" s="155"/>
      <c r="AQ1348" s="155"/>
      <c r="AR1348" s="155"/>
      <c r="AS1348" s="155"/>
      <c r="AT1348" s="155"/>
      <c r="AU1348" s="155"/>
      <c r="AV1348" s="155"/>
      <c r="AW1348" s="155"/>
      <c r="AX1348" s="155"/>
    </row>
    <row r="1349" spans="4:50">
      <c r="D1349" s="155"/>
      <c r="E1349" s="155"/>
      <c r="F1349" s="155"/>
      <c r="G1349" s="155"/>
      <c r="H1349" s="155"/>
      <c r="I1349" s="155"/>
      <c r="J1349" s="155"/>
      <c r="K1349" s="155"/>
      <c r="L1349" s="155"/>
      <c r="M1349" s="155"/>
      <c r="N1349" s="155"/>
      <c r="O1349" s="155"/>
      <c r="P1349" s="155"/>
      <c r="Q1349" s="155"/>
      <c r="R1349" s="155"/>
      <c r="S1349" s="155"/>
      <c r="T1349" s="155"/>
      <c r="U1349" s="155"/>
      <c r="V1349" s="155"/>
      <c r="W1349" s="155"/>
      <c r="X1349" s="155"/>
      <c r="Y1349" s="155"/>
      <c r="Z1349" s="155"/>
      <c r="AA1349" s="155"/>
      <c r="AB1349" s="155"/>
      <c r="AC1349" s="155"/>
      <c r="AD1349" s="155"/>
      <c r="AE1349" s="155"/>
      <c r="AF1349" s="155"/>
      <c r="AG1349" s="155"/>
      <c r="AH1349" s="155"/>
      <c r="AI1349" s="155"/>
      <c r="AJ1349" s="155"/>
      <c r="AK1349" s="155"/>
      <c r="AL1349" s="155"/>
      <c r="AM1349" s="155"/>
      <c r="AN1349" s="155"/>
      <c r="AO1349" s="155"/>
      <c r="AP1349" s="155"/>
      <c r="AQ1349" s="155"/>
      <c r="AR1349" s="155"/>
      <c r="AS1349" s="155"/>
      <c r="AT1349" s="155"/>
      <c r="AU1349" s="155"/>
      <c r="AV1349" s="155"/>
      <c r="AW1349" s="155"/>
      <c r="AX1349" s="155"/>
    </row>
    <row r="1350" spans="4:50">
      <c r="D1350" s="155"/>
      <c r="E1350" s="155"/>
      <c r="F1350" s="155"/>
      <c r="G1350" s="155"/>
      <c r="H1350" s="155"/>
      <c r="I1350" s="155"/>
      <c r="J1350" s="155"/>
      <c r="K1350" s="155"/>
      <c r="L1350" s="155"/>
      <c r="M1350" s="155"/>
      <c r="N1350" s="155"/>
      <c r="O1350" s="155"/>
      <c r="P1350" s="155"/>
      <c r="Q1350" s="155"/>
      <c r="R1350" s="155"/>
      <c r="S1350" s="155"/>
      <c r="T1350" s="155"/>
      <c r="U1350" s="155"/>
      <c r="V1350" s="155"/>
      <c r="W1350" s="155"/>
      <c r="X1350" s="155"/>
      <c r="Y1350" s="155"/>
      <c r="Z1350" s="155"/>
      <c r="AA1350" s="155"/>
      <c r="AB1350" s="155"/>
      <c r="AC1350" s="155"/>
      <c r="AD1350" s="155"/>
      <c r="AE1350" s="155"/>
      <c r="AF1350" s="155"/>
      <c r="AG1350" s="155"/>
      <c r="AH1350" s="155"/>
      <c r="AI1350" s="155"/>
      <c r="AJ1350" s="155"/>
      <c r="AK1350" s="155"/>
      <c r="AL1350" s="155"/>
      <c r="AM1350" s="155"/>
      <c r="AN1350" s="155"/>
      <c r="AO1350" s="155"/>
      <c r="AP1350" s="155"/>
      <c r="AQ1350" s="155"/>
      <c r="AR1350" s="155"/>
      <c r="AS1350" s="155"/>
      <c r="AT1350" s="155"/>
      <c r="AU1350" s="155"/>
      <c r="AV1350" s="155"/>
      <c r="AW1350" s="155"/>
      <c r="AX1350" s="155"/>
    </row>
    <row r="1351" spans="4:50">
      <c r="D1351" s="155"/>
      <c r="E1351" s="155"/>
      <c r="F1351" s="155"/>
      <c r="G1351" s="155"/>
      <c r="H1351" s="155"/>
      <c r="I1351" s="155"/>
      <c r="J1351" s="155"/>
      <c r="K1351" s="155"/>
      <c r="L1351" s="155"/>
      <c r="M1351" s="155"/>
      <c r="N1351" s="155"/>
      <c r="O1351" s="155"/>
      <c r="P1351" s="155"/>
      <c r="Q1351" s="155"/>
      <c r="R1351" s="155"/>
      <c r="S1351" s="155"/>
      <c r="T1351" s="155"/>
      <c r="U1351" s="155"/>
      <c r="V1351" s="155"/>
      <c r="W1351" s="155"/>
      <c r="X1351" s="155"/>
      <c r="Y1351" s="155"/>
      <c r="Z1351" s="155"/>
      <c r="AA1351" s="155"/>
      <c r="AB1351" s="155"/>
      <c r="AC1351" s="155"/>
      <c r="AD1351" s="155"/>
      <c r="AE1351" s="155"/>
      <c r="AF1351" s="155"/>
      <c r="AG1351" s="155"/>
      <c r="AH1351" s="155"/>
      <c r="AI1351" s="155"/>
      <c r="AJ1351" s="155"/>
      <c r="AK1351" s="155"/>
      <c r="AL1351" s="155"/>
      <c r="AM1351" s="155"/>
      <c r="AN1351" s="155"/>
      <c r="AO1351" s="155"/>
      <c r="AP1351" s="155"/>
      <c r="AQ1351" s="155"/>
      <c r="AR1351" s="155"/>
      <c r="AS1351" s="155"/>
      <c r="AT1351" s="155"/>
      <c r="AU1351" s="155"/>
      <c r="AV1351" s="155"/>
      <c r="AW1351" s="155"/>
      <c r="AX1351" s="155"/>
    </row>
    <row r="1352" spans="4:50">
      <c r="D1352" s="155"/>
      <c r="E1352" s="155"/>
      <c r="F1352" s="155"/>
      <c r="G1352" s="155"/>
      <c r="H1352" s="155"/>
      <c r="I1352" s="155"/>
      <c r="J1352" s="155"/>
      <c r="K1352" s="155"/>
      <c r="L1352" s="155"/>
      <c r="M1352" s="155"/>
      <c r="N1352" s="155"/>
      <c r="O1352" s="155"/>
      <c r="P1352" s="155"/>
      <c r="Q1352" s="155"/>
      <c r="R1352" s="155"/>
      <c r="S1352" s="155"/>
      <c r="T1352" s="155"/>
      <c r="U1352" s="155"/>
      <c r="V1352" s="155"/>
      <c r="W1352" s="155"/>
      <c r="X1352" s="155"/>
      <c r="Y1352" s="155"/>
      <c r="Z1352" s="155"/>
      <c r="AA1352" s="155"/>
      <c r="AB1352" s="155"/>
      <c r="AC1352" s="155"/>
      <c r="AD1352" s="155"/>
      <c r="AE1352" s="155"/>
      <c r="AF1352" s="155"/>
      <c r="AG1352" s="155"/>
      <c r="AH1352" s="155"/>
      <c r="AI1352" s="155"/>
      <c r="AJ1352" s="155"/>
      <c r="AK1352" s="155"/>
      <c r="AL1352" s="155"/>
      <c r="AM1352" s="155"/>
      <c r="AN1352" s="155"/>
      <c r="AO1352" s="155"/>
      <c r="AP1352" s="155"/>
      <c r="AQ1352" s="155"/>
      <c r="AR1352" s="155"/>
      <c r="AS1352" s="155"/>
      <c r="AT1352" s="155"/>
      <c r="AU1352" s="155"/>
      <c r="AV1352" s="155"/>
      <c r="AW1352" s="155"/>
      <c r="AX1352" s="155"/>
    </row>
    <row r="1353" spans="4:50">
      <c r="D1353" s="155"/>
      <c r="E1353" s="155"/>
      <c r="F1353" s="155"/>
      <c r="G1353" s="155"/>
      <c r="H1353" s="155"/>
      <c r="I1353" s="155"/>
      <c r="J1353" s="155"/>
      <c r="K1353" s="155"/>
      <c r="L1353" s="155"/>
      <c r="M1353" s="155"/>
      <c r="N1353" s="155"/>
      <c r="O1353" s="155"/>
      <c r="P1353" s="155"/>
      <c r="Q1353" s="155"/>
      <c r="R1353" s="155"/>
      <c r="S1353" s="155"/>
      <c r="T1353" s="155"/>
      <c r="U1353" s="155"/>
      <c r="V1353" s="155"/>
      <c r="W1353" s="155"/>
      <c r="X1353" s="155"/>
      <c r="Y1353" s="155"/>
      <c r="Z1353" s="155"/>
      <c r="AA1353" s="155"/>
      <c r="AB1353" s="155"/>
      <c r="AC1353" s="155"/>
      <c r="AD1353" s="155"/>
      <c r="AE1353" s="155"/>
      <c r="AF1353" s="155"/>
      <c r="AG1353" s="155"/>
      <c r="AH1353" s="155"/>
      <c r="AI1353" s="155"/>
      <c r="AJ1353" s="155"/>
      <c r="AK1353" s="155"/>
      <c r="AL1353" s="155"/>
      <c r="AM1353" s="155"/>
      <c r="AN1353" s="155"/>
      <c r="AO1353" s="155"/>
      <c r="AP1353" s="155"/>
      <c r="AQ1353" s="155"/>
      <c r="AR1353" s="155"/>
      <c r="AS1353" s="155"/>
      <c r="AT1353" s="155"/>
      <c r="AU1353" s="155"/>
      <c r="AV1353" s="155"/>
      <c r="AW1353" s="155"/>
      <c r="AX1353" s="155"/>
    </row>
    <row r="1354" spans="4:50">
      <c r="D1354" s="155"/>
      <c r="E1354" s="155"/>
      <c r="F1354" s="155"/>
      <c r="G1354" s="155"/>
      <c r="H1354" s="155"/>
      <c r="I1354" s="155"/>
      <c r="J1354" s="155"/>
      <c r="K1354" s="155"/>
      <c r="L1354" s="155"/>
      <c r="M1354" s="155"/>
      <c r="N1354" s="155"/>
      <c r="O1354" s="155"/>
      <c r="P1354" s="155"/>
      <c r="Q1354" s="155"/>
      <c r="R1354" s="155"/>
      <c r="S1354" s="155"/>
      <c r="T1354" s="155"/>
      <c r="U1354" s="155"/>
      <c r="V1354" s="155"/>
      <c r="W1354" s="155"/>
      <c r="X1354" s="155"/>
      <c r="Y1354" s="155"/>
      <c r="Z1354" s="155"/>
      <c r="AA1354" s="155"/>
      <c r="AB1354" s="155"/>
      <c r="AC1354" s="155"/>
      <c r="AD1354" s="155"/>
      <c r="AE1354" s="155"/>
      <c r="AF1354" s="155"/>
      <c r="AG1354" s="155"/>
      <c r="AH1354" s="155"/>
      <c r="AI1354" s="155"/>
      <c r="AJ1354" s="155"/>
      <c r="AK1354" s="155"/>
      <c r="AL1354" s="155"/>
      <c r="AM1354" s="155"/>
      <c r="AN1354" s="155"/>
      <c r="AO1354" s="155"/>
      <c r="AP1354" s="155"/>
      <c r="AQ1354" s="155"/>
      <c r="AR1354" s="155"/>
      <c r="AS1354" s="155"/>
      <c r="AT1354" s="155"/>
      <c r="AU1354" s="155"/>
      <c r="AV1354" s="155"/>
      <c r="AW1354" s="155"/>
      <c r="AX1354" s="155"/>
    </row>
    <row r="1355" spans="4:50">
      <c r="D1355" s="155"/>
      <c r="E1355" s="155"/>
      <c r="F1355" s="155"/>
      <c r="G1355" s="155"/>
      <c r="H1355" s="155"/>
      <c r="I1355" s="155"/>
      <c r="J1355" s="155"/>
      <c r="K1355" s="155"/>
      <c r="L1355" s="155"/>
      <c r="M1355" s="155"/>
      <c r="N1355" s="155"/>
      <c r="O1355" s="155"/>
      <c r="P1355" s="155"/>
      <c r="Q1355" s="155"/>
      <c r="R1355" s="155"/>
      <c r="S1355" s="155"/>
      <c r="T1355" s="155"/>
      <c r="U1355" s="155"/>
      <c r="V1355" s="155"/>
      <c r="W1355" s="155"/>
      <c r="X1355" s="155"/>
      <c r="Y1355" s="155"/>
      <c r="Z1355" s="155"/>
      <c r="AA1355" s="155"/>
      <c r="AB1355" s="155"/>
      <c r="AC1355" s="155"/>
      <c r="AD1355" s="155"/>
      <c r="AE1355" s="155"/>
      <c r="AF1355" s="155"/>
      <c r="AG1355" s="155"/>
      <c r="AH1355" s="155"/>
      <c r="AI1355" s="155"/>
      <c r="AJ1355" s="155"/>
      <c r="AK1355" s="155"/>
      <c r="AL1355" s="155"/>
      <c r="AM1355" s="155"/>
      <c r="AN1355" s="155"/>
      <c r="AO1355" s="155"/>
      <c r="AP1355" s="155"/>
      <c r="AQ1355" s="155"/>
      <c r="AR1355" s="155"/>
      <c r="AS1355" s="155"/>
      <c r="AT1355" s="155"/>
      <c r="AU1355" s="155"/>
      <c r="AV1355" s="155"/>
      <c r="AW1355" s="155"/>
      <c r="AX1355" s="155"/>
    </row>
    <row r="1356" spans="4:50">
      <c r="D1356" s="155"/>
      <c r="E1356" s="155"/>
      <c r="F1356" s="155"/>
      <c r="G1356" s="155"/>
      <c r="H1356" s="155"/>
      <c r="I1356" s="155"/>
      <c r="J1356" s="155"/>
      <c r="K1356" s="155"/>
      <c r="L1356" s="155"/>
      <c r="M1356" s="155"/>
      <c r="N1356" s="155"/>
      <c r="O1356" s="155"/>
      <c r="P1356" s="155"/>
      <c r="Q1356" s="155"/>
      <c r="R1356" s="155"/>
      <c r="S1356" s="155"/>
      <c r="T1356" s="155"/>
      <c r="U1356" s="155"/>
      <c r="V1356" s="155"/>
      <c r="W1356" s="155"/>
      <c r="X1356" s="155"/>
      <c r="Y1356" s="155"/>
      <c r="Z1356" s="155"/>
      <c r="AA1356" s="155"/>
      <c r="AB1356" s="155"/>
      <c r="AC1356" s="155"/>
      <c r="AD1356" s="155"/>
      <c r="AE1356" s="155"/>
      <c r="AF1356" s="155"/>
      <c r="AG1356" s="155"/>
      <c r="AH1356" s="155"/>
      <c r="AI1356" s="155"/>
      <c r="AJ1356" s="155"/>
      <c r="AK1356" s="155"/>
      <c r="AL1356" s="155"/>
      <c r="AM1356" s="155"/>
      <c r="AN1356" s="155"/>
      <c r="AO1356" s="155"/>
      <c r="AP1356" s="155"/>
      <c r="AQ1356" s="155"/>
      <c r="AR1356" s="155"/>
      <c r="AS1356" s="155"/>
      <c r="AT1356" s="155"/>
      <c r="AU1356" s="155"/>
      <c r="AV1356" s="155"/>
      <c r="AW1356" s="155"/>
      <c r="AX1356" s="155"/>
    </row>
    <row r="1357" spans="4:50">
      <c r="D1357" s="155"/>
      <c r="E1357" s="155"/>
      <c r="F1357" s="155"/>
      <c r="G1357" s="155"/>
      <c r="H1357" s="155"/>
      <c r="I1357" s="155"/>
      <c r="J1357" s="155"/>
      <c r="K1357" s="155"/>
      <c r="L1357" s="155"/>
      <c r="M1357" s="155"/>
      <c r="N1357" s="155"/>
      <c r="O1357" s="155"/>
      <c r="P1357" s="155"/>
      <c r="Q1357" s="155"/>
      <c r="R1357" s="155"/>
      <c r="S1357" s="155"/>
      <c r="T1357" s="155"/>
      <c r="U1357" s="155"/>
      <c r="V1357" s="155"/>
      <c r="W1357" s="155"/>
      <c r="X1357" s="155"/>
      <c r="Y1357" s="155"/>
      <c r="Z1357" s="155"/>
      <c r="AA1357" s="155"/>
      <c r="AB1357" s="155"/>
      <c r="AC1357" s="155"/>
      <c r="AD1357" s="155"/>
      <c r="AE1357" s="155"/>
      <c r="AF1357" s="155"/>
      <c r="AG1357" s="155"/>
      <c r="AH1357" s="155"/>
      <c r="AI1357" s="155"/>
      <c r="AJ1357" s="155"/>
      <c r="AK1357" s="155"/>
      <c r="AL1357" s="155"/>
      <c r="AM1357" s="155"/>
      <c r="AN1357" s="155"/>
      <c r="AO1357" s="155"/>
      <c r="AP1357" s="155"/>
      <c r="AQ1357" s="155"/>
      <c r="AR1357" s="155"/>
      <c r="AS1357" s="155"/>
      <c r="AT1357" s="155"/>
      <c r="AU1357" s="155"/>
      <c r="AV1357" s="155"/>
      <c r="AW1357" s="155"/>
      <c r="AX1357" s="155"/>
    </row>
    <row r="1358" spans="4:50">
      <c r="D1358" s="155"/>
      <c r="E1358" s="155"/>
      <c r="F1358" s="155"/>
      <c r="G1358" s="155"/>
      <c r="H1358" s="155"/>
      <c r="I1358" s="155"/>
      <c r="J1358" s="155"/>
      <c r="K1358" s="155"/>
      <c r="L1358" s="155"/>
      <c r="M1358" s="155"/>
      <c r="N1358" s="155"/>
      <c r="O1358" s="155"/>
      <c r="P1358" s="155"/>
      <c r="Q1358" s="155"/>
      <c r="R1358" s="155"/>
      <c r="S1358" s="155"/>
      <c r="T1358" s="155"/>
      <c r="U1358" s="155"/>
      <c r="V1358" s="155"/>
      <c r="W1358" s="155"/>
      <c r="X1358" s="155"/>
      <c r="Y1358" s="155"/>
      <c r="Z1358" s="155"/>
      <c r="AA1358" s="155"/>
      <c r="AB1358" s="155"/>
      <c r="AC1358" s="155"/>
      <c r="AD1358" s="155"/>
      <c r="AE1358" s="155"/>
      <c r="AF1358" s="155"/>
      <c r="AG1358" s="155"/>
      <c r="AH1358" s="155"/>
      <c r="AI1358" s="155"/>
      <c r="AJ1358" s="155"/>
      <c r="AK1358" s="155"/>
      <c r="AL1358" s="155"/>
      <c r="AM1358" s="155"/>
      <c r="AN1358" s="155"/>
      <c r="AO1358" s="155"/>
      <c r="AP1358" s="155"/>
      <c r="AQ1358" s="155"/>
      <c r="AR1358" s="155"/>
      <c r="AS1358" s="155"/>
      <c r="AT1358" s="155"/>
      <c r="AU1358" s="155"/>
      <c r="AV1358" s="155"/>
      <c r="AW1358" s="155"/>
      <c r="AX1358" s="155"/>
    </row>
  </sheetData>
  <mergeCells count="1">
    <mergeCell ref="AZ3:BA3"/>
  </mergeCells>
  <phoneticPr fontId="0" type="noConversion"/>
  <conditionalFormatting sqref="M157:M168 U157:U168 Y157:Y168 K157:K168 AC157:AC168 I157:I168 AA157:AA168 AE157:AE168 AK157:AK168 AO157:AO168 AQ157:AQ168 AS157:AS168 AU157:AU168 AU170:AU171 AS170:AS171 AQ170:AQ171 AO170:AO171 AK170:AK171 AE170:AE171 AA170:AA171 I170:I171 AC170:AC171 K170:K171 Y170:Y171 U170:U171 M170:M171 AC84 Y84 AA84 I84 AE84 AK84 AO84 K255:K259 K275:K289 AC81:AC82 AA81:AA82 I81:I82 Y81:Y82 AE81:AE82 AK81:AK82 AO81:AO82 O61:O79 M61:M79 AC61:AC79 AA61:AA79 K61:K79 I61:I79 U61:U79 Y61:Y79 AE61:AE79 AK61:AK79 AO61:AO79 AQ61:AQ79 AS61:AS79 AU61:AU79 AO524:AO531 I524:I531 K524:K531 M524:M531 O524:O531 U524:U531 Y524:Y531 AA524:AA531 AC524:AC531 AE524:AE531 AK524:AK531 AQ524:AQ531 AS524:AS531 AU524:AU531">
    <cfRule type="expression" dxfId="1693" priority="3529">
      <formula>AND(H61=0,(I61&gt;0))</formula>
    </cfRule>
    <cfRule type="expression" dxfId="1692" priority="3530">
      <formula>((I61-H61)/H61)&gt;0.05</formula>
    </cfRule>
  </conditionalFormatting>
  <conditionalFormatting sqref="AQ1 AO1 AE1 I1 AA1 Y1 AC1 K1 O1 M1 AU1 AS1">
    <cfRule type="expression" dxfId="1691" priority="3465" stopIfTrue="1">
      <formula>I1&lt;(H1-(H1*0.1))</formula>
    </cfRule>
    <cfRule type="expression" dxfId="1690" priority="3466" stopIfTrue="1">
      <formula>I1&gt;(H1+(H1*0.1))</formula>
    </cfRule>
  </conditionalFormatting>
  <conditionalFormatting sqref="AQ1 AO1 O1 AE1 M1 K1 I1 U1 AA1 AC1 AK1 Y1 AS1 AU1">
    <cfRule type="cellIs" dxfId="1689" priority="3463" stopIfTrue="1" operator="greaterThan">
      <formula>H1+(H1*0.1)</formula>
    </cfRule>
    <cfRule type="cellIs" dxfId="1688" priority="3464" stopIfTrue="1" operator="lessThan">
      <formula>H1-(H1*0.1)</formula>
    </cfRule>
  </conditionalFormatting>
  <conditionalFormatting sqref="AS1">
    <cfRule type="cellIs" dxfId="1687" priority="3461" stopIfTrue="1" operator="greaterThan">
      <formula>AR1+(AR1*0.1)</formula>
    </cfRule>
    <cfRule type="cellIs" dxfId="1686" priority="3462" stopIfTrue="1" operator="lessThan">
      <formula>AR1-(AR1*0.1)</formula>
    </cfRule>
  </conditionalFormatting>
  <conditionalFormatting sqref="AU1">
    <cfRule type="cellIs" dxfId="1685" priority="3459" stopIfTrue="1" operator="greaterThan">
      <formula>AT1+(AT1*0.1)</formula>
    </cfRule>
    <cfRule type="cellIs" dxfId="1684" priority="3460" stopIfTrue="1" operator="lessThan">
      <formula>AT1-(AT1*0.1)</formula>
    </cfRule>
  </conditionalFormatting>
  <conditionalFormatting sqref="AJ1">
    <cfRule type="expression" dxfId="1683" priority="3467" stopIfTrue="1">
      <formula>AJ1&lt;(AF1-(AF1*0.1))</formula>
    </cfRule>
    <cfRule type="expression" dxfId="1682" priority="3468" stopIfTrue="1">
      <formula>AJ1&gt;(AF1+(AF1*0.1))</formula>
    </cfRule>
  </conditionalFormatting>
  <conditionalFormatting sqref="AK1">
    <cfRule type="expression" dxfId="1681" priority="3469" stopIfTrue="1">
      <formula>AK1&lt;(AH1-(AH1*0.1))</formula>
    </cfRule>
    <cfRule type="expression" dxfId="1680" priority="3470" stopIfTrue="1">
      <formula>AK1&gt;(AH1+(AH1*0.1))</formula>
    </cfRule>
  </conditionalFormatting>
  <conditionalFormatting sqref="AQ1 AO1 M1 Y1 AA1 AC1 AE1 AK1 I1 K1 U1 O1 AS1 AU1">
    <cfRule type="expression" dxfId="1679" priority="3457">
      <formula>I1&gt;(H1+(H1*0.1))</formula>
    </cfRule>
    <cfRule type="expression" dxfId="1678" priority="3458">
      <formula>I1&lt;(H1-(H1*0.1))</formula>
    </cfRule>
  </conditionalFormatting>
  <conditionalFormatting sqref="U1">
    <cfRule type="expression" dxfId="1677" priority="3455">
      <formula>U1&gt;(T1+(T1*0.1))</formula>
    </cfRule>
    <cfRule type="expression" dxfId="1676" priority="3456">
      <formula>U1&lt;(T1-(T1*0.1))</formula>
    </cfRule>
  </conditionalFormatting>
  <conditionalFormatting sqref="O1">
    <cfRule type="expression" dxfId="1675" priority="3453">
      <formula>O1&gt;(N1+(N1*0.1))</formula>
    </cfRule>
    <cfRule type="expression" dxfId="1674" priority="3454">
      <formula>O1&lt;(N1-(N1*0.1))</formula>
    </cfRule>
  </conditionalFormatting>
  <conditionalFormatting sqref="AQ1 AS1 AU1">
    <cfRule type="expression" dxfId="1673" priority="3451">
      <formula>AQ1&gt;(AP1+(AP1*0.1))</formula>
    </cfRule>
    <cfRule type="expression" dxfId="1672" priority="3452">
      <formula>AQ1&lt;(AP1-(AP1*0.1))</formula>
    </cfRule>
  </conditionalFormatting>
  <conditionalFormatting sqref="AN1:AU1">
    <cfRule type="expression" dxfId="1671" priority="3449" stopIfTrue="1">
      <formula>AN1&lt;(AJ1-(AJ1*0.1))</formula>
    </cfRule>
    <cfRule type="expression" dxfId="1670" priority="3450" stopIfTrue="1">
      <formula>AN1&gt;(AJ1+(AJ1*0.1))</formula>
    </cfRule>
  </conditionalFormatting>
  <conditionalFormatting sqref="AO1">
    <cfRule type="expression" dxfId="1669" priority="3447" stopIfTrue="1">
      <formula>AO1&lt;(AL1-(AL1*0.1))</formula>
    </cfRule>
    <cfRule type="expression" dxfId="1668" priority="3448" stopIfTrue="1">
      <formula>AO1&gt;(AL1+(AL1*0.1))</formula>
    </cfRule>
  </conditionalFormatting>
  <conditionalFormatting sqref="AP1">
    <cfRule type="expression" dxfId="1667" priority="3445" stopIfTrue="1">
      <formula>AP1&lt;(AO1-(AO1*0.1))</formula>
    </cfRule>
    <cfRule type="expression" dxfId="1666" priority="3446" stopIfTrue="1">
      <formula>AP1&gt;(AO1+(AO1*0.1))</formula>
    </cfRule>
  </conditionalFormatting>
  <conditionalFormatting sqref="AP1">
    <cfRule type="cellIs" dxfId="1665" priority="3443" stopIfTrue="1" operator="greaterThan">
      <formula>AO1+(AO1*0.1)</formula>
    </cfRule>
    <cfRule type="cellIs" dxfId="1664" priority="3444" stopIfTrue="1" operator="lessThan">
      <formula>AO1-(AO1*0.1)</formula>
    </cfRule>
  </conditionalFormatting>
  <conditionalFormatting sqref="AP1">
    <cfRule type="expression" dxfId="1663" priority="3441">
      <formula>AP1&gt;(AO1+(AO1*0.1))</formula>
    </cfRule>
    <cfRule type="expression" dxfId="1662" priority="3442">
      <formula>AP1&lt;(AO1-(AO1*0.1))</formula>
    </cfRule>
  </conditionalFormatting>
  <conditionalFormatting sqref="AP1">
    <cfRule type="expression" dxfId="1661" priority="3439" stopIfTrue="1">
      <formula>AP1&lt;(AM1-(AM1*0.1))</formula>
    </cfRule>
    <cfRule type="expression" dxfId="1660" priority="3440" stopIfTrue="1">
      <formula>AP1&gt;(AM1+(AM1*0.1))</formula>
    </cfRule>
  </conditionalFormatting>
  <conditionalFormatting sqref="O150:O153 O157:O168">
    <cfRule type="expression" dxfId="1659" priority="1859">
      <formula>AND(N150=0,(O150&gt;0))</formula>
    </cfRule>
    <cfRule type="expression" dxfId="1658" priority="1860">
      <formula>((O150-N150)/N150)&gt;0.05</formula>
    </cfRule>
  </conditionalFormatting>
  <conditionalFormatting sqref="O156">
    <cfRule type="expression" dxfId="1657" priority="1857">
      <formula>AND(N156=0,(O156&gt;0))</formula>
    </cfRule>
    <cfRule type="expression" dxfId="1656" priority="1858">
      <formula>((O156-N156)/N156)&gt;0.05</formula>
    </cfRule>
  </conditionalFormatting>
  <conditionalFormatting sqref="O155">
    <cfRule type="expression" dxfId="1655" priority="1855">
      <formula>AND(N155=0,(O155&gt;0))</formula>
    </cfRule>
    <cfRule type="expression" dxfId="1654" priority="1856">
      <formula>((O155-N155)/N155)&gt;0.05</formula>
    </cfRule>
  </conditionalFormatting>
  <conditionalFormatting sqref="M150:M153">
    <cfRule type="expression" dxfId="1653" priority="1853">
      <formula>AND(L150=0,(M150&gt;0))</formula>
    </cfRule>
    <cfRule type="expression" dxfId="1652" priority="1854">
      <formula>((M150-L150)/L150)&gt;0.05</formula>
    </cfRule>
  </conditionalFormatting>
  <conditionalFormatting sqref="O154">
    <cfRule type="expression" dxfId="1651" priority="1851">
      <formula>AND(N154=0,(O154&gt;0))</formula>
    </cfRule>
    <cfRule type="expression" dxfId="1650" priority="1852">
      <formula>((O154-N154)/N154)&gt;0.05</formula>
    </cfRule>
  </conditionalFormatting>
  <conditionalFormatting sqref="M156">
    <cfRule type="expression" dxfId="1649" priority="1849">
      <formula>AND(L156=0,(M156&gt;0))</formula>
    </cfRule>
    <cfRule type="expression" dxfId="1648" priority="1850">
      <formula>((M156-L156)/L156)&gt;0.05</formula>
    </cfRule>
  </conditionalFormatting>
  <conditionalFormatting sqref="U150:U153">
    <cfRule type="expression" dxfId="1647" priority="1847">
      <formula>AND(T150=0,(U150&gt;0))</formula>
    </cfRule>
    <cfRule type="expression" dxfId="1646" priority="1848">
      <formula>((U150-T150)/T150)&gt;0.05</formula>
    </cfRule>
  </conditionalFormatting>
  <conditionalFormatting sqref="Y150:Y153">
    <cfRule type="expression" dxfId="1645" priority="1845">
      <formula>AND(X150=0,(Y150&gt;0))</formula>
    </cfRule>
    <cfRule type="expression" dxfId="1644" priority="1846">
      <formula>((Y150-X150)/X150)&gt;0.05</formula>
    </cfRule>
  </conditionalFormatting>
  <conditionalFormatting sqref="K155">
    <cfRule type="expression" dxfId="1643" priority="1843">
      <formula>AND(J155=0,(K155&gt;0))</formula>
    </cfRule>
    <cfRule type="expression" dxfId="1642" priority="1844">
      <formula>((K155-J155)/J155)&gt;0.05</formula>
    </cfRule>
  </conditionalFormatting>
  <conditionalFormatting sqref="K154">
    <cfRule type="expression" dxfId="1641" priority="1841">
      <formula>AND(J154=0,(K154&gt;0))</formula>
    </cfRule>
    <cfRule type="expression" dxfId="1640" priority="1842">
      <formula>((K154-J154)/J154)&gt;0.05</formula>
    </cfRule>
  </conditionalFormatting>
  <conditionalFormatting sqref="K150:K153">
    <cfRule type="expression" dxfId="1639" priority="1839">
      <formula>AND(J150=0,(K150&gt;0))</formula>
    </cfRule>
    <cfRule type="expression" dxfId="1638" priority="1840">
      <formula>((K150-J150)/J150)&gt;0.05</formula>
    </cfRule>
  </conditionalFormatting>
  <conditionalFormatting sqref="M154">
    <cfRule type="expression" dxfId="1637" priority="1837">
      <formula>AND(L154=0,(M154&gt;0))</formula>
    </cfRule>
    <cfRule type="expression" dxfId="1636" priority="1838">
      <formula>((M154-L154)/L154)&gt;0.05</formula>
    </cfRule>
  </conditionalFormatting>
  <conditionalFormatting sqref="AC154">
    <cfRule type="expression" dxfId="1635" priority="1835">
      <formula>AND(AB154=0,(AC154&gt;0))</formula>
    </cfRule>
    <cfRule type="expression" dxfId="1634" priority="1836">
      <formula>((AC154-AB154)/AB154)&gt;0.05</formula>
    </cfRule>
  </conditionalFormatting>
  <conditionalFormatting sqref="AC155">
    <cfRule type="expression" dxfId="1633" priority="1833">
      <formula>AND(AB155=0,(AC155&gt;0))</formula>
    </cfRule>
    <cfRule type="expression" dxfId="1632" priority="1834">
      <formula>((AC155-AB155)/AB155)&gt;0.05</formula>
    </cfRule>
  </conditionalFormatting>
  <conditionalFormatting sqref="AC156">
    <cfRule type="expression" dxfId="1631" priority="1831">
      <formula>AND(AB156=0,(AC156&gt;0))</formula>
    </cfRule>
    <cfRule type="expression" dxfId="1630" priority="1832">
      <formula>((AC156-AB156)/AB156)&gt;0.05</formula>
    </cfRule>
  </conditionalFormatting>
  <conditionalFormatting sqref="AC150:AC153">
    <cfRule type="expression" dxfId="1629" priority="1829">
      <formula>AND(AB150=0,(AC150&gt;0))</formula>
    </cfRule>
    <cfRule type="expression" dxfId="1628" priority="1830">
      <formula>((AC150-AB150)/AB150)&gt;0.05</formula>
    </cfRule>
  </conditionalFormatting>
  <conditionalFormatting sqref="Y154">
    <cfRule type="expression" dxfId="1627" priority="1827">
      <formula>AND(X154=0,(Y154&gt;0))</formula>
    </cfRule>
    <cfRule type="expression" dxfId="1626" priority="1828">
      <formula>((Y154-X154)/X154)&gt;0.05</formula>
    </cfRule>
  </conditionalFormatting>
  <conditionalFormatting sqref="Y156">
    <cfRule type="expression" dxfId="1625" priority="1825">
      <formula>AND(X156=0,(Y156&gt;0))</formula>
    </cfRule>
    <cfRule type="expression" dxfId="1624" priority="1826">
      <formula>((Y156-X156)/X156)&gt;0.05</formula>
    </cfRule>
  </conditionalFormatting>
  <conditionalFormatting sqref="Y155">
    <cfRule type="expression" dxfId="1623" priority="1823">
      <formula>AND(X155=0,(Y155&gt;0))</formula>
    </cfRule>
    <cfRule type="expression" dxfId="1622" priority="1824">
      <formula>((Y155-X155)/X155)&gt;0.05</formula>
    </cfRule>
  </conditionalFormatting>
  <conditionalFormatting sqref="M155">
    <cfRule type="expression" dxfId="1621" priority="1821">
      <formula>AND(L155=0,(M155&gt;0))</formula>
    </cfRule>
    <cfRule type="expression" dxfId="1620" priority="1822">
      <formula>((M155-L155)/L155)&gt;0.05</formula>
    </cfRule>
  </conditionalFormatting>
  <conditionalFormatting sqref="U154">
    <cfRule type="expression" dxfId="1619" priority="1819">
      <formula>AND(T154=0,(U154&gt;0))</formula>
    </cfRule>
    <cfRule type="expression" dxfId="1618" priority="1820">
      <formula>((U154-T154)/T154)&gt;0.05</formula>
    </cfRule>
  </conditionalFormatting>
  <conditionalFormatting sqref="I150:I153">
    <cfRule type="expression" dxfId="1617" priority="1817">
      <formula>AND(H150=0,(I150&gt;0))</formula>
    </cfRule>
    <cfRule type="expression" dxfId="1616" priority="1818">
      <formula>((I150-H150)/H150)&gt;0.05</formula>
    </cfRule>
  </conditionalFormatting>
  <conditionalFormatting sqref="AE154">
    <cfRule type="expression" dxfId="1615" priority="1815">
      <formula>AND(AD154=0,(AE154&gt;0))</formula>
    </cfRule>
    <cfRule type="expression" dxfId="1614" priority="1816">
      <formula>((AE154-AD154)/AD154)&gt;0.05</formula>
    </cfRule>
  </conditionalFormatting>
  <conditionalFormatting sqref="U155">
    <cfRule type="expression" dxfId="1613" priority="1813">
      <formula>AND(T155=0,(U155&gt;0))</formula>
    </cfRule>
    <cfRule type="expression" dxfId="1612" priority="1814">
      <formula>((U155-T155)/T155)&gt;0.05</formula>
    </cfRule>
  </conditionalFormatting>
  <conditionalFormatting sqref="AA154">
    <cfRule type="expression" dxfId="1611" priority="1811">
      <formula>AND(Z154=0,(AA154&gt;0))</formula>
    </cfRule>
    <cfRule type="expression" dxfId="1610" priority="1812">
      <formula>((AA154-Z154)/Z154)&gt;0.05</formula>
    </cfRule>
  </conditionalFormatting>
  <conditionalFormatting sqref="U156">
    <cfRule type="expression" dxfId="1609" priority="1809">
      <formula>AND(T156=0,(U156&gt;0))</formula>
    </cfRule>
    <cfRule type="expression" dxfId="1608" priority="1810">
      <formula>((U156-T156)/T156)&gt;0.05</formula>
    </cfRule>
  </conditionalFormatting>
  <conditionalFormatting sqref="K156">
    <cfRule type="expression" dxfId="1607" priority="1807">
      <formula>AND(J156=0,(K156&gt;0))</formula>
    </cfRule>
    <cfRule type="expression" dxfId="1606" priority="1808">
      <formula>((K156-J156)/J156)&gt;0.05</formula>
    </cfRule>
  </conditionalFormatting>
  <conditionalFormatting sqref="I154">
    <cfRule type="expression" dxfId="1605" priority="1805">
      <formula>AND(H154=0,(I154&gt;0))</formula>
    </cfRule>
    <cfRule type="expression" dxfId="1604" priority="1806">
      <formula>((I154-H154)/H154)&gt;0.05</formula>
    </cfRule>
  </conditionalFormatting>
  <conditionalFormatting sqref="I155">
    <cfRule type="expression" dxfId="1603" priority="1803">
      <formula>AND(H155=0,(I155&gt;0))</formula>
    </cfRule>
    <cfRule type="expression" dxfId="1602" priority="1804">
      <formula>((I155-H155)/H155)&gt;0.05</formula>
    </cfRule>
  </conditionalFormatting>
  <conditionalFormatting sqref="I156">
    <cfRule type="expression" dxfId="1601" priority="1801">
      <formula>AND(H156=0,(I156&gt;0))</formula>
    </cfRule>
    <cfRule type="expression" dxfId="1600" priority="1802">
      <formula>((I156-H156)/H156)&gt;0.05</formula>
    </cfRule>
  </conditionalFormatting>
  <conditionalFormatting sqref="AA150:AA153">
    <cfRule type="expression" dxfId="1599" priority="1799">
      <formula>AND(Z150=0,(AA150&gt;0))</formula>
    </cfRule>
    <cfRule type="expression" dxfId="1598" priority="1800">
      <formula>((AA150-Z150)/Z150)&gt;0.05</formula>
    </cfRule>
  </conditionalFormatting>
  <conditionalFormatting sqref="AA155">
    <cfRule type="expression" dxfId="1597" priority="1797">
      <formula>AND(Z155=0,(AA155&gt;0))</formula>
    </cfRule>
    <cfRule type="expression" dxfId="1596" priority="1798">
      <formula>((AA155-Z155)/Z155)&gt;0.05</formula>
    </cfRule>
  </conditionalFormatting>
  <conditionalFormatting sqref="AA156">
    <cfRule type="expression" dxfId="1595" priority="1795">
      <formula>AND(Z156=0,(AA156&gt;0))</formula>
    </cfRule>
    <cfRule type="expression" dxfId="1594" priority="1796">
      <formula>((AA156-Z156)/Z156)&gt;0.05</formula>
    </cfRule>
  </conditionalFormatting>
  <conditionalFormatting sqref="AE150:AE153">
    <cfRule type="expression" dxfId="1593" priority="1793">
      <formula>AND(AD150=0,(AE150&gt;0))</formula>
    </cfRule>
    <cfRule type="expression" dxfId="1592" priority="1794">
      <formula>((AE150-AD150)/AD150)&gt;0.05</formula>
    </cfRule>
  </conditionalFormatting>
  <conditionalFormatting sqref="AE155">
    <cfRule type="expression" dxfId="1591" priority="1791">
      <formula>AND(AD155=0,(AE155&gt;0))</formula>
    </cfRule>
    <cfRule type="expression" dxfId="1590" priority="1792">
      <formula>((AE155-AD155)/AD155)&gt;0.05</formula>
    </cfRule>
  </conditionalFormatting>
  <conditionalFormatting sqref="AE156">
    <cfRule type="expression" dxfId="1589" priority="1789">
      <formula>AND(AD156=0,(AE156&gt;0))</formula>
    </cfRule>
    <cfRule type="expression" dxfId="1588" priority="1790">
      <formula>((AE156-AD156)/AD156)&gt;0.05</formula>
    </cfRule>
  </conditionalFormatting>
  <conditionalFormatting sqref="AK150:AK153">
    <cfRule type="expression" dxfId="1587" priority="1787">
      <formula>AND(AJ150=0,(AK150&gt;0))</formula>
    </cfRule>
    <cfRule type="expression" dxfId="1586" priority="1788">
      <formula>((AK150-AJ150)/AJ150)&gt;0.05</formula>
    </cfRule>
  </conditionalFormatting>
  <conditionalFormatting sqref="AK154">
    <cfRule type="expression" dxfId="1585" priority="1785">
      <formula>AND(AJ154=0,(AK154&gt;0))</formula>
    </cfRule>
    <cfRule type="expression" dxfId="1584" priority="1786">
      <formula>((AK154-AJ154)/AJ154)&gt;0.05</formula>
    </cfRule>
  </conditionalFormatting>
  <conditionalFormatting sqref="AK155">
    <cfRule type="expression" dxfId="1583" priority="1783">
      <formula>AND(AJ155=0,(AK155&gt;0))</formula>
    </cfRule>
    <cfRule type="expression" dxfId="1582" priority="1784">
      <formula>((AK155-AJ155)/AJ155)&gt;0.05</formula>
    </cfRule>
  </conditionalFormatting>
  <conditionalFormatting sqref="AK156">
    <cfRule type="expression" dxfId="1581" priority="1781">
      <formula>AND(AJ156=0,(AK156&gt;0))</formula>
    </cfRule>
    <cfRule type="expression" dxfId="1580" priority="1782">
      <formula>((AK156-AJ156)/AJ156)&gt;0.05</formula>
    </cfRule>
  </conditionalFormatting>
  <conditionalFormatting sqref="AO150:AO153">
    <cfRule type="expression" dxfId="1579" priority="1779">
      <formula>AND(AN150=0,(AO150&gt;0))</formula>
    </cfRule>
    <cfRule type="expression" dxfId="1578" priority="1780">
      <formula>((AO150-AN150)/AN150)&gt;0.05</formula>
    </cfRule>
  </conditionalFormatting>
  <conditionalFormatting sqref="AO154">
    <cfRule type="expression" dxfId="1577" priority="1777">
      <formula>AND(AN154=0,(AO154&gt;0))</formula>
    </cfRule>
    <cfRule type="expression" dxfId="1576" priority="1778">
      <formula>((AO154-AN154)/AN154)&gt;0.05</formula>
    </cfRule>
  </conditionalFormatting>
  <conditionalFormatting sqref="AO155">
    <cfRule type="expression" dxfId="1575" priority="1775">
      <formula>AND(AN155=0,(AO155&gt;0))</formula>
    </cfRule>
    <cfRule type="expression" dxfId="1574" priority="1776">
      <formula>((AO155-AN155)/AN155)&gt;0.05</formula>
    </cfRule>
  </conditionalFormatting>
  <conditionalFormatting sqref="AO156">
    <cfRule type="expression" dxfId="1573" priority="1773">
      <formula>AND(AN156=0,(AO156&gt;0))</formula>
    </cfRule>
    <cfRule type="expression" dxfId="1572" priority="1774">
      <formula>((AO156-AN156)/AN156)&gt;0.05</formula>
    </cfRule>
  </conditionalFormatting>
  <conditionalFormatting sqref="AQ150:AQ153">
    <cfRule type="expression" dxfId="1571" priority="1771">
      <formula>AND(AP150=0,(AQ150&gt;0))</formula>
    </cfRule>
    <cfRule type="expression" dxfId="1570" priority="1772">
      <formula>((AQ150-AP150)/AP150)&gt;0.05</formula>
    </cfRule>
  </conditionalFormatting>
  <conditionalFormatting sqref="AQ154">
    <cfRule type="expression" dxfId="1569" priority="1769">
      <formula>AND(AP154=0,(AQ154&gt;0))</formula>
    </cfRule>
    <cfRule type="expression" dxfId="1568" priority="1770">
      <formula>((AQ154-AP154)/AP154)&gt;0.05</formula>
    </cfRule>
  </conditionalFormatting>
  <conditionalFormatting sqref="AQ155">
    <cfRule type="expression" dxfId="1567" priority="1767">
      <formula>AND(AP155=0,(AQ155&gt;0))</formula>
    </cfRule>
    <cfRule type="expression" dxfId="1566" priority="1768">
      <formula>((AQ155-AP155)/AP155)&gt;0.05</formula>
    </cfRule>
  </conditionalFormatting>
  <conditionalFormatting sqref="AQ156">
    <cfRule type="expression" dxfId="1565" priority="1765">
      <formula>AND(AP156=0,(AQ156&gt;0))</formula>
    </cfRule>
    <cfRule type="expression" dxfId="1564" priority="1766">
      <formula>((AQ156-AP156)/AP156)&gt;0.05</formula>
    </cfRule>
  </conditionalFormatting>
  <conditionalFormatting sqref="AS150:AS153">
    <cfRule type="expression" dxfId="1563" priority="1763">
      <formula>AND(AR150=0,(AS150&gt;0))</formula>
    </cfRule>
    <cfRule type="expression" dxfId="1562" priority="1764">
      <formula>((AS150-AR150)/AR150)&gt;0.05</formula>
    </cfRule>
  </conditionalFormatting>
  <conditionalFormatting sqref="AS154">
    <cfRule type="expression" dxfId="1561" priority="1761">
      <formula>AND(AR154=0,(AS154&gt;0))</formula>
    </cfRule>
    <cfRule type="expression" dxfId="1560" priority="1762">
      <formula>((AS154-AR154)/AR154)&gt;0.05</formula>
    </cfRule>
  </conditionalFormatting>
  <conditionalFormatting sqref="AS155">
    <cfRule type="expression" dxfId="1559" priority="1759">
      <formula>AND(AR155=0,(AS155&gt;0))</formula>
    </cfRule>
    <cfRule type="expression" dxfId="1558" priority="1760">
      <formula>((AS155-AR155)/AR155)&gt;0.05</formula>
    </cfRule>
  </conditionalFormatting>
  <conditionalFormatting sqref="AS156">
    <cfRule type="expression" dxfId="1557" priority="1757">
      <formula>AND(AR156=0,(AS156&gt;0))</formula>
    </cfRule>
    <cfRule type="expression" dxfId="1556" priority="1758">
      <formula>((AS156-AR156)/AR156)&gt;0.05</formula>
    </cfRule>
  </conditionalFormatting>
  <conditionalFormatting sqref="AU150:AU153">
    <cfRule type="expression" dxfId="1555" priority="1755">
      <formula>AND(AT150=0,(AU150&gt;0))</formula>
    </cfRule>
    <cfRule type="expression" dxfId="1554" priority="1756">
      <formula>((AU150-AT150)/AT150)&gt;0.05</formula>
    </cfRule>
  </conditionalFormatting>
  <conditionalFormatting sqref="AU154">
    <cfRule type="expression" dxfId="1553" priority="1753">
      <formula>AND(AT154=0,(AU154&gt;0))</formula>
    </cfRule>
    <cfRule type="expression" dxfId="1552" priority="1754">
      <formula>((AU154-AT154)/AT154)&gt;0.05</formula>
    </cfRule>
  </conditionalFormatting>
  <conditionalFormatting sqref="AU155">
    <cfRule type="expression" dxfId="1551" priority="1751">
      <formula>AND(AT155=0,(AU155&gt;0))</formula>
    </cfRule>
    <cfRule type="expression" dxfId="1550" priority="1752">
      <formula>((AU155-AT155)/AT155)&gt;0.05</formula>
    </cfRule>
  </conditionalFormatting>
  <conditionalFormatting sqref="AU156">
    <cfRule type="expression" dxfId="1549" priority="1749">
      <formula>AND(AT156=0,(AU156&gt;0))</formula>
    </cfRule>
    <cfRule type="expression" dxfId="1548" priority="1750">
      <formula>((AU156-AT156)/AT156)&gt;0.05</formula>
    </cfRule>
  </conditionalFormatting>
  <conditionalFormatting sqref="O170">
    <cfRule type="expression" dxfId="1547" priority="1861">
      <formula>AND(N171=0,(O170&gt;0))</formula>
    </cfRule>
    <cfRule type="expression" dxfId="1546" priority="1862">
      <formula>((O170-N171)/N171)&gt;0.05</formula>
    </cfRule>
  </conditionalFormatting>
  <conditionalFormatting sqref="U169 Y169 K169 AC169 I169 AA169 AE169 AK169 AO169 AQ169 AS169 AU169">
    <cfRule type="expression" dxfId="1545" priority="1745">
      <formula>AND(H169=0,(I169&gt;0))</formula>
    </cfRule>
    <cfRule type="expression" dxfId="1544" priority="1746">
      <formula>((I169-H169)/H169)&gt;0.05</formula>
    </cfRule>
  </conditionalFormatting>
  <conditionalFormatting sqref="O169">
    <cfRule type="expression" dxfId="1543" priority="1747">
      <formula>AND(N171=0,(O169&gt;0))</formula>
    </cfRule>
    <cfRule type="expression" dxfId="1542" priority="1748">
      <formula>((O169-N171)/N171)&gt;0.05</formula>
    </cfRule>
  </conditionalFormatting>
  <conditionalFormatting sqref="M169">
    <cfRule type="expression" dxfId="1541" priority="1743">
      <formula>AND(L169=0,(M169&gt;0))</formula>
    </cfRule>
    <cfRule type="expression" dxfId="1540" priority="1744">
      <formula>((M169-L169)/L169)&gt;0.05</formula>
    </cfRule>
  </conditionalFormatting>
  <conditionalFormatting sqref="O146">
    <cfRule type="expression" dxfId="1539" priority="1737">
      <formula>AND(N146=0,(O146&gt;0))</formula>
    </cfRule>
    <cfRule type="expression" dxfId="1538" priority="1738">
      <formula>((O146-N146)/N146)&gt;0.05</formula>
    </cfRule>
  </conditionalFormatting>
  <conditionalFormatting sqref="O147">
    <cfRule type="expression" dxfId="1537" priority="1735">
      <formula>AND(N147=0,(O147&gt;0))</formula>
    </cfRule>
    <cfRule type="expression" dxfId="1536" priority="1736">
      <formula>((O147-N147)/N147)&gt;0.05</formula>
    </cfRule>
  </conditionalFormatting>
  <conditionalFormatting sqref="O148">
    <cfRule type="expression" dxfId="1535" priority="1733">
      <formula>AND(N148=0,(O148&gt;0))</formula>
    </cfRule>
    <cfRule type="expression" dxfId="1534" priority="1734">
      <formula>((O148-N148)/N148)&gt;0.05</formula>
    </cfRule>
  </conditionalFormatting>
  <conditionalFormatting sqref="O149">
    <cfRule type="expression" dxfId="1533" priority="1731">
      <formula>AND(N149=0,(O149&gt;0))</formula>
    </cfRule>
    <cfRule type="expression" dxfId="1532" priority="1732">
      <formula>((O149-N149)/N149)&gt;0.05</formula>
    </cfRule>
  </conditionalFormatting>
  <conditionalFormatting sqref="O121:O123 O125:O145">
    <cfRule type="expression" dxfId="1531" priority="1741">
      <formula>AND(N121=0,(O121&gt;0))</formula>
    </cfRule>
    <cfRule type="expression" dxfId="1530" priority="1742">
      <formula>((O121-N121)/N121)&gt;0.05</formula>
    </cfRule>
  </conditionalFormatting>
  <conditionalFormatting sqref="O120">
    <cfRule type="expression" dxfId="1529" priority="1739">
      <formula>AND(N120=0,(O120&gt;0))</formula>
    </cfRule>
    <cfRule type="expression" dxfId="1528" priority="1740">
      <formula>((O120-N120)/N120)&gt;0.05</formula>
    </cfRule>
  </conditionalFormatting>
  <conditionalFormatting sqref="M121:M123 M125:M145">
    <cfRule type="expression" dxfId="1527" priority="1729">
      <formula>AND(L121=0,(M121&gt;0))</formula>
    </cfRule>
    <cfRule type="expression" dxfId="1526" priority="1730">
      <formula>((M121-L121)/L121)&gt;0.05</formula>
    </cfRule>
  </conditionalFormatting>
  <conditionalFormatting sqref="M147">
    <cfRule type="expression" dxfId="1525" priority="1723">
      <formula>AND(L147=0,(M147&gt;0))</formula>
    </cfRule>
    <cfRule type="expression" dxfId="1524" priority="1724">
      <formula>((M147-L147)/L147)&gt;0.05</formula>
    </cfRule>
  </conditionalFormatting>
  <conditionalFormatting sqref="Y121:Y123 Y125:Y145">
    <cfRule type="expression" dxfId="1523" priority="1681">
      <formula>AND(X121=0,(Y121&gt;0))</formula>
    </cfRule>
    <cfRule type="expression" dxfId="1522" priority="1682">
      <formula>((Y121-X121)/X121)&gt;0.05</formula>
    </cfRule>
  </conditionalFormatting>
  <conditionalFormatting sqref="K148">
    <cfRule type="expression" dxfId="1521" priority="1709">
      <formula>AND(J148=0,(K148&gt;0))</formula>
    </cfRule>
    <cfRule type="expression" dxfId="1520" priority="1710">
      <formula>((K148-J148)/J148)&gt;0.05</formula>
    </cfRule>
  </conditionalFormatting>
  <conditionalFormatting sqref="K147">
    <cfRule type="expression" dxfId="1519" priority="1711">
      <formula>AND(J147=0,(K147&gt;0))</formula>
    </cfRule>
    <cfRule type="expression" dxfId="1518" priority="1712">
      <formula>((K147-J147)/J147)&gt;0.05</formula>
    </cfRule>
  </conditionalFormatting>
  <conditionalFormatting sqref="M149">
    <cfRule type="expression" dxfId="1517" priority="1719">
      <formula>AND(L149=0,(M149&gt;0))</formula>
    </cfRule>
    <cfRule type="expression" dxfId="1516" priority="1720">
      <formula>((M149-L149)/L149)&gt;0.05</formula>
    </cfRule>
  </conditionalFormatting>
  <conditionalFormatting sqref="M146">
    <cfRule type="expression" dxfId="1515" priority="1725">
      <formula>AND(L146=0,(M146&gt;0))</formula>
    </cfRule>
    <cfRule type="expression" dxfId="1514" priority="1726">
      <formula>((M146-L146)/L146)&gt;0.05</formula>
    </cfRule>
  </conditionalFormatting>
  <conditionalFormatting sqref="I121:I123 I125:I145">
    <cfRule type="expression" dxfId="1513" priority="1705">
      <formula>AND(H121=0,(I121&gt;0))</formula>
    </cfRule>
    <cfRule type="expression" dxfId="1512" priority="1706">
      <formula>((I121-H121)/H121)&gt;0.05</formula>
    </cfRule>
  </conditionalFormatting>
  <conditionalFormatting sqref="K120">
    <cfRule type="expression" dxfId="1511" priority="1715">
      <formula>AND(J120=0,(K120&gt;0))</formula>
    </cfRule>
    <cfRule type="expression" dxfId="1510" priority="1716">
      <formula>((K120-J120)/J120)&gt;0.05</formula>
    </cfRule>
  </conditionalFormatting>
  <conditionalFormatting sqref="Y147">
    <cfRule type="expression" dxfId="1509" priority="1675">
      <formula>AND(X147=0,(Y147&gt;0))</formula>
    </cfRule>
    <cfRule type="expression" dxfId="1508" priority="1676">
      <formula>((Y147-X147)/X147)&gt;0.05</formula>
    </cfRule>
  </conditionalFormatting>
  <conditionalFormatting sqref="Y148">
    <cfRule type="expression" dxfId="1507" priority="1673">
      <formula>AND(X148=0,(Y148&gt;0))</formula>
    </cfRule>
    <cfRule type="expression" dxfId="1506" priority="1674">
      <formula>((Y148-X148)/X148)&gt;0.05</formula>
    </cfRule>
  </conditionalFormatting>
  <conditionalFormatting sqref="AA149">
    <cfRule type="expression" dxfId="1505" priority="1659">
      <formula>AND(Z149=0,(AA149&gt;0))</formula>
    </cfRule>
    <cfRule type="expression" dxfId="1504" priority="1660">
      <formula>((AA149-Z149)/Z149)&gt;0.05</formula>
    </cfRule>
  </conditionalFormatting>
  <conditionalFormatting sqref="M120">
    <cfRule type="expression" dxfId="1503" priority="1727">
      <formula>AND(L120=0,(M120&gt;0))</formula>
    </cfRule>
    <cfRule type="expression" dxfId="1502" priority="1728">
      <formula>((M120-L120)/L120)&gt;0.05</formula>
    </cfRule>
  </conditionalFormatting>
  <conditionalFormatting sqref="AC121:AC123 AC125:AC145">
    <cfRule type="expression" dxfId="1501" priority="1657">
      <formula>AND(AB121=0,(AC121&gt;0))</formula>
    </cfRule>
    <cfRule type="expression" dxfId="1500" priority="1658">
      <formula>((AC121-AB121)/AB121)&gt;0.05</formula>
    </cfRule>
  </conditionalFormatting>
  <conditionalFormatting sqref="AC120">
    <cfRule type="expression" dxfId="1499" priority="1655">
      <formula>AND(AB120=0,(AC120&gt;0))</formula>
    </cfRule>
    <cfRule type="expression" dxfId="1498" priority="1656">
      <formula>((AC120-AB120)/AB120)&gt;0.05</formula>
    </cfRule>
  </conditionalFormatting>
  <conditionalFormatting sqref="AC146">
    <cfRule type="expression" dxfId="1497" priority="1653">
      <formula>AND(AB146=0,(AC146&gt;0))</formula>
    </cfRule>
    <cfRule type="expression" dxfId="1496" priority="1654">
      <formula>((AC146-AB146)/AB146)&gt;0.05</formula>
    </cfRule>
  </conditionalFormatting>
  <conditionalFormatting sqref="AC147">
    <cfRule type="expression" dxfId="1495" priority="1651">
      <formula>AND(AB147=0,(AC147&gt;0))</formula>
    </cfRule>
    <cfRule type="expression" dxfId="1494" priority="1652">
      <formula>((AC147-AB147)/AB147)&gt;0.05</formula>
    </cfRule>
  </conditionalFormatting>
  <conditionalFormatting sqref="AC148">
    <cfRule type="expression" dxfId="1493" priority="1649">
      <formula>AND(AB148=0,(AC148&gt;0))</formula>
    </cfRule>
    <cfRule type="expression" dxfId="1492" priority="1650">
      <formula>((AC148-AB148)/AB148)&gt;0.05</formula>
    </cfRule>
  </conditionalFormatting>
  <conditionalFormatting sqref="U121:U123 U125:U145">
    <cfRule type="expression" dxfId="1491" priority="1693">
      <formula>AND(T121=0,(U121&gt;0))</formula>
    </cfRule>
    <cfRule type="expression" dxfId="1490" priority="1694">
      <formula>((U121-T121)/T121)&gt;0.05</formula>
    </cfRule>
  </conditionalFormatting>
  <conditionalFormatting sqref="K146">
    <cfRule type="expression" dxfId="1489" priority="1713">
      <formula>AND(J146=0,(K146&gt;0))</formula>
    </cfRule>
    <cfRule type="expression" dxfId="1488" priority="1714">
      <formula>((K146-J146)/J146)&gt;0.05</formula>
    </cfRule>
  </conditionalFormatting>
  <conditionalFormatting sqref="K121:K123 K125:K145">
    <cfRule type="expression" dxfId="1487" priority="1717">
      <formula>AND(J121=0,(K121&gt;0))</formula>
    </cfRule>
    <cfRule type="expression" dxfId="1486" priority="1718">
      <formula>((K121-J121)/J121)&gt;0.05</formula>
    </cfRule>
  </conditionalFormatting>
  <conditionalFormatting sqref="I120">
    <cfRule type="expression" dxfId="1485" priority="1703">
      <formula>AND(H120=0,(I120&gt;0))</formula>
    </cfRule>
    <cfRule type="expression" dxfId="1484" priority="1704">
      <formula>((I120-H120)/H120)&gt;0.05</formula>
    </cfRule>
  </conditionalFormatting>
  <conditionalFormatting sqref="I146">
    <cfRule type="expression" dxfId="1483" priority="1701">
      <formula>AND(H146=0,(I146&gt;0))</formula>
    </cfRule>
    <cfRule type="expression" dxfId="1482" priority="1702">
      <formula>((I146-H146)/H146)&gt;0.05</formula>
    </cfRule>
  </conditionalFormatting>
  <conditionalFormatting sqref="K149">
    <cfRule type="expression" dxfId="1481" priority="1707">
      <formula>AND(J149=0,(K149&gt;0))</formula>
    </cfRule>
    <cfRule type="expression" dxfId="1480" priority="1708">
      <formula>((K149-J149)/J149)&gt;0.05</formula>
    </cfRule>
  </conditionalFormatting>
  <conditionalFormatting sqref="M148">
    <cfRule type="expression" dxfId="1479" priority="1721">
      <formula>AND(L148=0,(M148&gt;0))</formula>
    </cfRule>
    <cfRule type="expression" dxfId="1478" priority="1722">
      <formula>((M148-L148)/L148)&gt;0.05</formula>
    </cfRule>
  </conditionalFormatting>
  <conditionalFormatting sqref="I147">
    <cfRule type="expression" dxfId="1477" priority="1699">
      <formula>AND(H147=0,(I147&gt;0))</formula>
    </cfRule>
    <cfRule type="expression" dxfId="1476" priority="1700">
      <formula>((I147-H147)/H147)&gt;0.05</formula>
    </cfRule>
  </conditionalFormatting>
  <conditionalFormatting sqref="I148">
    <cfRule type="expression" dxfId="1475" priority="1697">
      <formula>AND(H148=0,(I148&gt;0))</formula>
    </cfRule>
    <cfRule type="expression" dxfId="1474" priority="1698">
      <formula>((I148-H148)/H148)&gt;0.05</formula>
    </cfRule>
  </conditionalFormatting>
  <conditionalFormatting sqref="I149">
    <cfRule type="expression" dxfId="1473" priority="1695">
      <formula>AND(H149=0,(I149&gt;0))</formula>
    </cfRule>
    <cfRule type="expression" dxfId="1472" priority="1696">
      <formula>((I149-H149)/H149)&gt;0.05</formula>
    </cfRule>
  </conditionalFormatting>
  <conditionalFormatting sqref="U146">
    <cfRule type="expression" dxfId="1471" priority="1689">
      <formula>AND(T146=0,(U146&gt;0))</formula>
    </cfRule>
    <cfRule type="expression" dxfId="1470" priority="1690">
      <formula>((U146-T146)/T146)&gt;0.05</formula>
    </cfRule>
  </conditionalFormatting>
  <conditionalFormatting sqref="U147">
    <cfRule type="expression" dxfId="1469" priority="1687">
      <formula>AND(T147=0,(U147&gt;0))</formula>
    </cfRule>
    <cfRule type="expression" dxfId="1468" priority="1688">
      <formula>((U147-T147)/T147)&gt;0.05</formula>
    </cfRule>
  </conditionalFormatting>
  <conditionalFormatting sqref="U148">
    <cfRule type="expression" dxfId="1467" priority="1685">
      <formula>AND(T148=0,(U148&gt;0))</formula>
    </cfRule>
    <cfRule type="expression" dxfId="1466" priority="1686">
      <formula>((U148-T148)/T148)&gt;0.05</formula>
    </cfRule>
  </conditionalFormatting>
  <conditionalFormatting sqref="U149">
    <cfRule type="expression" dxfId="1465" priority="1683">
      <formula>AND(T149=0,(U149&gt;0))</formula>
    </cfRule>
    <cfRule type="expression" dxfId="1464" priority="1684">
      <formula>((U149-T149)/T149)&gt;0.05</formula>
    </cfRule>
  </conditionalFormatting>
  <conditionalFormatting sqref="Y120">
    <cfRule type="expression" dxfId="1463" priority="1679">
      <formula>AND(X120=0,(Y120&gt;0))</formula>
    </cfRule>
    <cfRule type="expression" dxfId="1462" priority="1680">
      <formula>((Y120-X120)/X120)&gt;0.05</formula>
    </cfRule>
  </conditionalFormatting>
  <conditionalFormatting sqref="Y146">
    <cfRule type="expression" dxfId="1461" priority="1677">
      <formula>AND(X146=0,(Y146&gt;0))</formula>
    </cfRule>
    <cfRule type="expression" dxfId="1460" priority="1678">
      <formula>((Y146-X146)/X146)&gt;0.05</formula>
    </cfRule>
  </conditionalFormatting>
  <conditionalFormatting sqref="Y149">
    <cfRule type="expression" dxfId="1459" priority="1671">
      <formula>AND(X149=0,(Y149&gt;0))</formula>
    </cfRule>
    <cfRule type="expression" dxfId="1458" priority="1672">
      <formula>((Y149-X149)/X149)&gt;0.05</formula>
    </cfRule>
  </conditionalFormatting>
  <conditionalFormatting sqref="AA146">
    <cfRule type="expression" dxfId="1457" priority="1665">
      <formula>AND(Z146=0,(AA146&gt;0))</formula>
    </cfRule>
    <cfRule type="expression" dxfId="1456" priority="1666">
      <formula>((AA146-Z146)/Z146)&gt;0.05</formula>
    </cfRule>
  </conditionalFormatting>
  <conditionalFormatting sqref="AA147">
    <cfRule type="expression" dxfId="1455" priority="1663">
      <formula>AND(Z147=0,(AA147&gt;0))</formula>
    </cfRule>
    <cfRule type="expression" dxfId="1454" priority="1664">
      <formula>((AA147-Z147)/Z147)&gt;0.05</formula>
    </cfRule>
  </conditionalFormatting>
  <conditionalFormatting sqref="AA148">
    <cfRule type="expression" dxfId="1453" priority="1661">
      <formula>AND(Z148=0,(AA148&gt;0))</formula>
    </cfRule>
    <cfRule type="expression" dxfId="1452" priority="1662">
      <formula>((AA148-Z148)/Z148)&gt;0.05</formula>
    </cfRule>
  </conditionalFormatting>
  <conditionalFormatting sqref="AA121:AA123 AA125:AA145">
    <cfRule type="expression" dxfId="1451" priority="1669">
      <formula>AND(Z121=0,(AA121&gt;0))</formula>
    </cfRule>
    <cfRule type="expression" dxfId="1450" priority="1670">
      <formula>((AA121-Z121)/Z121)&gt;0.05</formula>
    </cfRule>
  </conditionalFormatting>
  <conditionalFormatting sqref="AA120">
    <cfRule type="expression" dxfId="1449" priority="1667">
      <formula>AND(Z120=0,(AA120&gt;0))</formula>
    </cfRule>
    <cfRule type="expression" dxfId="1448" priority="1668">
      <formula>((AA120-Z120)/Z120)&gt;0.05</formula>
    </cfRule>
  </conditionalFormatting>
  <conditionalFormatting sqref="AC149">
    <cfRule type="expression" dxfId="1447" priority="1647">
      <formula>AND(AB149=0,(AC149&gt;0))</formula>
    </cfRule>
    <cfRule type="expression" dxfId="1446" priority="1648">
      <formula>((AC149-AB149)/AB149)&gt;0.05</formula>
    </cfRule>
  </conditionalFormatting>
  <conditionalFormatting sqref="AE121:AE123 AE125:AE145">
    <cfRule type="expression" dxfId="1445" priority="1645">
      <formula>AND(AD121=0,(AE121&gt;0))</formula>
    </cfRule>
    <cfRule type="expression" dxfId="1444" priority="1646">
      <formula>((AE121-AD121)/AD121)&gt;0.05</formula>
    </cfRule>
  </conditionalFormatting>
  <conditionalFormatting sqref="AE120">
    <cfRule type="expression" dxfId="1443" priority="1643">
      <formula>AND(AD120=0,(AE120&gt;0))</formula>
    </cfRule>
    <cfRule type="expression" dxfId="1442" priority="1644">
      <formula>((AE120-AD120)/AD120)&gt;0.05</formula>
    </cfRule>
  </conditionalFormatting>
  <conditionalFormatting sqref="AE146">
    <cfRule type="expression" dxfId="1441" priority="1641">
      <formula>AND(AD146=0,(AE146&gt;0))</formula>
    </cfRule>
    <cfRule type="expression" dxfId="1440" priority="1642">
      <formula>((AE146-AD146)/AD146)&gt;0.05</formula>
    </cfRule>
  </conditionalFormatting>
  <conditionalFormatting sqref="AE148">
    <cfRule type="expression" dxfId="1439" priority="1637">
      <formula>AND(AD148=0,(AE148&gt;0))</formula>
    </cfRule>
    <cfRule type="expression" dxfId="1438" priority="1638">
      <formula>((AE148-AD148)/AD148)&gt;0.05</formula>
    </cfRule>
  </conditionalFormatting>
  <conditionalFormatting sqref="AE147">
    <cfRule type="expression" dxfId="1437" priority="1639">
      <formula>AND(AD147=0,(AE147&gt;0))</formula>
    </cfRule>
    <cfRule type="expression" dxfId="1436" priority="1640">
      <formula>((AE147-AD147)/AD147)&gt;0.05</formula>
    </cfRule>
  </conditionalFormatting>
  <conditionalFormatting sqref="AE149">
    <cfRule type="expression" dxfId="1435" priority="1635">
      <formula>AND(AD149=0,(AE149&gt;0))</formula>
    </cfRule>
    <cfRule type="expression" dxfId="1434" priority="1636">
      <formula>((AE149-AD149)/AD149)&gt;0.05</formula>
    </cfRule>
  </conditionalFormatting>
  <conditionalFormatting sqref="AK147">
    <cfRule type="expression" dxfId="1433" priority="1627">
      <formula>AND(AJ147=0,(AK147&gt;0))</formula>
    </cfRule>
    <cfRule type="expression" dxfId="1432" priority="1628">
      <formula>((AK147-AJ147)/AJ147)&gt;0.05</formula>
    </cfRule>
  </conditionalFormatting>
  <conditionalFormatting sqref="AK148">
    <cfRule type="expression" dxfId="1431" priority="1625">
      <formula>AND(AJ148=0,(AK148&gt;0))</formula>
    </cfRule>
    <cfRule type="expression" dxfId="1430" priority="1626">
      <formula>((AK148-AJ148)/AJ148)&gt;0.05</formula>
    </cfRule>
  </conditionalFormatting>
  <conditionalFormatting sqref="AK149">
    <cfRule type="expression" dxfId="1429" priority="1623">
      <formula>AND(AJ149=0,(AK149&gt;0))</formula>
    </cfRule>
    <cfRule type="expression" dxfId="1428" priority="1624">
      <formula>((AK149-AJ149)/AJ149)&gt;0.05</formula>
    </cfRule>
  </conditionalFormatting>
  <conditionalFormatting sqref="AK146">
    <cfRule type="expression" dxfId="1427" priority="1629">
      <formula>AND(AJ146=0,(AK146&gt;0))</formula>
    </cfRule>
    <cfRule type="expression" dxfId="1426" priority="1630">
      <formula>((AK146-AJ146)/AJ146)&gt;0.05</formula>
    </cfRule>
  </conditionalFormatting>
  <conditionalFormatting sqref="AK121:AK123 AK125:AK145">
    <cfRule type="expression" dxfId="1425" priority="1633">
      <formula>AND(AJ121=0,(AK121&gt;0))</formula>
    </cfRule>
    <cfRule type="expression" dxfId="1424" priority="1634">
      <formula>((AK121-AJ121)/AJ121)&gt;0.05</formula>
    </cfRule>
  </conditionalFormatting>
  <conditionalFormatting sqref="AK120">
    <cfRule type="expression" dxfId="1423" priority="1631">
      <formula>AND(AJ120=0,(AK120&gt;0))</formula>
    </cfRule>
    <cfRule type="expression" dxfId="1422" priority="1632">
      <formula>((AK120-AJ120)/AJ120)&gt;0.05</formula>
    </cfRule>
  </conditionalFormatting>
  <conditionalFormatting sqref="AO121:AO123 AO125:AO145">
    <cfRule type="expression" dxfId="1421" priority="1621">
      <formula>AND(AN121=0,(AO121&gt;0))</formula>
    </cfRule>
    <cfRule type="expression" dxfId="1420" priority="1622">
      <formula>((AO121-AN121)/AN121)&gt;0.05</formula>
    </cfRule>
  </conditionalFormatting>
  <conditionalFormatting sqref="AO120">
    <cfRule type="expression" dxfId="1419" priority="1619">
      <formula>AND(AN120=0,(AO120&gt;0))</formula>
    </cfRule>
    <cfRule type="expression" dxfId="1418" priority="1620">
      <formula>((AO120-AN120)/AN120)&gt;0.05</formula>
    </cfRule>
  </conditionalFormatting>
  <conditionalFormatting sqref="AO146">
    <cfRule type="expression" dxfId="1417" priority="1617">
      <formula>AND(AN146=0,(AO146&gt;0))</formula>
    </cfRule>
    <cfRule type="expression" dxfId="1416" priority="1618">
      <formula>((AO146-AN146)/AN146)&gt;0.05</formula>
    </cfRule>
  </conditionalFormatting>
  <conditionalFormatting sqref="AO148">
    <cfRule type="expression" dxfId="1415" priority="1613">
      <formula>AND(AN148=0,(AO148&gt;0))</formula>
    </cfRule>
    <cfRule type="expression" dxfId="1414" priority="1614">
      <formula>((AO148-AN148)/AN148)&gt;0.05</formula>
    </cfRule>
  </conditionalFormatting>
  <conditionalFormatting sqref="AO149">
    <cfRule type="expression" dxfId="1413" priority="1611">
      <formula>AND(AN149=0,(AO149&gt;0))</formula>
    </cfRule>
    <cfRule type="expression" dxfId="1412" priority="1612">
      <formula>((AO149-AN149)/AN149)&gt;0.05</formula>
    </cfRule>
  </conditionalFormatting>
  <conditionalFormatting sqref="AO147">
    <cfRule type="expression" dxfId="1411" priority="1615">
      <formula>AND(AN147=0,(AO147&gt;0))</formula>
    </cfRule>
    <cfRule type="expression" dxfId="1410" priority="1616">
      <formula>((AO147-AN147)/AN147)&gt;0.05</formula>
    </cfRule>
  </conditionalFormatting>
  <conditionalFormatting sqref="AQ120">
    <cfRule type="expression" dxfId="1409" priority="1607">
      <formula>AND(AP120=0,(AQ120&gt;0))</formula>
    </cfRule>
    <cfRule type="expression" dxfId="1408" priority="1608">
      <formula>((AQ120-AP120)/AP120)&gt;0.05</formula>
    </cfRule>
  </conditionalFormatting>
  <conditionalFormatting sqref="AQ146">
    <cfRule type="expression" dxfId="1407" priority="1605">
      <formula>AND(AP146=0,(AQ146&gt;0))</formula>
    </cfRule>
    <cfRule type="expression" dxfId="1406" priority="1606">
      <formula>((AQ146-AP146)/AP146)&gt;0.05</formula>
    </cfRule>
  </conditionalFormatting>
  <conditionalFormatting sqref="AQ147">
    <cfRule type="expression" dxfId="1405" priority="1603">
      <formula>AND(AP147=0,(AQ147&gt;0))</formula>
    </cfRule>
    <cfRule type="expression" dxfId="1404" priority="1604">
      <formula>((AQ147-AP147)/AP147)&gt;0.05</formula>
    </cfRule>
  </conditionalFormatting>
  <conditionalFormatting sqref="AQ148">
    <cfRule type="expression" dxfId="1403" priority="1601">
      <formula>AND(AP148=0,(AQ148&gt;0))</formula>
    </cfRule>
    <cfRule type="expression" dxfId="1402" priority="1602">
      <formula>((AQ148-AP148)/AP148)&gt;0.05</formula>
    </cfRule>
  </conditionalFormatting>
  <conditionalFormatting sqref="AQ149">
    <cfRule type="expression" dxfId="1401" priority="1599">
      <formula>AND(AP149=0,(AQ149&gt;0))</formula>
    </cfRule>
    <cfRule type="expression" dxfId="1400" priority="1600">
      <formula>((AQ149-AP149)/AP149)&gt;0.05</formula>
    </cfRule>
  </conditionalFormatting>
  <conditionalFormatting sqref="AQ121:AQ123 AQ125:AQ145">
    <cfRule type="expression" dxfId="1399" priority="1609">
      <formula>AND(AP121=0,(AQ121&gt;0))</formula>
    </cfRule>
    <cfRule type="expression" dxfId="1398" priority="1610">
      <formula>((AQ121-AP121)/AP121)&gt;0.05</formula>
    </cfRule>
  </conditionalFormatting>
  <conditionalFormatting sqref="AS121:AS123 AS125:AS145">
    <cfRule type="expression" dxfId="1397" priority="1597">
      <formula>AND(AR121=0,(AS121&gt;0))</formula>
    </cfRule>
    <cfRule type="expression" dxfId="1396" priority="1598">
      <formula>((AS121-AR121)/AR121)&gt;0.05</formula>
    </cfRule>
  </conditionalFormatting>
  <conditionalFormatting sqref="AS120">
    <cfRule type="expression" dxfId="1395" priority="1595">
      <formula>AND(AR120=0,(AS120&gt;0))</formula>
    </cfRule>
    <cfRule type="expression" dxfId="1394" priority="1596">
      <formula>((AS120-AR120)/AR120)&gt;0.05</formula>
    </cfRule>
  </conditionalFormatting>
  <conditionalFormatting sqref="AS146">
    <cfRule type="expression" dxfId="1393" priority="1593">
      <formula>AND(AR146=0,(AS146&gt;0))</formula>
    </cfRule>
    <cfRule type="expression" dxfId="1392" priority="1594">
      <formula>((AS146-AR146)/AR146)&gt;0.05</formula>
    </cfRule>
  </conditionalFormatting>
  <conditionalFormatting sqref="AS147">
    <cfRule type="expression" dxfId="1391" priority="1591">
      <formula>AND(AR147=0,(AS147&gt;0))</formula>
    </cfRule>
    <cfRule type="expression" dxfId="1390" priority="1592">
      <formula>((AS147-AR147)/AR147)&gt;0.05</formula>
    </cfRule>
  </conditionalFormatting>
  <conditionalFormatting sqref="AS148">
    <cfRule type="expression" dxfId="1389" priority="1589">
      <formula>AND(AR148=0,(AS148&gt;0))</formula>
    </cfRule>
    <cfRule type="expression" dxfId="1388" priority="1590">
      <formula>((AS148-AR148)/AR148)&gt;0.05</formula>
    </cfRule>
  </conditionalFormatting>
  <conditionalFormatting sqref="AS149">
    <cfRule type="expression" dxfId="1387" priority="1587">
      <formula>AND(AR149=0,(AS149&gt;0))</formula>
    </cfRule>
    <cfRule type="expression" dxfId="1386" priority="1588">
      <formula>((AS149-AR149)/AR149)&gt;0.05</formula>
    </cfRule>
  </conditionalFormatting>
  <conditionalFormatting sqref="AU121:AU123 AU125:AU145">
    <cfRule type="expression" dxfId="1385" priority="1585">
      <formula>AND(AT121=0,(AU121&gt;0))</formula>
    </cfRule>
    <cfRule type="expression" dxfId="1384" priority="1586">
      <formula>((AU121-AT121)/AT121)&gt;0.05</formula>
    </cfRule>
  </conditionalFormatting>
  <conditionalFormatting sqref="AU120">
    <cfRule type="expression" dxfId="1383" priority="1583">
      <formula>AND(AT120=0,(AU120&gt;0))</formula>
    </cfRule>
    <cfRule type="expression" dxfId="1382" priority="1584">
      <formula>((AU120-AT120)/AT120)&gt;0.05</formula>
    </cfRule>
  </conditionalFormatting>
  <conditionalFormatting sqref="AU146">
    <cfRule type="expression" dxfId="1381" priority="1581">
      <formula>AND(AT146=0,(AU146&gt;0))</formula>
    </cfRule>
    <cfRule type="expression" dxfId="1380" priority="1582">
      <formula>((AU146-AT146)/AT146)&gt;0.05</formula>
    </cfRule>
  </conditionalFormatting>
  <conditionalFormatting sqref="AU147">
    <cfRule type="expression" dxfId="1379" priority="1579">
      <formula>AND(AT147=0,(AU147&gt;0))</formula>
    </cfRule>
    <cfRule type="expression" dxfId="1378" priority="1580">
      <formula>((AU147-AT147)/AT147)&gt;0.05</formula>
    </cfRule>
  </conditionalFormatting>
  <conditionalFormatting sqref="AU148">
    <cfRule type="expression" dxfId="1377" priority="1577">
      <formula>AND(AT148=0,(AU148&gt;0))</formula>
    </cfRule>
    <cfRule type="expression" dxfId="1376" priority="1578">
      <formula>((AU148-AT148)/AT148)&gt;0.05</formula>
    </cfRule>
  </conditionalFormatting>
  <conditionalFormatting sqref="AU149">
    <cfRule type="expression" dxfId="1375" priority="1575">
      <formula>AND(AT149=0,(AU149&gt;0))</formula>
    </cfRule>
    <cfRule type="expression" dxfId="1374" priority="1576">
      <formula>((AU149-AT149)/AT149)&gt;0.05</formula>
    </cfRule>
  </conditionalFormatting>
  <conditionalFormatting sqref="O124">
    <cfRule type="expression" dxfId="1373" priority="1517">
      <formula>AND(N124=0,(O124&gt;0))</formula>
    </cfRule>
    <cfRule type="expression" dxfId="1372" priority="1518">
      <formula>((O124-N124)/N124)&gt;0.05</formula>
    </cfRule>
  </conditionalFormatting>
  <conditionalFormatting sqref="M124">
    <cfRule type="expression" dxfId="1371" priority="1515">
      <formula>AND(L124=0,(M124&gt;0))</formula>
    </cfRule>
    <cfRule type="expression" dxfId="1370" priority="1516">
      <formula>((M124-L124)/L124)&gt;0.05</formula>
    </cfRule>
  </conditionalFormatting>
  <conditionalFormatting sqref="AA124">
    <cfRule type="expression" dxfId="1369" priority="1505">
      <formula>AND(Z124=0,(AA124&gt;0))</formula>
    </cfRule>
    <cfRule type="expression" dxfId="1368" priority="1506">
      <formula>((AA124-Z124)/Z124)&gt;0.05</formula>
    </cfRule>
  </conditionalFormatting>
  <conditionalFormatting sqref="K124">
    <cfRule type="expression" dxfId="1367" priority="1513">
      <formula>AND(J124=0,(K124&gt;0))</formula>
    </cfRule>
    <cfRule type="expression" dxfId="1366" priority="1514">
      <formula>((K124-J124)/J124)&gt;0.05</formula>
    </cfRule>
  </conditionalFormatting>
  <conditionalFormatting sqref="I124">
    <cfRule type="expression" dxfId="1365" priority="1511">
      <formula>AND(H124=0,(I124&gt;0))</formula>
    </cfRule>
    <cfRule type="expression" dxfId="1364" priority="1512">
      <formula>((I124-H124)/H124)&gt;0.05</formula>
    </cfRule>
  </conditionalFormatting>
  <conditionalFormatting sqref="U124">
    <cfRule type="expression" dxfId="1363" priority="1509">
      <formula>AND(T124=0,(U124&gt;0))</formula>
    </cfRule>
    <cfRule type="expression" dxfId="1362" priority="1510">
      <formula>((U124-T124)/T124)&gt;0.05</formula>
    </cfRule>
  </conditionalFormatting>
  <conditionalFormatting sqref="Y124">
    <cfRule type="expression" dxfId="1361" priority="1507">
      <formula>AND(X124=0,(Y124&gt;0))</formula>
    </cfRule>
    <cfRule type="expression" dxfId="1360" priority="1508">
      <formula>((Y124-X124)/X124)&gt;0.05</formula>
    </cfRule>
  </conditionalFormatting>
  <conditionalFormatting sqref="AC124">
    <cfRule type="expression" dxfId="1359" priority="1503">
      <formula>AND(AB124=0,(AC124&gt;0))</formula>
    </cfRule>
    <cfRule type="expression" dxfId="1358" priority="1504">
      <formula>((AC124-AB124)/AB124)&gt;0.05</formula>
    </cfRule>
  </conditionalFormatting>
  <conditionalFormatting sqref="AE124">
    <cfRule type="expression" dxfId="1357" priority="1501">
      <formula>AND(AD124=0,(AE124&gt;0))</formula>
    </cfRule>
    <cfRule type="expression" dxfId="1356" priority="1502">
      <formula>((AE124-AD124)/AD124)&gt;0.05</formula>
    </cfRule>
  </conditionalFormatting>
  <conditionalFormatting sqref="AK124">
    <cfRule type="expression" dxfId="1355" priority="1499">
      <formula>AND(AJ124=0,(AK124&gt;0))</formula>
    </cfRule>
    <cfRule type="expression" dxfId="1354" priority="1500">
      <formula>((AK124-AJ124)/AJ124)&gt;0.05</formula>
    </cfRule>
  </conditionalFormatting>
  <conditionalFormatting sqref="AO124">
    <cfRule type="expression" dxfId="1353" priority="1497">
      <formula>AND(AN124=0,(AO124&gt;0))</formula>
    </cfRule>
    <cfRule type="expression" dxfId="1352" priority="1498">
      <formula>((AO124-AN124)/AN124)&gt;0.05</formula>
    </cfRule>
  </conditionalFormatting>
  <conditionalFormatting sqref="AQ124">
    <cfRule type="expression" dxfId="1351" priority="1495">
      <formula>AND(AP124=0,(AQ124&gt;0))</formula>
    </cfRule>
    <cfRule type="expression" dxfId="1350" priority="1496">
      <formula>((AQ124-AP124)/AP124)&gt;0.05</formula>
    </cfRule>
  </conditionalFormatting>
  <conditionalFormatting sqref="AS124">
    <cfRule type="expression" dxfId="1349" priority="1493">
      <formula>AND(AR124=0,(AS124&gt;0))</formula>
    </cfRule>
    <cfRule type="expression" dxfId="1348" priority="1494">
      <formula>((AS124-AR124)/AR124)&gt;0.05</formula>
    </cfRule>
  </conditionalFormatting>
  <conditionalFormatting sqref="AU124">
    <cfRule type="expression" dxfId="1347" priority="1491">
      <formula>AND(AT124=0,(AU124&gt;0))</formula>
    </cfRule>
    <cfRule type="expression" dxfId="1346" priority="1492">
      <formula>((AU124-AT124)/AT124)&gt;0.05</formula>
    </cfRule>
  </conditionalFormatting>
  <conditionalFormatting sqref="AQ92:AQ119">
    <cfRule type="expression" dxfId="1345" priority="1467">
      <formula>AND(AP92=0,(AQ92&gt;0))</formula>
    </cfRule>
    <cfRule type="expression" dxfId="1344" priority="1468">
      <formula>((AQ92-AP92)/AP92)&gt;0.05</formula>
    </cfRule>
  </conditionalFormatting>
  <conditionalFormatting sqref="AU92:AU119">
    <cfRule type="expression" dxfId="1343" priority="1463">
      <formula>AND(AT92=0,(AU92&gt;0))</formula>
    </cfRule>
    <cfRule type="expression" dxfId="1342" priority="1464">
      <formula>((AU92-AT92)/AT92)&gt;0.05</formula>
    </cfRule>
  </conditionalFormatting>
  <conditionalFormatting sqref="AO92:AO119">
    <cfRule type="expression" dxfId="1341" priority="1469">
      <formula>AND(AN92=0,(AO92&gt;0))</formula>
    </cfRule>
    <cfRule type="expression" dxfId="1340" priority="1470">
      <formula>((AO92-AN92)/AN92)&gt;0.05</formula>
    </cfRule>
  </conditionalFormatting>
  <conditionalFormatting sqref="AS92:AS119">
    <cfRule type="expression" dxfId="1339" priority="1465">
      <formula>AND(AR92=0,(AS92&gt;0))</formula>
    </cfRule>
    <cfRule type="expression" dxfId="1338" priority="1466">
      <formula>((AS92-AR92)/AR92)&gt;0.05</formula>
    </cfRule>
  </conditionalFormatting>
  <conditionalFormatting sqref="O92:O119 I92:I119 M92:M119 K92:K119">
    <cfRule type="expression" dxfId="1337" priority="1461">
      <formula>AND(H92=0,(I92&gt;0))</formula>
    </cfRule>
    <cfRule type="expression" dxfId="1336" priority="1462">
      <formula>((I92-H92)/H92)&gt;0.05</formula>
    </cfRule>
  </conditionalFormatting>
  <conditionalFormatting sqref="U92:U120">
    <cfRule type="expression" dxfId="1335" priority="1459">
      <formula>AND(T92=0,(U92&gt;0))</formula>
    </cfRule>
    <cfRule type="expression" dxfId="1334" priority="1460">
      <formula>((U92-T92)/T92)&gt;0.05</formula>
    </cfRule>
  </conditionalFormatting>
  <conditionalFormatting sqref="Y92:Y119 AA92:AA119 AC92:AC119 AE92:AE119">
    <cfRule type="expression" dxfId="1333" priority="1457">
      <formula>AND(X92=0,(Y92&gt;0))</formula>
    </cfRule>
    <cfRule type="expression" dxfId="1332" priority="1458">
      <formula>((Y92-X92)/X92)&gt;0.05</formula>
    </cfRule>
  </conditionalFormatting>
  <conditionalFormatting sqref="AK92:AK119">
    <cfRule type="expression" dxfId="1331" priority="1455">
      <formula>AND(AJ92=0,(AK92&gt;0))</formula>
    </cfRule>
    <cfRule type="expression" dxfId="1330" priority="1456">
      <formula>((AK92-AJ92)/AJ92)&gt;0.05</formula>
    </cfRule>
  </conditionalFormatting>
  <conditionalFormatting sqref="O375:O423">
    <cfRule type="expression" dxfId="1329" priority="1453">
      <formula>AND(N375=0,(O375&gt;0))</formula>
    </cfRule>
    <cfRule type="expression" dxfId="1328" priority="1454">
      <formula>((O375-N375)/N375)&gt;0.05</formula>
    </cfRule>
  </conditionalFormatting>
  <conditionalFormatting sqref="AE375:AE423">
    <cfRule type="expression" dxfId="1327" priority="1437">
      <formula>AND(AD375=0,(AE375&gt;0))</formula>
    </cfRule>
    <cfRule type="expression" dxfId="1326" priority="1438">
      <formula>((AE375-AD375)/AD375)&gt;0.05</formula>
    </cfRule>
  </conditionalFormatting>
  <conditionalFormatting sqref="Y375:Y423">
    <cfRule type="expression" dxfId="1325" priority="1443">
      <formula>AND(X375=0,(Y375&gt;0))</formula>
    </cfRule>
    <cfRule type="expression" dxfId="1324" priority="1444">
      <formula>((Y375-X375)/X375)&gt;0.05</formula>
    </cfRule>
  </conditionalFormatting>
  <conditionalFormatting sqref="AK375:AK423">
    <cfRule type="expression" dxfId="1323" priority="1435">
      <formula>AND(AJ375=0,(AK375&gt;0))</formula>
    </cfRule>
    <cfRule type="expression" dxfId="1322" priority="1436">
      <formula>((AK375-AJ375)/AJ375)&gt;0.05</formula>
    </cfRule>
  </conditionalFormatting>
  <conditionalFormatting sqref="K375:K423">
    <cfRule type="expression" dxfId="1321" priority="1449">
      <formula>AND(J375=0,(K375&gt;0))</formula>
    </cfRule>
    <cfRule type="expression" dxfId="1320" priority="1450">
      <formula>((K375-J375)/J375)&gt;0.05</formula>
    </cfRule>
  </conditionalFormatting>
  <conditionalFormatting sqref="AQ375:AQ423">
    <cfRule type="expression" dxfId="1319" priority="1431">
      <formula>AND(AP375=0,(AQ375&gt;0))</formula>
    </cfRule>
    <cfRule type="expression" dxfId="1318" priority="1432">
      <formula>((AQ375-AP375)/AP375)&gt;0.05</formula>
    </cfRule>
  </conditionalFormatting>
  <conditionalFormatting sqref="M375:M423">
    <cfRule type="expression" dxfId="1317" priority="1451">
      <formula>AND(L375=0,(M375&gt;0))</formula>
    </cfRule>
    <cfRule type="expression" dxfId="1316" priority="1452">
      <formula>((M375-L375)/L375)&gt;0.05</formula>
    </cfRule>
  </conditionalFormatting>
  <conditionalFormatting sqref="I375:I423">
    <cfRule type="expression" dxfId="1315" priority="1447">
      <formula>AND(H375=0,(I375&gt;0))</formula>
    </cfRule>
    <cfRule type="expression" dxfId="1314" priority="1448">
      <formula>((I375-H375)/H375)&gt;0.05</formula>
    </cfRule>
  </conditionalFormatting>
  <conditionalFormatting sqref="U375:U423">
    <cfRule type="expression" dxfId="1313" priority="1445">
      <formula>AND(T375=0,(U375&gt;0))</formula>
    </cfRule>
    <cfRule type="expression" dxfId="1312" priority="1446">
      <formula>((U375-T375)/T375)&gt;0.05</formula>
    </cfRule>
  </conditionalFormatting>
  <conditionalFormatting sqref="AA375:AA423">
    <cfRule type="expression" dxfId="1311" priority="1441">
      <formula>AND(Z375=0,(AA375&gt;0))</formula>
    </cfRule>
    <cfRule type="expression" dxfId="1310" priority="1442">
      <formula>((AA375-Z375)/Z375)&gt;0.05</formula>
    </cfRule>
  </conditionalFormatting>
  <conditionalFormatting sqref="AC375:AC423">
    <cfRule type="expression" dxfId="1309" priority="1439">
      <formula>AND(AB375=0,(AC375&gt;0))</formula>
    </cfRule>
    <cfRule type="expression" dxfId="1308" priority="1440">
      <formula>((AC375-AB375)/AB375)&gt;0.05</formula>
    </cfRule>
  </conditionalFormatting>
  <conditionalFormatting sqref="AO375:AO423">
    <cfRule type="expression" dxfId="1307" priority="1433">
      <formula>AND(AN375=0,(AO375&gt;0))</formula>
    </cfRule>
    <cfRule type="expression" dxfId="1306" priority="1434">
      <formula>((AO375-AN375)/AN375)&gt;0.05</formula>
    </cfRule>
  </conditionalFormatting>
  <conditionalFormatting sqref="AS375:AS423">
    <cfRule type="expression" dxfId="1305" priority="1429">
      <formula>AND(AR375=0,(AS375&gt;0))</formula>
    </cfRule>
    <cfRule type="expression" dxfId="1304" priority="1430">
      <formula>((AS375-AR375)/AR375)&gt;0.05</formula>
    </cfRule>
  </conditionalFormatting>
  <conditionalFormatting sqref="AU375:AU423">
    <cfRule type="expression" dxfId="1303" priority="1427">
      <formula>AND(AT375=0,(AU375&gt;0))</formula>
    </cfRule>
    <cfRule type="expression" dxfId="1302" priority="1428">
      <formula>((AU375-AT375)/AT375)&gt;0.05</formula>
    </cfRule>
  </conditionalFormatting>
  <conditionalFormatting sqref="I252:I259">
    <cfRule type="expression" dxfId="1301" priority="1425">
      <formula>AND(H252=0,(I252&gt;0))</formula>
    </cfRule>
    <cfRule type="expression" dxfId="1300" priority="1426">
      <formula>((I252-H252)/H252)&gt;0.05</formula>
    </cfRule>
  </conditionalFormatting>
  <conditionalFormatting sqref="Y252:Y259">
    <cfRule type="expression" dxfId="1299" priority="1423">
      <formula>AND(X252=0,(Y252&gt;0))</formula>
    </cfRule>
    <cfRule type="expression" dxfId="1298" priority="1424">
      <formula>((Y252-X252)/X252)&gt;0.05</formula>
    </cfRule>
  </conditionalFormatting>
  <conditionalFormatting sqref="AA252:AA259">
    <cfRule type="expression" dxfId="1297" priority="1421">
      <formula>AND(Z252=0,(AA252&gt;0))</formula>
    </cfRule>
    <cfRule type="expression" dxfId="1296" priority="1422">
      <formula>((AA252-Z252)/Z252)&gt;0.05</formula>
    </cfRule>
  </conditionalFormatting>
  <conditionalFormatting sqref="O252:O259">
    <cfRule type="expression" dxfId="1295" priority="1419">
      <formula>AND(N252=0,(O252&gt;0))</formula>
    </cfRule>
    <cfRule type="expression" dxfId="1294" priority="1420">
      <formula>((O252-N252)/N252)&gt;0.05</formula>
    </cfRule>
  </conditionalFormatting>
  <conditionalFormatting sqref="M252:M259">
    <cfRule type="expression" dxfId="1293" priority="1417">
      <formula>AND(L252=0,(M252&gt;0))</formula>
    </cfRule>
    <cfRule type="expression" dxfId="1292" priority="1418">
      <formula>((M252-L252)/L252)&gt;0.05</formula>
    </cfRule>
  </conditionalFormatting>
  <conditionalFormatting sqref="U252:U259">
    <cfRule type="expression" dxfId="1291" priority="1413">
      <formula>AND(T252=0,(U252&gt;0))</formula>
    </cfRule>
    <cfRule type="expression" dxfId="1290" priority="1414">
      <formula>((U252-T252)/T252)&gt;0.05</formula>
    </cfRule>
  </conditionalFormatting>
  <conditionalFormatting sqref="AC252:AC259">
    <cfRule type="expression" dxfId="1289" priority="1411">
      <formula>AND(AB252=0,(AC252&gt;0))</formula>
    </cfRule>
    <cfRule type="expression" dxfId="1288" priority="1412">
      <formula>((AC252-AB252)/AB252)&gt;0.05</formula>
    </cfRule>
  </conditionalFormatting>
  <conditionalFormatting sqref="AE252:AE259">
    <cfRule type="expression" dxfId="1287" priority="1409">
      <formula>AND(AD252=0,(AE252&gt;0))</formula>
    </cfRule>
    <cfRule type="expression" dxfId="1286" priority="1410">
      <formula>((AE252-AD252)/AD252)&gt;0.05</formula>
    </cfRule>
  </conditionalFormatting>
  <conditionalFormatting sqref="AK252:AK259">
    <cfRule type="expression" dxfId="1285" priority="1407">
      <formula>AND(AJ252=0,(AK252&gt;0))</formula>
    </cfRule>
    <cfRule type="expression" dxfId="1284" priority="1408">
      <formula>((AK252-AJ252)/AJ252)&gt;0.05</formula>
    </cfRule>
  </conditionalFormatting>
  <conditionalFormatting sqref="AO252:AO259">
    <cfRule type="expression" dxfId="1283" priority="1405">
      <formula>AND(AN252=0,(AO252&gt;0))</formula>
    </cfRule>
    <cfRule type="expression" dxfId="1282" priority="1406">
      <formula>((AO252-AN252)/AN252)&gt;0.05</formula>
    </cfRule>
  </conditionalFormatting>
  <conditionalFormatting sqref="AQ252:AQ259">
    <cfRule type="expression" dxfId="1281" priority="1403">
      <formula>AND(AP252=0,(AQ252&gt;0))</formula>
    </cfRule>
    <cfRule type="expression" dxfId="1280" priority="1404">
      <formula>((AQ252-AP252)/AP252)&gt;0.05</formula>
    </cfRule>
  </conditionalFormatting>
  <conditionalFormatting sqref="AS252:AS259">
    <cfRule type="expression" dxfId="1279" priority="1401">
      <formula>AND(AR252=0,(AS252&gt;0))</formula>
    </cfRule>
    <cfRule type="expression" dxfId="1278" priority="1402">
      <formula>((AS252-AR252)/AR252)&gt;0.05</formula>
    </cfRule>
  </conditionalFormatting>
  <conditionalFormatting sqref="AU252:AU259">
    <cfRule type="expression" dxfId="1277" priority="1399">
      <formula>AND(AT252=0,(AU252&gt;0))</formula>
    </cfRule>
    <cfRule type="expression" dxfId="1276" priority="1400">
      <formula>((AU252-AT252)/AT252)&gt;0.05</formula>
    </cfRule>
  </conditionalFormatting>
  <conditionalFormatting sqref="O456 I456 Y456 M456 AA456 K456 U456 AC456 AE456 AK456 AO456 AQ456 AS456 AU456">
    <cfRule type="expression" dxfId="1275" priority="1341">
      <formula>AND(H456=0,(I456&gt;0))</formula>
    </cfRule>
    <cfRule type="expression" dxfId="1274" priority="1342">
      <formula>((I456-H456)/H456)&gt;0.05</formula>
    </cfRule>
  </conditionalFormatting>
  <conditionalFormatting sqref="O457 I457 Y457 M457 AA457 K457 U457 AC457 AE457 AK457 AO457 AQ457 AS457 AU457">
    <cfRule type="expression" dxfId="1273" priority="1339">
      <formula>AND(H457=0,(I457&gt;0))</formula>
    </cfRule>
    <cfRule type="expression" dxfId="1272" priority="1340">
      <formula>((I457-H457)/H457)&gt;0.05</formula>
    </cfRule>
  </conditionalFormatting>
  <conditionalFormatting sqref="O458 I458 Y458 M458 AA458 K458 U458 AC458 AE458 AK458 AO458 AQ458 AS458 AU458">
    <cfRule type="expression" dxfId="1271" priority="1337">
      <formula>AND(H458=0,(I458&gt;0))</formula>
    </cfRule>
    <cfRule type="expression" dxfId="1270" priority="1338">
      <formula>((I458-H458)/H458)&gt;0.05</formula>
    </cfRule>
  </conditionalFormatting>
  <conditionalFormatting sqref="O459 I459 Y459 M459 AA459 K459 U459 AC459 AE459 AK459 AO459 AQ459 AS459 AU459">
    <cfRule type="expression" dxfId="1269" priority="1335">
      <formula>AND(H459=0,(I459&gt;0))</formula>
    </cfRule>
    <cfRule type="expression" dxfId="1268" priority="1336">
      <formula>((I459-H459)/H459)&gt;0.05</formula>
    </cfRule>
  </conditionalFormatting>
  <conditionalFormatting sqref="O460 I460 Y460 M460 AA460 K460 U460 AC460 AE460 AK460 AO460 AQ460 AS460 AU460">
    <cfRule type="expression" dxfId="1267" priority="1333">
      <formula>AND(H460=0,(I460&gt;0))</formula>
    </cfRule>
    <cfRule type="expression" dxfId="1266" priority="1334">
      <formula>((I460-H460)/H460)&gt;0.05</formula>
    </cfRule>
  </conditionalFormatting>
  <conditionalFormatting sqref="O461 I461 Y461 M461 AA461 K461 U461 AC461 AE461 AK461 AO461 AQ461 AS461 AU461">
    <cfRule type="expression" dxfId="1265" priority="1331">
      <formula>AND(H461=0,(I461&gt;0))</formula>
    </cfRule>
    <cfRule type="expression" dxfId="1264" priority="1332">
      <formula>((I461-H461)/H461)&gt;0.05</formula>
    </cfRule>
  </conditionalFormatting>
  <conditionalFormatting sqref="O462 I462 Y462 M462 AA462 K462 U462 AC462 AE462 AK462 AO462 AQ462 AS462 AU462">
    <cfRule type="expression" dxfId="1263" priority="1329">
      <formula>AND(H462=0,(I462&gt;0))</formula>
    </cfRule>
    <cfRule type="expression" dxfId="1262" priority="1330">
      <formula>((I462-H462)/H462)&gt;0.05</formula>
    </cfRule>
  </conditionalFormatting>
  <conditionalFormatting sqref="O463 I463 Y463 M463 AA463 K463 U463 AC463 AE463 AK463 AO463 AQ463 AS463 AU463">
    <cfRule type="expression" dxfId="1261" priority="1327">
      <formula>AND(H463=0,(I463&gt;0))</formula>
    </cfRule>
    <cfRule type="expression" dxfId="1260" priority="1328">
      <formula>((I463-H463)/H463)&gt;0.05</formula>
    </cfRule>
  </conditionalFormatting>
  <conditionalFormatting sqref="O464 I464 Y464 M464 AA464 K464 U464 AC464 AE464 AK464 AO464 AQ464 AS464 AU464">
    <cfRule type="expression" dxfId="1259" priority="1325">
      <formula>AND(H464=0,(I464&gt;0))</formula>
    </cfRule>
    <cfRule type="expression" dxfId="1258" priority="1326">
      <formula>((I464-H464)/H464)&gt;0.05</formula>
    </cfRule>
  </conditionalFormatting>
  <conditionalFormatting sqref="O465 I465 Y465 M465 AA465 K465 U465 AC465 AE465 AK465 AO465 AQ465 AS465 AU465">
    <cfRule type="expression" dxfId="1257" priority="1323">
      <formula>AND(H465=0,(I465&gt;0))</formula>
    </cfRule>
    <cfRule type="expression" dxfId="1256" priority="1324">
      <formula>((I465-H465)/H465)&gt;0.05</formula>
    </cfRule>
  </conditionalFormatting>
  <conditionalFormatting sqref="O466 I466 Y466 M466 AA466 K466 U466 AC466 AE466 AK466 AO466 AQ466 AS466 AU466">
    <cfRule type="expression" dxfId="1255" priority="1321">
      <formula>AND(H466=0,(I466&gt;0))</formula>
    </cfRule>
    <cfRule type="expression" dxfId="1254" priority="1322">
      <formula>((I466-H466)/H466)&gt;0.05</formula>
    </cfRule>
  </conditionalFormatting>
  <conditionalFormatting sqref="O467 I467 Y467 M467 AA467 K467 U467 AC467 AE467 AK467 AO467 AQ467 AS467 AU467">
    <cfRule type="expression" dxfId="1253" priority="1319">
      <formula>AND(H467=0,(I467&gt;0))</formula>
    </cfRule>
    <cfRule type="expression" dxfId="1252" priority="1320">
      <formula>((I467-H467)/H467)&gt;0.05</formula>
    </cfRule>
  </conditionalFormatting>
  <conditionalFormatting sqref="O468 I468 Y468 M468 AA468 K468 U468 AC468 AE468 AK468 AO468 AQ468 AS468 AU468">
    <cfRule type="expression" dxfId="1251" priority="1317">
      <formula>AND(H468=0,(I468&gt;0))</formula>
    </cfRule>
    <cfRule type="expression" dxfId="1250" priority="1318">
      <formula>((I468-H468)/H468)&gt;0.05</formula>
    </cfRule>
  </conditionalFormatting>
  <conditionalFormatting sqref="O469 I469 Y469 M469 AA469 K469 U469 AC469 AE469 AK469 AO469 AQ469 AS469 AU469">
    <cfRule type="expression" dxfId="1249" priority="1315">
      <formula>AND(H469=0,(I469&gt;0))</formula>
    </cfRule>
    <cfRule type="expression" dxfId="1248" priority="1316">
      <formula>((I469-H469)/H469)&gt;0.05</formula>
    </cfRule>
  </conditionalFormatting>
  <conditionalFormatting sqref="O470 I470 Y470 M470 AA470 K470 U470 AC470 AE470 AK470 AO470 AQ470 AS470 AU470">
    <cfRule type="expression" dxfId="1247" priority="1313">
      <formula>AND(H470=0,(I470&gt;0))</formula>
    </cfRule>
    <cfRule type="expression" dxfId="1246" priority="1314">
      <formula>((I470-H470)/H470)&gt;0.05</formula>
    </cfRule>
  </conditionalFormatting>
  <conditionalFormatting sqref="O471 I471 Y471 M471 AA471 K471 U471 AC471 AE471 AK471 AO471 AQ471 AS471 AU471">
    <cfRule type="expression" dxfId="1245" priority="1311">
      <formula>AND(H471=0,(I471&gt;0))</formula>
    </cfRule>
    <cfRule type="expression" dxfId="1244" priority="1312">
      <formula>((I471-H471)/H471)&gt;0.05</formula>
    </cfRule>
  </conditionalFormatting>
  <conditionalFormatting sqref="O472 I472 Y472 M472 AA472 K472 U472 AC472 AE472 AK472 AO472 AQ472 AS472 AU472">
    <cfRule type="expression" dxfId="1243" priority="1309">
      <formula>AND(H472=0,(I472&gt;0))</formula>
    </cfRule>
    <cfRule type="expression" dxfId="1242" priority="1310">
      <formula>((I472-H472)/H472)&gt;0.05</formula>
    </cfRule>
  </conditionalFormatting>
  <conditionalFormatting sqref="O473 I473 Y473 M473 AA473 K473 U473 AC473 AE473 AK473 AO473 AQ473 AS473 AU473">
    <cfRule type="expression" dxfId="1241" priority="1307">
      <formula>AND(H473=0,(I473&gt;0))</formula>
    </cfRule>
    <cfRule type="expression" dxfId="1240" priority="1308">
      <formula>((I473-H473)/H473)&gt;0.05</formula>
    </cfRule>
  </conditionalFormatting>
  <conditionalFormatting sqref="O474 I474 Y474 M474 AA474 K474 U474 AC474 AE474 AK474 AO474 AQ474 AS474 AU474">
    <cfRule type="expression" dxfId="1239" priority="1305">
      <formula>AND(H474=0,(I474&gt;0))</formula>
    </cfRule>
    <cfRule type="expression" dxfId="1238" priority="1306">
      <formula>((I474-H474)/H474)&gt;0.05</formula>
    </cfRule>
  </conditionalFormatting>
  <conditionalFormatting sqref="O475 I475 Y475 M475 AA475 K475 U475 AC475 AE475 AK475 AO475 AQ475 AS475 AU475">
    <cfRule type="expression" dxfId="1237" priority="1303">
      <formula>AND(H475=0,(I475&gt;0))</formula>
    </cfRule>
    <cfRule type="expression" dxfId="1236" priority="1304">
      <formula>((I475-H475)/H475)&gt;0.05</formula>
    </cfRule>
  </conditionalFormatting>
  <conditionalFormatting sqref="O476 I476 Y476 M476 AA476 K476 U476 AC476 AE476 AK476 AO476 AQ476 AS476 AU476">
    <cfRule type="expression" dxfId="1235" priority="1301">
      <formula>AND(H476=0,(I476&gt;0))</formula>
    </cfRule>
    <cfRule type="expression" dxfId="1234" priority="1302">
      <formula>((I476-H476)/H476)&gt;0.05</formula>
    </cfRule>
  </conditionalFormatting>
  <conditionalFormatting sqref="O477 I477 Y477 M477 AA477 K477 U477 AC477 AE477 AK477 AO477 AQ477 AS477 AU477">
    <cfRule type="expression" dxfId="1233" priority="1299">
      <formula>AND(H477=0,(I477&gt;0))</formula>
    </cfRule>
    <cfRule type="expression" dxfId="1232" priority="1300">
      <formula>((I477-H477)/H477)&gt;0.05</formula>
    </cfRule>
  </conditionalFormatting>
  <conditionalFormatting sqref="O478 I478 Y478 M478 AA478 K478 U478 AC478 AE478 AK478 AO478 AQ478 AS478 AU478">
    <cfRule type="expression" dxfId="1231" priority="1297">
      <formula>AND(H478=0,(I478&gt;0))</formula>
    </cfRule>
    <cfRule type="expression" dxfId="1230" priority="1298">
      <formula>((I478-H478)/H478)&gt;0.05</formula>
    </cfRule>
  </conditionalFormatting>
  <conditionalFormatting sqref="O479 I479 Y479 M479 AA479 K479 U479 AC479 AE479 AK479 AO479 AQ479 AS479 AU479">
    <cfRule type="expression" dxfId="1229" priority="1295">
      <formula>AND(H479=0,(I479&gt;0))</formula>
    </cfRule>
    <cfRule type="expression" dxfId="1228" priority="1296">
      <formula>((I479-H479)/H479)&gt;0.05</formula>
    </cfRule>
  </conditionalFormatting>
  <conditionalFormatting sqref="O480 I480 Y480 M480 AA480 K480 U480 AC480 AE480 AK480 AO480 AQ480 AS480 AU480">
    <cfRule type="expression" dxfId="1227" priority="1293">
      <formula>AND(H480=0,(I480&gt;0))</formula>
    </cfRule>
    <cfRule type="expression" dxfId="1226" priority="1294">
      <formula>((I480-H480)/H480)&gt;0.05</formula>
    </cfRule>
  </conditionalFormatting>
  <conditionalFormatting sqref="O481 I481 Y481 M481 AA481 K481 U481 AC481 AE481 AK481 AO481 AQ481 AS481 AU481">
    <cfRule type="expression" dxfId="1225" priority="1291">
      <formula>AND(H481=0,(I481&gt;0))</formula>
    </cfRule>
    <cfRule type="expression" dxfId="1224" priority="1292">
      <formula>((I481-H481)/H481)&gt;0.05</formula>
    </cfRule>
  </conditionalFormatting>
  <conditionalFormatting sqref="O482 I482 Y482 M482 AA482 K482 U482 AC482 AE482 AK482 AO482 AQ482 AS482 AU482">
    <cfRule type="expression" dxfId="1223" priority="1289">
      <formula>AND(H482=0,(I482&gt;0))</formula>
    </cfRule>
    <cfRule type="expression" dxfId="1222" priority="1290">
      <formula>((I482-H482)/H482)&gt;0.05</formula>
    </cfRule>
  </conditionalFormatting>
  <conditionalFormatting sqref="O483 I483 Y483 M483 AA483 K483 U483 AC483 AE483 AK483 AO483 AQ483 AS483 AU483">
    <cfRule type="expression" dxfId="1221" priority="1287">
      <formula>AND(H483=0,(I483&gt;0))</formula>
    </cfRule>
    <cfRule type="expression" dxfId="1220" priority="1288">
      <formula>((I483-H483)/H483)&gt;0.05</formula>
    </cfRule>
  </conditionalFormatting>
  <conditionalFormatting sqref="O484 I484 Y484 M484 AA484 K484 U484 AC484 AE484 AK484 AO484 AQ484 AS484 AU484">
    <cfRule type="expression" dxfId="1219" priority="1285">
      <formula>AND(H484=0,(I484&gt;0))</formula>
    </cfRule>
    <cfRule type="expression" dxfId="1218" priority="1286">
      <formula>((I484-H484)/H484)&gt;0.05</formula>
    </cfRule>
  </conditionalFormatting>
  <conditionalFormatting sqref="O485 I485 Y485 M485 AA485 K485 U485 AC485 AE485 AK485 AO485 AQ485 AS485 AU485">
    <cfRule type="expression" dxfId="1217" priority="1283">
      <formula>AND(H485=0,(I485&gt;0))</formula>
    </cfRule>
    <cfRule type="expression" dxfId="1216" priority="1284">
      <formula>((I485-H485)/H485)&gt;0.05</formula>
    </cfRule>
  </conditionalFormatting>
  <conditionalFormatting sqref="O486 I486 Y486 M486 AA486 K486 U486 AC486 AE486 AK486 AO486 AQ486 AS486 AU486">
    <cfRule type="expression" dxfId="1215" priority="1281">
      <formula>AND(H486=0,(I486&gt;0))</formula>
    </cfRule>
    <cfRule type="expression" dxfId="1214" priority="1282">
      <formula>((I486-H486)/H486)&gt;0.05</formula>
    </cfRule>
  </conditionalFormatting>
  <conditionalFormatting sqref="O487 I487 Y487 M487 AA487 K487 U487 AC487 AE487 AK487 AO487 AQ487 AS487 AU487">
    <cfRule type="expression" dxfId="1213" priority="1279">
      <formula>AND(H487=0,(I487&gt;0))</formula>
    </cfRule>
    <cfRule type="expression" dxfId="1212" priority="1280">
      <formula>((I487-H487)/H487)&gt;0.05</formula>
    </cfRule>
  </conditionalFormatting>
  <conditionalFormatting sqref="O488 I488 Y488 M488 AA488 K488 U488 AC488 AE488 AK488 AO488 AQ488 AS488 AU488">
    <cfRule type="expression" dxfId="1211" priority="1277">
      <formula>AND(H488=0,(I488&gt;0))</formula>
    </cfRule>
    <cfRule type="expression" dxfId="1210" priority="1278">
      <formula>((I488-H488)/H488)&gt;0.05</formula>
    </cfRule>
  </conditionalFormatting>
  <conditionalFormatting sqref="O489 I489 Y489 M489 AA489 K489 U489 AC489 AE489 AK489 AO489 AQ489 AS489 AU489">
    <cfRule type="expression" dxfId="1209" priority="1275">
      <formula>AND(H489=0,(I489&gt;0))</formula>
    </cfRule>
    <cfRule type="expression" dxfId="1208" priority="1276">
      <formula>((I489-H489)/H489)&gt;0.05</formula>
    </cfRule>
  </conditionalFormatting>
  <conditionalFormatting sqref="O490 I490 Y490 M490 AA490 K490 U490 AC490 AE490 AK490 AO490 AQ490 AS490 AU490">
    <cfRule type="expression" dxfId="1207" priority="1273">
      <formula>AND(H490=0,(I490&gt;0))</formula>
    </cfRule>
    <cfRule type="expression" dxfId="1206" priority="1274">
      <formula>((I490-H490)/H490)&gt;0.05</formula>
    </cfRule>
  </conditionalFormatting>
  <conditionalFormatting sqref="O491 I491 Y491 M491 AA491 K491 U491 AC491 AE491 AK491 AO491 AQ491 AS491 AU491">
    <cfRule type="expression" dxfId="1205" priority="1271">
      <formula>AND(H491=0,(I491&gt;0))</formula>
    </cfRule>
    <cfRule type="expression" dxfId="1204" priority="1272">
      <formula>((I491-H491)/H491)&gt;0.05</formula>
    </cfRule>
  </conditionalFormatting>
  <conditionalFormatting sqref="O492 I492 Y492 M492 AA492 K492 U492 AC492 AE492 AK492 AO492 AQ492 AS492 AU492">
    <cfRule type="expression" dxfId="1203" priority="1269">
      <formula>AND(H492=0,(I492&gt;0))</formula>
    </cfRule>
    <cfRule type="expression" dxfId="1202" priority="1270">
      <formula>((I492-H492)/H492)&gt;0.05</formula>
    </cfRule>
  </conditionalFormatting>
  <conditionalFormatting sqref="O493 I493 Y493 M493 AA493 K493 U493 AC493 AE493 AK493 AO493 AQ493 AS493 AU493">
    <cfRule type="expression" dxfId="1201" priority="1267">
      <formula>AND(H493=0,(I493&gt;0))</formula>
    </cfRule>
    <cfRule type="expression" dxfId="1200" priority="1268">
      <formula>((I493-H493)/H493)&gt;0.05</formula>
    </cfRule>
  </conditionalFormatting>
  <conditionalFormatting sqref="O494 I494 Y494 M494 AA494 K494 U494 AC494 AE494 AK494 AO494 AQ494 AS494 AU494">
    <cfRule type="expression" dxfId="1199" priority="1265">
      <formula>AND(H494=0,(I494&gt;0))</formula>
    </cfRule>
    <cfRule type="expression" dxfId="1198" priority="1266">
      <formula>((I494-H494)/H494)&gt;0.05</formula>
    </cfRule>
  </conditionalFormatting>
  <conditionalFormatting sqref="O495 I495 Y495 M495 AA495 K495 U495 AC495 AE495 AK495 AO495 AQ495 AS495 AU495">
    <cfRule type="expression" dxfId="1197" priority="1263">
      <formula>AND(H495=0,(I495&gt;0))</formula>
    </cfRule>
    <cfRule type="expression" dxfId="1196" priority="1264">
      <formula>((I495-H495)/H495)&gt;0.05</formula>
    </cfRule>
  </conditionalFormatting>
  <conditionalFormatting sqref="O496 I496 Y496 M496 AA496 K496 U496 AC496 AE496 AK496 AO496 AQ496 AS496 AU496">
    <cfRule type="expression" dxfId="1195" priority="1261">
      <formula>AND(H496=0,(I496&gt;0))</formula>
    </cfRule>
    <cfRule type="expression" dxfId="1194" priority="1262">
      <formula>((I496-H496)/H496)&gt;0.05</formula>
    </cfRule>
  </conditionalFormatting>
  <conditionalFormatting sqref="O497 I497 Y497 M497 AA497 K497 U497 AC497 AE497 AK497 AO497 AQ497 AS497 AU497">
    <cfRule type="expression" dxfId="1193" priority="1259">
      <formula>AND(H497=0,(I497&gt;0))</formula>
    </cfRule>
    <cfRule type="expression" dxfId="1192" priority="1260">
      <formula>((I497-H497)/H497)&gt;0.05</formula>
    </cfRule>
  </conditionalFormatting>
  <conditionalFormatting sqref="O498 I498 Y498 M498 AA498 K498 U498 AC498 AE498 AK498 AO498 AQ498 AS498 AU498">
    <cfRule type="expression" dxfId="1191" priority="1257">
      <formula>AND(H498=0,(I498&gt;0))</formula>
    </cfRule>
    <cfRule type="expression" dxfId="1190" priority="1258">
      <formula>((I498-H498)/H498)&gt;0.05</formula>
    </cfRule>
  </conditionalFormatting>
  <conditionalFormatting sqref="O499 I499 Y499 M499 AA499 K499 U499 AC499 AE499 AK499 AO499 AQ499 AS499 AU499">
    <cfRule type="expression" dxfId="1189" priority="1255">
      <formula>AND(H499=0,(I499&gt;0))</formula>
    </cfRule>
    <cfRule type="expression" dxfId="1188" priority="1256">
      <formula>((I499-H499)/H499)&gt;0.05</formula>
    </cfRule>
  </conditionalFormatting>
  <conditionalFormatting sqref="O500 I500 Y500 M500 AA500 K500 U500 AC500 AE500 AK500 AO500 AQ500 AS500 AU500">
    <cfRule type="expression" dxfId="1187" priority="1253">
      <formula>AND(H500=0,(I500&gt;0))</formula>
    </cfRule>
    <cfRule type="expression" dxfId="1186" priority="1254">
      <formula>((I500-H500)/H500)&gt;0.05</formula>
    </cfRule>
  </conditionalFormatting>
  <conditionalFormatting sqref="O501 I501 Y501 M501 AA501 K501 U501 AC501 AE501 AK501 AO501 AQ501 AS501 AU501">
    <cfRule type="expression" dxfId="1185" priority="1251">
      <formula>AND(H501=0,(I501&gt;0))</formula>
    </cfRule>
    <cfRule type="expression" dxfId="1184" priority="1252">
      <formula>((I501-H501)/H501)&gt;0.05</formula>
    </cfRule>
  </conditionalFormatting>
  <conditionalFormatting sqref="O502 I502 Y502 M502 AA502 K502 U502 AC502 AE502 AK502 AO502 AQ502 AS502 AU502">
    <cfRule type="expression" dxfId="1183" priority="1249">
      <formula>AND(H502=0,(I502&gt;0))</formula>
    </cfRule>
    <cfRule type="expression" dxfId="1182" priority="1250">
      <formula>((I502-H502)/H502)&gt;0.05</formula>
    </cfRule>
  </conditionalFormatting>
  <conditionalFormatting sqref="O503 I503 Y503 M503 AA503 K503 U503 AC503 AE503 AK503 AO503 AQ503 AS503 AU503">
    <cfRule type="expression" dxfId="1181" priority="1247">
      <formula>AND(H503=0,(I503&gt;0))</formula>
    </cfRule>
    <cfRule type="expression" dxfId="1180" priority="1248">
      <formula>((I503-H503)/H503)&gt;0.05</formula>
    </cfRule>
  </conditionalFormatting>
  <conditionalFormatting sqref="O504 I504 Y504 M504 AA504 K504 U504 AC504 AE504 AK504 AO504 AQ504 AS504 AU504">
    <cfRule type="expression" dxfId="1179" priority="1245">
      <formula>AND(H504=0,(I504&gt;0))</formula>
    </cfRule>
    <cfRule type="expression" dxfId="1178" priority="1246">
      <formula>((I504-H504)/H504)&gt;0.05</formula>
    </cfRule>
  </conditionalFormatting>
  <conditionalFormatting sqref="O275:O282">
    <cfRule type="expression" dxfId="1177" priority="1243">
      <formula>AND(N275=0,(O275&gt;0))</formula>
    </cfRule>
    <cfRule type="expression" dxfId="1176" priority="1244">
      <formula>((O275-N275)/N275)&gt;0.05</formula>
    </cfRule>
  </conditionalFormatting>
  <conditionalFormatting sqref="O283:O289">
    <cfRule type="expression" dxfId="1175" priority="1241">
      <formula>AND(N283=0,(O283&gt;0))</formula>
    </cfRule>
    <cfRule type="expression" dxfId="1174" priority="1242">
      <formula>((O283-N283)/N283)&gt;0.05</formula>
    </cfRule>
  </conditionalFormatting>
  <conditionalFormatting sqref="M283:M289">
    <cfRule type="expression" dxfId="1173" priority="1237">
      <formula>AND(L283=0,(M283&gt;0))</formula>
    </cfRule>
    <cfRule type="expression" dxfId="1172" priority="1238">
      <formula>((M283-L283)/L283)&gt;0.05</formula>
    </cfRule>
  </conditionalFormatting>
  <conditionalFormatting sqref="M275:M282">
    <cfRule type="expression" dxfId="1171" priority="1239">
      <formula>AND(L275=0,(M275&gt;0))</formula>
    </cfRule>
    <cfRule type="expression" dxfId="1170" priority="1240">
      <formula>((M275-L275)/L275)&gt;0.05</formula>
    </cfRule>
  </conditionalFormatting>
  <conditionalFormatting sqref="AA275:AA282">
    <cfRule type="expression" dxfId="1169" priority="1219">
      <formula>AND(Z275=0,(AA275&gt;0))</formula>
    </cfRule>
    <cfRule type="expression" dxfId="1168" priority="1220">
      <formula>((AA275-Z275)/Z275)&gt;0.05</formula>
    </cfRule>
  </conditionalFormatting>
  <conditionalFormatting sqref="AC283:AC289">
    <cfRule type="expression" dxfId="1167" priority="1213">
      <formula>AND(AB283=0,(AC283&gt;0))</formula>
    </cfRule>
    <cfRule type="expression" dxfId="1166" priority="1214">
      <formula>((AC283-AB283)/AB283)&gt;0.05</formula>
    </cfRule>
  </conditionalFormatting>
  <conditionalFormatting sqref="AA283:AA289">
    <cfRule type="expression" dxfId="1165" priority="1217">
      <formula>AND(Z283=0,(AA283&gt;0))</formula>
    </cfRule>
    <cfRule type="expression" dxfId="1164" priority="1218">
      <formula>((AA283-Z283)/Z283)&gt;0.05</formula>
    </cfRule>
  </conditionalFormatting>
  <conditionalFormatting sqref="AQ283:AQ289">
    <cfRule type="expression" dxfId="1163" priority="1197">
      <formula>AND(AP283=0,(AQ283&gt;0))</formula>
    </cfRule>
    <cfRule type="expression" dxfId="1162" priority="1198">
      <formula>((AQ283-AP283)/AP283)&gt;0.05</formula>
    </cfRule>
  </conditionalFormatting>
  <conditionalFormatting sqref="I275:I282">
    <cfRule type="expression" dxfId="1161" priority="1231">
      <formula>AND(H275=0,(I275&gt;0))</formula>
    </cfRule>
    <cfRule type="expression" dxfId="1160" priority="1232">
      <formula>((I275-H275)/H275)&gt;0.05</formula>
    </cfRule>
  </conditionalFormatting>
  <conditionalFormatting sqref="I283:I289">
    <cfRule type="expression" dxfId="1159" priority="1229">
      <formula>AND(H283=0,(I283&gt;0))</formula>
    </cfRule>
    <cfRule type="expression" dxfId="1158" priority="1230">
      <formula>((I283-H283)/H283)&gt;0.05</formula>
    </cfRule>
  </conditionalFormatting>
  <conditionalFormatting sqref="U275:U282">
    <cfRule type="expression" dxfId="1157" priority="1227">
      <formula>AND(T275=0,(U275&gt;0))</formula>
    </cfRule>
    <cfRule type="expression" dxfId="1156" priority="1228">
      <formula>((U275-T275)/T275)&gt;0.05</formula>
    </cfRule>
  </conditionalFormatting>
  <conditionalFormatting sqref="U283:U289">
    <cfRule type="expression" dxfId="1155" priority="1225">
      <formula>AND(T283=0,(U283&gt;0))</formula>
    </cfRule>
    <cfRule type="expression" dxfId="1154" priority="1226">
      <formula>((U283-T283)/T283)&gt;0.05</formula>
    </cfRule>
  </conditionalFormatting>
  <conditionalFormatting sqref="Y275:Y282">
    <cfRule type="expression" dxfId="1153" priority="1223">
      <formula>AND(X275=0,(Y275&gt;0))</formula>
    </cfRule>
    <cfRule type="expression" dxfId="1152" priority="1224">
      <formula>((Y275-X275)/X275)&gt;0.05</formula>
    </cfRule>
  </conditionalFormatting>
  <conditionalFormatting sqref="Y283:Y289">
    <cfRule type="expression" dxfId="1151" priority="1221">
      <formula>AND(X283=0,(Y283&gt;0))</formula>
    </cfRule>
    <cfRule type="expression" dxfId="1150" priority="1222">
      <formula>((Y283-X283)/X283)&gt;0.05</formula>
    </cfRule>
  </conditionalFormatting>
  <conditionalFormatting sqref="AC275:AC282">
    <cfRule type="expression" dxfId="1149" priority="1215">
      <formula>AND(AB275=0,(AC275&gt;0))</formula>
    </cfRule>
    <cfRule type="expression" dxfId="1148" priority="1216">
      <formula>((AC275-AB275)/AB275)&gt;0.05</formula>
    </cfRule>
  </conditionalFormatting>
  <conditionalFormatting sqref="AE275:AE282">
    <cfRule type="expression" dxfId="1147" priority="1211">
      <formula>AND(AD275=0,(AE275&gt;0))</formula>
    </cfRule>
    <cfRule type="expression" dxfId="1146" priority="1212">
      <formula>((AE275-AD275)/AD275)&gt;0.05</formula>
    </cfRule>
  </conditionalFormatting>
  <conditionalFormatting sqref="AE283:AE289">
    <cfRule type="expression" dxfId="1145" priority="1209">
      <formula>AND(AD283=0,(AE283&gt;0))</formula>
    </cfRule>
    <cfRule type="expression" dxfId="1144" priority="1210">
      <formula>((AE283-AD283)/AD283)&gt;0.05</formula>
    </cfRule>
  </conditionalFormatting>
  <conditionalFormatting sqref="AK275:AK282">
    <cfRule type="expression" dxfId="1143" priority="1207">
      <formula>AND(AJ275=0,(AK275&gt;0))</formula>
    </cfRule>
    <cfRule type="expression" dxfId="1142" priority="1208">
      <formula>((AK275-AJ275)/AJ275)&gt;0.05</formula>
    </cfRule>
  </conditionalFormatting>
  <conditionalFormatting sqref="AK283:AK289">
    <cfRule type="expression" dxfId="1141" priority="1205">
      <formula>AND(AJ283=0,(AK283&gt;0))</formula>
    </cfRule>
    <cfRule type="expression" dxfId="1140" priority="1206">
      <formula>((AK283-AJ283)/AJ283)&gt;0.05</formula>
    </cfRule>
  </conditionalFormatting>
  <conditionalFormatting sqref="AO275:AO282">
    <cfRule type="expression" dxfId="1139" priority="1203">
      <formula>AND(AN275=0,(AO275&gt;0))</formula>
    </cfRule>
    <cfRule type="expression" dxfId="1138" priority="1204">
      <formula>((AO275-AN275)/AN275)&gt;0.05</formula>
    </cfRule>
  </conditionalFormatting>
  <conditionalFormatting sqref="AO283:AO289">
    <cfRule type="expression" dxfId="1137" priority="1201">
      <formula>AND(AN283=0,(AO283&gt;0))</formula>
    </cfRule>
    <cfRule type="expression" dxfId="1136" priority="1202">
      <formula>((AO283-AN283)/AN283)&gt;0.05</formula>
    </cfRule>
  </conditionalFormatting>
  <conditionalFormatting sqref="AQ275:AQ282">
    <cfRule type="expression" dxfId="1135" priority="1199">
      <formula>AND(AP275=0,(AQ275&gt;0))</formula>
    </cfRule>
    <cfRule type="expression" dxfId="1134" priority="1200">
      <formula>((AQ275-AP275)/AP275)&gt;0.05</formula>
    </cfRule>
  </conditionalFormatting>
  <conditionalFormatting sqref="AS275:AS282">
    <cfRule type="expression" dxfId="1133" priority="1195">
      <formula>AND(AR275=0,(AS275&gt;0))</formula>
    </cfRule>
    <cfRule type="expression" dxfId="1132" priority="1196">
      <formula>((AS275-AR275)/AR275)&gt;0.05</formula>
    </cfRule>
  </conditionalFormatting>
  <conditionalFormatting sqref="AS283:AS289">
    <cfRule type="expression" dxfId="1131" priority="1193">
      <formula>AND(AR283=0,(AS283&gt;0))</formula>
    </cfRule>
    <cfRule type="expression" dxfId="1130" priority="1194">
      <formula>((AS283-AR283)/AR283)&gt;0.05</formula>
    </cfRule>
  </conditionalFormatting>
  <conditionalFormatting sqref="AU275:AU282">
    <cfRule type="expression" dxfId="1129" priority="1191">
      <formula>AND(AT275=0,(AU275&gt;0))</formula>
    </cfRule>
    <cfRule type="expression" dxfId="1128" priority="1192">
      <formula>((AU275-AT275)/AT275)&gt;0.05</formula>
    </cfRule>
  </conditionalFormatting>
  <conditionalFormatting sqref="AU283:AU289">
    <cfRule type="expression" dxfId="1127" priority="1189">
      <formula>AND(AT283=0,(AU283&gt;0))</formula>
    </cfRule>
    <cfRule type="expression" dxfId="1126" priority="1190">
      <formula>((AU283-AT283)/AT283)&gt;0.05</formula>
    </cfRule>
  </conditionalFormatting>
  <conditionalFormatting sqref="O34:O45">
    <cfRule type="expression" dxfId="1125" priority="1187">
      <formula>AND(N34=0,(O34&gt;0))</formula>
    </cfRule>
    <cfRule type="expression" dxfId="1124" priority="1188">
      <formula>((O34-N34)/N34)&gt;0.05</formula>
    </cfRule>
  </conditionalFormatting>
  <conditionalFormatting sqref="O7:O16 O18:O33">
    <cfRule type="expression" dxfId="1123" priority="1185">
      <formula>AND(N7=0,(O7&gt;0))</formula>
    </cfRule>
    <cfRule type="expression" dxfId="1122" priority="1186">
      <formula>((O7-N7)/N7)&gt;0.05</formula>
    </cfRule>
  </conditionalFormatting>
  <conditionalFormatting sqref="I34:I45">
    <cfRule type="expression" dxfId="1121" priority="1175">
      <formula>AND(H34=0,(I34&gt;0))</formula>
    </cfRule>
    <cfRule type="expression" dxfId="1120" priority="1176">
      <formula>((I34-H34)/H34)&gt;0.05</formula>
    </cfRule>
  </conditionalFormatting>
  <conditionalFormatting sqref="I7:I33">
    <cfRule type="expression" dxfId="1119" priority="1173">
      <formula>AND(H7=0,(I7&gt;0))</formula>
    </cfRule>
    <cfRule type="expression" dxfId="1118" priority="1174">
      <formula>((I7-H7)/H7)&gt;0.05</formula>
    </cfRule>
  </conditionalFormatting>
  <conditionalFormatting sqref="Y7:Y33">
    <cfRule type="expression" dxfId="1117" priority="1165">
      <formula>AND(X7=0,(Y7&gt;0))</formula>
    </cfRule>
    <cfRule type="expression" dxfId="1116" priority="1166">
      <formula>((Y7-X7)/X7)&gt;0.05</formula>
    </cfRule>
  </conditionalFormatting>
  <conditionalFormatting sqref="M7:M33">
    <cfRule type="expression" dxfId="1115" priority="1181">
      <formula>AND(L7=0,(M7&gt;0))</formula>
    </cfRule>
    <cfRule type="expression" dxfId="1114" priority="1182">
      <formula>((M7-L7)/L7)&gt;0.05</formula>
    </cfRule>
  </conditionalFormatting>
  <conditionalFormatting sqref="Y34:Y45">
    <cfRule type="expression" dxfId="1113" priority="1167">
      <formula>AND(X34=0,(Y34&gt;0))</formula>
    </cfRule>
    <cfRule type="expression" dxfId="1112" priority="1168">
      <formula>((Y34-X34)/X34)&gt;0.05</formula>
    </cfRule>
  </conditionalFormatting>
  <conditionalFormatting sqref="AE34:AE45">
    <cfRule type="expression" dxfId="1111" priority="1155">
      <formula>AND(AD34=0,(AE34&gt;0))</formula>
    </cfRule>
    <cfRule type="expression" dxfId="1110" priority="1156">
      <formula>((AE34-AD34)/AD34)&gt;0.05</formula>
    </cfRule>
  </conditionalFormatting>
  <conditionalFormatting sqref="AA7:AA33">
    <cfRule type="expression" dxfId="1109" priority="1161">
      <formula>AND(Z7=0,(AA7&gt;0))</formula>
    </cfRule>
    <cfRule type="expression" dxfId="1108" priority="1162">
      <formula>((AA7-Z7)/Z7)&gt;0.05</formula>
    </cfRule>
  </conditionalFormatting>
  <conditionalFormatting sqref="AO34:AO45">
    <cfRule type="expression" dxfId="1107" priority="1147">
      <formula>AND(AN34=0,(AO34&gt;0))</formula>
    </cfRule>
    <cfRule type="expression" dxfId="1106" priority="1148">
      <formula>((AO34-AN34)/AN34)&gt;0.05</formula>
    </cfRule>
  </conditionalFormatting>
  <conditionalFormatting sqref="K7:K33">
    <cfRule type="expression" dxfId="1105" priority="1177">
      <formula>AND(J7=0,(K7&gt;0))</formula>
    </cfRule>
    <cfRule type="expression" dxfId="1104" priority="1178">
      <formula>((K7-J7)/J7)&gt;0.05</formula>
    </cfRule>
  </conditionalFormatting>
  <conditionalFormatting sqref="U7 U9:U33">
    <cfRule type="expression" dxfId="1103" priority="1169">
      <formula>AND(T7=0,(U7&gt;0))</formula>
    </cfRule>
    <cfRule type="expression" dxfId="1102" priority="1170">
      <formula>((U7-T7)/T7)&gt;0.05</formula>
    </cfRule>
  </conditionalFormatting>
  <conditionalFormatting sqref="AS34:AS45">
    <cfRule type="expression" dxfId="1101" priority="1139">
      <formula>AND(AR34=0,(AS34&gt;0))</formula>
    </cfRule>
    <cfRule type="expression" dxfId="1100" priority="1140">
      <formula>((AS34-AR34)/AR34)&gt;0.05</formula>
    </cfRule>
  </conditionalFormatting>
  <conditionalFormatting sqref="M34:M45">
    <cfRule type="expression" dxfId="1099" priority="1183">
      <formula>AND(L34=0,(M34&gt;0))</formula>
    </cfRule>
    <cfRule type="expression" dxfId="1098" priority="1184">
      <formula>((M34-L34)/L34)&gt;0.05</formula>
    </cfRule>
  </conditionalFormatting>
  <conditionalFormatting sqref="K34:K45">
    <cfRule type="expression" dxfId="1097" priority="1179">
      <formula>AND(J34=0,(K34&gt;0))</formula>
    </cfRule>
    <cfRule type="expression" dxfId="1096" priority="1180">
      <formula>((K34-J34)/J34)&gt;0.05</formula>
    </cfRule>
  </conditionalFormatting>
  <conditionalFormatting sqref="U34:U45">
    <cfRule type="expression" dxfId="1095" priority="1171">
      <formula>AND(T34=0,(U34&gt;0))</formula>
    </cfRule>
    <cfRule type="expression" dxfId="1094" priority="1172">
      <formula>((U34-T34)/T34)&gt;0.05</formula>
    </cfRule>
  </conditionalFormatting>
  <conditionalFormatting sqref="AA34:AA45">
    <cfRule type="expression" dxfId="1093" priority="1163">
      <formula>AND(Z34=0,(AA34&gt;0))</formula>
    </cfRule>
    <cfRule type="expression" dxfId="1092" priority="1164">
      <formula>((AA34-Z34)/Z34)&gt;0.05</formula>
    </cfRule>
  </conditionalFormatting>
  <conditionalFormatting sqref="AC34:AC45">
    <cfRule type="expression" dxfId="1091" priority="1159">
      <formula>AND(AB34=0,(AC34&gt;0))</formula>
    </cfRule>
    <cfRule type="expression" dxfId="1090" priority="1160">
      <formula>((AC34-AB34)/AB34)&gt;0.05</formula>
    </cfRule>
  </conditionalFormatting>
  <conditionalFormatting sqref="AC7:AC33">
    <cfRule type="expression" dxfId="1089" priority="1157">
      <formula>AND(AB7=0,(AC7&gt;0))</formula>
    </cfRule>
    <cfRule type="expression" dxfId="1088" priority="1158">
      <formula>((AC7-AB7)/AB7)&gt;0.05</formula>
    </cfRule>
  </conditionalFormatting>
  <conditionalFormatting sqref="AE7:AE33">
    <cfRule type="expression" dxfId="1087" priority="1153">
      <formula>AND(AD7=0,(AE7&gt;0))</formula>
    </cfRule>
    <cfRule type="expression" dxfId="1086" priority="1154">
      <formula>((AE7-AD7)/AD7)&gt;0.05</formula>
    </cfRule>
  </conditionalFormatting>
  <conditionalFormatting sqref="AK34:AK45">
    <cfRule type="expression" dxfId="1085" priority="1151">
      <formula>AND(AJ34=0,(AK34&gt;0))</formula>
    </cfRule>
    <cfRule type="expression" dxfId="1084" priority="1152">
      <formula>((AK34-AJ34)/AJ34)&gt;0.05</formula>
    </cfRule>
  </conditionalFormatting>
  <conditionalFormatting sqref="AK7:AK33">
    <cfRule type="expression" dxfId="1083" priority="1149">
      <formula>AND(AJ7=0,(AK7&gt;0))</formula>
    </cfRule>
    <cfRule type="expression" dxfId="1082" priority="1150">
      <formula>((AK7-AJ7)/AJ7)&gt;0.05</formula>
    </cfRule>
  </conditionalFormatting>
  <conditionalFormatting sqref="AO7:AO33">
    <cfRule type="expression" dxfId="1081" priority="1145">
      <formula>AND(AN7=0,(AO7&gt;0))</formula>
    </cfRule>
    <cfRule type="expression" dxfId="1080" priority="1146">
      <formula>((AO7-AN7)/AN7)&gt;0.05</formula>
    </cfRule>
  </conditionalFormatting>
  <conditionalFormatting sqref="AQ34:AQ45">
    <cfRule type="expression" dxfId="1079" priority="1143">
      <formula>AND(AP34=0,(AQ34&gt;0))</formula>
    </cfRule>
    <cfRule type="expression" dxfId="1078" priority="1144">
      <formula>((AQ34-AP34)/AP34)&gt;0.05</formula>
    </cfRule>
  </conditionalFormatting>
  <conditionalFormatting sqref="AQ7:AQ33">
    <cfRule type="expression" dxfId="1077" priority="1141">
      <formula>AND(AP7=0,(AQ7&gt;0))</formula>
    </cfRule>
    <cfRule type="expression" dxfId="1076" priority="1142">
      <formula>((AQ7-AP7)/AP7)&gt;0.05</formula>
    </cfRule>
  </conditionalFormatting>
  <conditionalFormatting sqref="AS7:AS33">
    <cfRule type="expression" dxfId="1075" priority="1137">
      <formula>AND(AR7=0,(AS7&gt;0))</formula>
    </cfRule>
    <cfRule type="expression" dxfId="1074" priority="1138">
      <formula>((AS7-AR7)/AR7)&gt;0.05</formula>
    </cfRule>
  </conditionalFormatting>
  <conditionalFormatting sqref="AU34:AU45">
    <cfRule type="expression" dxfId="1073" priority="1135">
      <formula>AND(AT34=0,(AU34&gt;0))</formula>
    </cfRule>
    <cfRule type="expression" dxfId="1072" priority="1136">
      <formula>((AU34-AT34)/AT34)&gt;0.05</formula>
    </cfRule>
  </conditionalFormatting>
  <conditionalFormatting sqref="AU7:AU16 AU18:AU33">
    <cfRule type="expression" dxfId="1071" priority="1133">
      <formula>AND(AT7=0,(AU7&gt;0))</formula>
    </cfRule>
    <cfRule type="expression" dxfId="1070" priority="1134">
      <formula>((AU7-AT7)/AT7)&gt;0.05</formula>
    </cfRule>
  </conditionalFormatting>
  <conditionalFormatting sqref="U8">
    <cfRule type="expression" dxfId="1069" priority="1131">
      <formula>AND(T8=0,(U8&gt;0))</formula>
    </cfRule>
    <cfRule type="expression" dxfId="1068" priority="1132">
      <formula>((U8-T8)/T8)&gt;0.05</formula>
    </cfRule>
  </conditionalFormatting>
  <conditionalFormatting sqref="O17">
    <cfRule type="expression" dxfId="1067" priority="1129">
      <formula>AND(N17=0,(O17&gt;0))</formula>
    </cfRule>
    <cfRule type="expression" dxfId="1066" priority="1130">
      <formula>((O17-N17)/N17)&gt;0.05</formula>
    </cfRule>
  </conditionalFormatting>
  <conditionalFormatting sqref="AU17">
    <cfRule type="expression" dxfId="1065" priority="1127">
      <formula>AND(AT17=0,(AU17&gt;0))</formula>
    </cfRule>
    <cfRule type="expression" dxfId="1064" priority="1128">
      <formula>((AU17-AT17)/AT17)&gt;0.05</formula>
    </cfRule>
  </conditionalFormatting>
  <conditionalFormatting sqref="O172:O194">
    <cfRule type="expression" dxfId="1063" priority="1125">
      <formula>AND(N172=0,(O172&gt;0))</formula>
    </cfRule>
    <cfRule type="expression" dxfId="1062" priority="1126">
      <formula>((O172-N172)/N172)&gt;0.05</formula>
    </cfRule>
  </conditionalFormatting>
  <conditionalFormatting sqref="O195">
    <cfRule type="expression" dxfId="1061" priority="1123">
      <formula>AND(N195=0,(O195&gt;0))</formula>
    </cfRule>
    <cfRule type="expression" dxfId="1060" priority="1124">
      <formula>((O195-N195)/N195)&gt;0.05</formula>
    </cfRule>
  </conditionalFormatting>
  <conditionalFormatting sqref="I195">
    <cfRule type="expression" dxfId="1059" priority="1111">
      <formula>AND(H195=0,(I195&gt;0))</formula>
    </cfRule>
    <cfRule type="expression" dxfId="1058" priority="1112">
      <formula>((I195-H195)/H195)&gt;0.05</formula>
    </cfRule>
  </conditionalFormatting>
  <conditionalFormatting sqref="I172:I194">
    <cfRule type="expression" dxfId="1057" priority="1113">
      <formula>AND(H172=0,(I172&gt;0))</formula>
    </cfRule>
    <cfRule type="expression" dxfId="1056" priority="1114">
      <formula>((I172-H172)/H172)&gt;0.05</formula>
    </cfRule>
  </conditionalFormatting>
  <conditionalFormatting sqref="U195">
    <cfRule type="expression" dxfId="1055" priority="1107">
      <formula>AND(T195=0,(U195&gt;0))</formula>
    </cfRule>
    <cfRule type="expression" dxfId="1054" priority="1108">
      <formula>((U195-T195)/T195)&gt;0.05</formula>
    </cfRule>
  </conditionalFormatting>
  <conditionalFormatting sqref="M172:M194">
    <cfRule type="expression" dxfId="1053" priority="1121">
      <formula>AND(L172=0,(M172&gt;0))</formula>
    </cfRule>
    <cfRule type="expression" dxfId="1052" priority="1122">
      <formula>((M172-L172)/L172)&gt;0.05</formula>
    </cfRule>
  </conditionalFormatting>
  <conditionalFormatting sqref="M195">
    <cfRule type="expression" dxfId="1051" priority="1119">
      <formula>AND(L195=0,(M195&gt;0))</formula>
    </cfRule>
    <cfRule type="expression" dxfId="1050" priority="1120">
      <formula>((M195-L195)/L195)&gt;0.05</formula>
    </cfRule>
  </conditionalFormatting>
  <conditionalFormatting sqref="AC172:AC194">
    <cfRule type="expression" dxfId="1049" priority="1097">
      <formula>AND(AB172=0,(AC172&gt;0))</formula>
    </cfRule>
    <cfRule type="expression" dxfId="1048" priority="1098">
      <formula>((AC172-AB172)/AB172)&gt;0.05</formula>
    </cfRule>
  </conditionalFormatting>
  <conditionalFormatting sqref="AC195">
    <cfRule type="expression" dxfId="1047" priority="1095">
      <formula>AND(AB195=0,(AC195&gt;0))</formula>
    </cfRule>
    <cfRule type="expression" dxfId="1046" priority="1096">
      <formula>((AC195-AB195)/AB195)&gt;0.05</formula>
    </cfRule>
  </conditionalFormatting>
  <conditionalFormatting sqref="AA195">
    <cfRule type="expression" dxfId="1045" priority="1099">
      <formula>AND(Z195=0,(AA195&gt;0))</formula>
    </cfRule>
    <cfRule type="expression" dxfId="1044" priority="1100">
      <formula>((AA195-Z195)/Z195)&gt;0.05</formula>
    </cfRule>
  </conditionalFormatting>
  <conditionalFormatting sqref="AA172:AA194">
    <cfRule type="expression" dxfId="1043" priority="1101">
      <formula>AND(Z172=0,(AA172&gt;0))</formula>
    </cfRule>
    <cfRule type="expression" dxfId="1042" priority="1102">
      <formula>((AA172-Z172)/Z172)&gt;0.05</formula>
    </cfRule>
  </conditionalFormatting>
  <conditionalFormatting sqref="AK172:AK194">
    <cfRule type="expression" dxfId="1041" priority="1089">
      <formula>AND(AJ172=0,(AK172&gt;0))</formula>
    </cfRule>
    <cfRule type="expression" dxfId="1040" priority="1090">
      <formula>((AK172-AJ172)/AJ172)&gt;0.05</formula>
    </cfRule>
  </conditionalFormatting>
  <conditionalFormatting sqref="AK195">
    <cfRule type="expression" dxfId="1039" priority="1087">
      <formula>AND(AJ195=0,(AK195&gt;0))</formula>
    </cfRule>
    <cfRule type="expression" dxfId="1038" priority="1088">
      <formula>((AK195-AJ195)/AJ195)&gt;0.05</formula>
    </cfRule>
  </conditionalFormatting>
  <conditionalFormatting sqref="AE195">
    <cfRule type="expression" dxfId="1037" priority="1091">
      <formula>AND(AD195=0,(AE195&gt;0))</formula>
    </cfRule>
    <cfRule type="expression" dxfId="1036" priority="1092">
      <formula>((AE195-AD195)/AD195)&gt;0.05</formula>
    </cfRule>
  </conditionalFormatting>
  <conditionalFormatting sqref="AQ195">
    <cfRule type="expression" dxfId="1035" priority="1079">
      <formula>AND(AP195=0,(AQ195&gt;0))</formula>
    </cfRule>
    <cfRule type="expression" dxfId="1034" priority="1080">
      <formula>((AQ195-AP195)/AP195)&gt;0.05</formula>
    </cfRule>
  </conditionalFormatting>
  <conditionalFormatting sqref="K172:K194">
    <cfRule type="expression" dxfId="1033" priority="1117">
      <formula>AND(J172=0,(K172&gt;0))</formula>
    </cfRule>
    <cfRule type="expression" dxfId="1032" priority="1118">
      <formula>((K172-J172)/J172)&gt;0.05</formula>
    </cfRule>
  </conditionalFormatting>
  <conditionalFormatting sqref="K195">
    <cfRule type="expression" dxfId="1031" priority="1115">
      <formula>AND(J195=0,(K195&gt;0))</formula>
    </cfRule>
    <cfRule type="expression" dxfId="1030" priority="1116">
      <formula>((K195-J195)/J195)&gt;0.05</formula>
    </cfRule>
  </conditionalFormatting>
  <conditionalFormatting sqref="U172:U194">
    <cfRule type="expression" dxfId="1029" priority="1109">
      <formula>AND(T172=0,(U172&gt;0))</formula>
    </cfRule>
    <cfRule type="expression" dxfId="1028" priority="1110">
      <formula>((U172-T172)/T172)&gt;0.05</formula>
    </cfRule>
  </conditionalFormatting>
  <conditionalFormatting sqref="Y172:Y194">
    <cfRule type="expression" dxfId="1027" priority="1105">
      <formula>AND(X172=0,(Y172&gt;0))</formula>
    </cfRule>
    <cfRule type="expression" dxfId="1026" priority="1106">
      <formula>((Y172-X172)/X172)&gt;0.05</formula>
    </cfRule>
  </conditionalFormatting>
  <conditionalFormatting sqref="Y195">
    <cfRule type="expression" dxfId="1025" priority="1103">
      <formula>AND(X195=0,(Y195&gt;0))</formula>
    </cfRule>
    <cfRule type="expression" dxfId="1024" priority="1104">
      <formula>((Y195-X195)/X195)&gt;0.05</formula>
    </cfRule>
  </conditionalFormatting>
  <conditionalFormatting sqref="AE172:AE194">
    <cfRule type="expression" dxfId="1023" priority="1093">
      <formula>AND(AD172=0,(AE172&gt;0))</formula>
    </cfRule>
    <cfRule type="expression" dxfId="1022" priority="1094">
      <formula>((AE172-AD172)/AD172)&gt;0.05</formula>
    </cfRule>
  </conditionalFormatting>
  <conditionalFormatting sqref="AO172:AO194">
    <cfRule type="expression" dxfId="1021" priority="1085">
      <formula>AND(AN172=0,(AO172&gt;0))</formula>
    </cfRule>
    <cfRule type="expression" dxfId="1020" priority="1086">
      <formula>((AO172-AN172)/AN172)&gt;0.05</formula>
    </cfRule>
  </conditionalFormatting>
  <conditionalFormatting sqref="AO195">
    <cfRule type="expression" dxfId="1019" priority="1083">
      <formula>AND(AN195=0,(AO195&gt;0))</formula>
    </cfRule>
    <cfRule type="expression" dxfId="1018" priority="1084">
      <formula>((AO195-AN195)/AN195)&gt;0.05</formula>
    </cfRule>
  </conditionalFormatting>
  <conditionalFormatting sqref="AQ172:AQ194">
    <cfRule type="expression" dxfId="1017" priority="1081">
      <formula>AND(AP172=0,(AQ172&gt;0))</formula>
    </cfRule>
    <cfRule type="expression" dxfId="1016" priority="1082">
      <formula>((AQ172-AP172)/AP172)&gt;0.05</formula>
    </cfRule>
  </conditionalFormatting>
  <conditionalFormatting sqref="AS172:AS194">
    <cfRule type="expression" dxfId="1015" priority="1077">
      <formula>AND(AR172=0,(AS172&gt;0))</formula>
    </cfRule>
    <cfRule type="expression" dxfId="1014" priority="1078">
      <formula>((AS172-AR172)/AR172)&gt;0.05</formula>
    </cfRule>
  </conditionalFormatting>
  <conditionalFormatting sqref="AS195">
    <cfRule type="expression" dxfId="1013" priority="1075">
      <formula>AND(AR195=0,(AS195&gt;0))</formula>
    </cfRule>
    <cfRule type="expression" dxfId="1012" priority="1076">
      <formula>((AS195-AR195)/AR195)&gt;0.05</formula>
    </cfRule>
  </conditionalFormatting>
  <conditionalFormatting sqref="AU172:AU194">
    <cfRule type="expression" dxfId="1011" priority="1073">
      <formula>AND(AT172=0,(AU172&gt;0))</formula>
    </cfRule>
    <cfRule type="expression" dxfId="1010" priority="1074">
      <formula>((AU172-AT172)/AT172)&gt;0.05</formula>
    </cfRule>
  </conditionalFormatting>
  <conditionalFormatting sqref="AU195">
    <cfRule type="expression" dxfId="1009" priority="1071">
      <formula>AND(AT195=0,(AU195&gt;0))</formula>
    </cfRule>
    <cfRule type="expression" dxfId="1008" priority="1072">
      <formula>((AU195-AT195)/AT195)&gt;0.05</formula>
    </cfRule>
  </conditionalFormatting>
  <conditionalFormatting sqref="O221:O224">
    <cfRule type="expression" dxfId="1007" priority="1069">
      <formula>AND(N221=0,(O221&gt;0))</formula>
    </cfRule>
    <cfRule type="expression" dxfId="1006" priority="1070">
      <formula>((O221-N221)/N221)&gt;0.05</formula>
    </cfRule>
  </conditionalFormatting>
  <conditionalFormatting sqref="O196:O202">
    <cfRule type="expression" dxfId="1005" priority="1067">
      <formula>AND(N196=0,(O196&gt;0))</formula>
    </cfRule>
    <cfRule type="expression" dxfId="1004" priority="1068">
      <formula>((O196-N196)/N196)&gt;0.05</formula>
    </cfRule>
  </conditionalFormatting>
  <conditionalFormatting sqref="I196:I202">
    <cfRule type="expression" dxfId="1003" priority="1049">
      <formula>AND(H196=0,(I196&gt;0))</formula>
    </cfRule>
    <cfRule type="expression" dxfId="1002" priority="1050">
      <formula>((I196-H196)/H196)&gt;0.05</formula>
    </cfRule>
  </conditionalFormatting>
  <conditionalFormatting sqref="I203:I220">
    <cfRule type="expression" dxfId="1001" priority="1047">
      <formula>AND(H203=0,(I203&gt;0))</formula>
    </cfRule>
    <cfRule type="expression" dxfId="1000" priority="1048">
      <formula>((I203-H203)/H203)&gt;0.05</formula>
    </cfRule>
  </conditionalFormatting>
  <conditionalFormatting sqref="U221:U224">
    <cfRule type="expression" dxfId="999" priority="1045">
      <formula>AND(T221=0,(U221&gt;0))</formula>
    </cfRule>
    <cfRule type="expression" dxfId="998" priority="1046">
      <formula>((U221-T221)/T221)&gt;0.05</formula>
    </cfRule>
  </conditionalFormatting>
  <conditionalFormatting sqref="O203:O220">
    <cfRule type="expression" dxfId="997" priority="1065">
      <formula>AND(N203=0,(O203&gt;0))</formula>
    </cfRule>
    <cfRule type="expression" dxfId="996" priority="1066">
      <formula>((O203-N203)/N203)&gt;0.05</formula>
    </cfRule>
  </conditionalFormatting>
  <conditionalFormatting sqref="U203:U220">
    <cfRule type="expression" dxfId="995" priority="1041">
      <formula>AND(T203=0,(U203&gt;0))</formula>
    </cfRule>
    <cfRule type="expression" dxfId="994" priority="1042">
      <formula>((U203-T203)/T203)&gt;0.05</formula>
    </cfRule>
  </conditionalFormatting>
  <conditionalFormatting sqref="AA221:AA224">
    <cfRule type="expression" dxfId="993" priority="1033">
      <formula>AND(Z221=0,(AA221&gt;0))</formula>
    </cfRule>
    <cfRule type="expression" dxfId="992" priority="1034">
      <formula>((AA221-Z221)/Z221)&gt;0.05</formula>
    </cfRule>
  </conditionalFormatting>
  <conditionalFormatting sqref="AA196:AA202">
    <cfRule type="expression" dxfId="991" priority="1031">
      <formula>AND(Z196=0,(AA196&gt;0))</formula>
    </cfRule>
    <cfRule type="expression" dxfId="990" priority="1032">
      <formula>((AA196-Z196)/Z196)&gt;0.05</formula>
    </cfRule>
  </conditionalFormatting>
  <conditionalFormatting sqref="Y203:Y220">
    <cfRule type="expression" dxfId="989" priority="1035">
      <formula>AND(X203=0,(Y203&gt;0))</formula>
    </cfRule>
    <cfRule type="expression" dxfId="988" priority="1036">
      <formula>((Y203-X203)/X203)&gt;0.05</formula>
    </cfRule>
  </conditionalFormatting>
  <conditionalFormatting sqref="AC196:AC202">
    <cfRule type="expression" dxfId="987" priority="1025">
      <formula>AND(AB196=0,(AC196&gt;0))</formula>
    </cfRule>
    <cfRule type="expression" dxfId="986" priority="1026">
      <formula>((AC196-AB196)/AB196)&gt;0.05</formula>
    </cfRule>
  </conditionalFormatting>
  <conditionalFormatting sqref="AC221:AC224">
    <cfRule type="expression" dxfId="985" priority="1027">
      <formula>AND(AB221=0,(AC221&gt;0))</formula>
    </cfRule>
    <cfRule type="expression" dxfId="984" priority="1028">
      <formula>((AC221-AB221)/AB221)&gt;0.05</formula>
    </cfRule>
  </conditionalFormatting>
  <conditionalFormatting sqref="AE221:AE224">
    <cfRule type="expression" dxfId="983" priority="1021">
      <formula>AND(AD221=0,(AE221&gt;0))</formula>
    </cfRule>
    <cfRule type="expression" dxfId="982" priority="1022">
      <formula>((AE221-AD221)/AD221)&gt;0.05</formula>
    </cfRule>
  </conditionalFormatting>
  <conditionalFormatting sqref="AU221:AU224">
    <cfRule type="expression" dxfId="981" priority="991">
      <formula>AND(AT221=0,(AU221&gt;0))</formula>
    </cfRule>
    <cfRule type="expression" dxfId="980" priority="992">
      <formula>((AU221-AT221)/AT221)&gt;0.05</formula>
    </cfRule>
  </conditionalFormatting>
  <conditionalFormatting sqref="M221:M224">
    <cfRule type="expression" dxfId="979" priority="1063">
      <formula>AND(L221=0,(M221&gt;0))</formula>
    </cfRule>
    <cfRule type="expression" dxfId="978" priority="1064">
      <formula>((M221-L221)/L221)&gt;0.05</formula>
    </cfRule>
  </conditionalFormatting>
  <conditionalFormatting sqref="M196:M202">
    <cfRule type="expression" dxfId="977" priority="1061">
      <formula>AND(L196=0,(M196&gt;0))</formula>
    </cfRule>
    <cfRule type="expression" dxfId="976" priority="1062">
      <formula>((M196-L196)/L196)&gt;0.05</formula>
    </cfRule>
  </conditionalFormatting>
  <conditionalFormatting sqref="M203:M220">
    <cfRule type="expression" dxfId="975" priority="1059">
      <formula>AND(L203=0,(M203&gt;0))</formula>
    </cfRule>
    <cfRule type="expression" dxfId="974" priority="1060">
      <formula>((M203-L203)/L203)&gt;0.05</formula>
    </cfRule>
  </conditionalFormatting>
  <conditionalFormatting sqref="K221:K224">
    <cfRule type="expression" dxfId="973" priority="1057">
      <formula>AND(J221=0,(K221&gt;0))</formula>
    </cfRule>
    <cfRule type="expression" dxfId="972" priority="1058">
      <formula>((K221-J221)/J221)&gt;0.05</formula>
    </cfRule>
  </conditionalFormatting>
  <conditionalFormatting sqref="K203:K220">
    <cfRule type="expression" dxfId="971" priority="1053">
      <formula>AND(J203=0,(K203&gt;0))</formula>
    </cfRule>
    <cfRule type="expression" dxfId="970" priority="1054">
      <formula>((K203-J203)/J203)&gt;0.05</formula>
    </cfRule>
  </conditionalFormatting>
  <conditionalFormatting sqref="K196:K202">
    <cfRule type="expression" dxfId="969" priority="1055">
      <formula>AND(J196=0,(K196&gt;0))</formula>
    </cfRule>
    <cfRule type="expression" dxfId="968" priority="1056">
      <formula>((K196-J196)/J196)&gt;0.05</formula>
    </cfRule>
  </conditionalFormatting>
  <conditionalFormatting sqref="I221:I224">
    <cfRule type="expression" dxfId="967" priority="1051">
      <formula>AND(H221=0,(I221&gt;0))</formula>
    </cfRule>
    <cfRule type="expression" dxfId="966" priority="1052">
      <formula>((I221-H221)/H221)&gt;0.05</formula>
    </cfRule>
  </conditionalFormatting>
  <conditionalFormatting sqref="U196:U202">
    <cfRule type="expression" dxfId="965" priority="1043">
      <formula>AND(T196=0,(U196&gt;0))</formula>
    </cfRule>
    <cfRule type="expression" dxfId="964" priority="1044">
      <formula>((U196-T196)/T196)&gt;0.05</formula>
    </cfRule>
  </conditionalFormatting>
  <conditionalFormatting sqref="Y196:Y202">
    <cfRule type="expression" dxfId="963" priority="1037">
      <formula>AND(X196=0,(Y196&gt;0))</formula>
    </cfRule>
    <cfRule type="expression" dxfId="962" priority="1038">
      <formula>((Y196-X196)/X196)&gt;0.05</formula>
    </cfRule>
  </conditionalFormatting>
  <conditionalFormatting sqref="Y221:Y224">
    <cfRule type="expression" dxfId="961" priority="1039">
      <formula>AND(X221=0,(Y221&gt;0))</formula>
    </cfRule>
    <cfRule type="expression" dxfId="960" priority="1040">
      <formula>((Y221-X221)/X221)&gt;0.05</formula>
    </cfRule>
  </conditionalFormatting>
  <conditionalFormatting sqref="AA203:AA220">
    <cfRule type="expression" dxfId="959" priority="1029">
      <formula>AND(Z203=0,(AA203&gt;0))</formula>
    </cfRule>
    <cfRule type="expression" dxfId="958" priority="1030">
      <formula>((AA203-Z203)/Z203)&gt;0.05</formula>
    </cfRule>
  </conditionalFormatting>
  <conditionalFormatting sqref="AC203:AC220">
    <cfRule type="expression" dxfId="957" priority="1023">
      <formula>AND(AB203=0,(AC203&gt;0))</formula>
    </cfRule>
    <cfRule type="expression" dxfId="956" priority="1024">
      <formula>((AC203-AB203)/AB203)&gt;0.05</formula>
    </cfRule>
  </conditionalFormatting>
  <conditionalFormatting sqref="AE196:AE202">
    <cfRule type="expression" dxfId="955" priority="1019">
      <formula>AND(AD196=0,(AE196&gt;0))</formula>
    </cfRule>
    <cfRule type="expression" dxfId="954" priority="1020">
      <formula>((AE196-AD196)/AD196)&gt;0.05</formula>
    </cfRule>
  </conditionalFormatting>
  <conditionalFormatting sqref="AE203:AE220">
    <cfRule type="expression" dxfId="953" priority="1017">
      <formula>AND(AD203=0,(AE203&gt;0))</formula>
    </cfRule>
    <cfRule type="expression" dxfId="952" priority="1018">
      <formula>((AE203-AD203)/AD203)&gt;0.05</formula>
    </cfRule>
  </conditionalFormatting>
  <conditionalFormatting sqref="AK203:AK220">
    <cfRule type="expression" dxfId="951" priority="1011">
      <formula>AND(AJ203=0,(AK203&gt;0))</formula>
    </cfRule>
    <cfRule type="expression" dxfId="950" priority="1012">
      <formula>((AK203-AJ203)/AJ203)&gt;0.05</formula>
    </cfRule>
  </conditionalFormatting>
  <conditionalFormatting sqref="AK221:AK224">
    <cfRule type="expression" dxfId="949" priority="1015">
      <formula>AND(AJ221=0,(AK221&gt;0))</formula>
    </cfRule>
    <cfRule type="expression" dxfId="948" priority="1016">
      <formula>((AK221-AJ221)/AJ221)&gt;0.05</formula>
    </cfRule>
  </conditionalFormatting>
  <conditionalFormatting sqref="AK196:AK202">
    <cfRule type="expression" dxfId="947" priority="1013">
      <formula>AND(AJ196=0,(AK196&gt;0))</formula>
    </cfRule>
    <cfRule type="expression" dxfId="946" priority="1014">
      <formula>((AK196-AJ196)/AJ196)&gt;0.05</formula>
    </cfRule>
  </conditionalFormatting>
  <conditionalFormatting sqref="AO203:AO220">
    <cfRule type="expression" dxfId="945" priority="1005">
      <formula>AND(AN203=0,(AO203&gt;0))</formula>
    </cfRule>
    <cfRule type="expression" dxfId="944" priority="1006">
      <formula>((AO203-AN203)/AN203)&gt;0.05</formula>
    </cfRule>
  </conditionalFormatting>
  <conditionalFormatting sqref="AO221:AO224">
    <cfRule type="expression" dxfId="943" priority="1009">
      <formula>AND(AN221=0,(AO221&gt;0))</formula>
    </cfRule>
    <cfRule type="expression" dxfId="942" priority="1010">
      <formula>((AO221-AN221)/AN221)&gt;0.05</formula>
    </cfRule>
  </conditionalFormatting>
  <conditionalFormatting sqref="AO196:AO202">
    <cfRule type="expression" dxfId="941" priority="1007">
      <formula>AND(AN196=0,(AO196&gt;0))</formula>
    </cfRule>
    <cfRule type="expression" dxfId="940" priority="1008">
      <formula>((AO196-AN196)/AN196)&gt;0.05</formula>
    </cfRule>
  </conditionalFormatting>
  <conditionalFormatting sqref="AQ203:AQ220">
    <cfRule type="expression" dxfId="939" priority="999">
      <formula>AND(AP203=0,(AQ203&gt;0))</formula>
    </cfRule>
    <cfRule type="expression" dxfId="938" priority="1000">
      <formula>((AQ203-AP203)/AP203)&gt;0.05</formula>
    </cfRule>
  </conditionalFormatting>
  <conditionalFormatting sqref="AQ221:AQ224">
    <cfRule type="expression" dxfId="937" priority="1003">
      <formula>AND(AP221=0,(AQ221&gt;0))</formula>
    </cfRule>
    <cfRule type="expression" dxfId="936" priority="1004">
      <formula>((AQ221-AP221)/AP221)&gt;0.05</formula>
    </cfRule>
  </conditionalFormatting>
  <conditionalFormatting sqref="AQ196:AQ202">
    <cfRule type="expression" dxfId="935" priority="1001">
      <formula>AND(AP196=0,(AQ196&gt;0))</formula>
    </cfRule>
    <cfRule type="expression" dxfId="934" priority="1002">
      <formula>((AQ196-AP196)/AP196)&gt;0.05</formula>
    </cfRule>
  </conditionalFormatting>
  <conditionalFormatting sqref="AS203:AS220">
    <cfRule type="expression" dxfId="933" priority="993">
      <formula>AND(AR203=0,(AS203&gt;0))</formula>
    </cfRule>
    <cfRule type="expression" dxfId="932" priority="994">
      <formula>((AS203-AR203)/AR203)&gt;0.05</formula>
    </cfRule>
  </conditionalFormatting>
  <conditionalFormatting sqref="AS221:AS224">
    <cfRule type="expression" dxfId="931" priority="997">
      <formula>AND(AR221=0,(AS221&gt;0))</formula>
    </cfRule>
    <cfRule type="expression" dxfId="930" priority="998">
      <formula>((AS221-AR221)/AR221)&gt;0.05</formula>
    </cfRule>
  </conditionalFormatting>
  <conditionalFormatting sqref="AS196:AS202">
    <cfRule type="expression" dxfId="929" priority="995">
      <formula>AND(AR196=0,(AS196&gt;0))</formula>
    </cfRule>
    <cfRule type="expression" dxfId="928" priority="996">
      <formula>((AS196-AR196)/AR196)&gt;0.05</formula>
    </cfRule>
  </conditionalFormatting>
  <conditionalFormatting sqref="AU203:AU220">
    <cfRule type="expression" dxfId="927" priority="987">
      <formula>AND(AT203=0,(AU203&gt;0))</formula>
    </cfRule>
    <cfRule type="expression" dxfId="926" priority="988">
      <formula>((AU203-AT203)/AT203)&gt;0.05</formula>
    </cfRule>
  </conditionalFormatting>
  <conditionalFormatting sqref="AU196:AU202">
    <cfRule type="expression" dxfId="925" priority="989">
      <formula>AND(AT196=0,(AU196&gt;0))</formula>
    </cfRule>
    <cfRule type="expression" dxfId="924" priority="990">
      <formula>((AU196-AT196)/AT196)&gt;0.05</formula>
    </cfRule>
  </conditionalFormatting>
  <conditionalFormatting sqref="I225:I251">
    <cfRule type="expression" dxfId="923" priority="985">
      <formula>AND(H225=0,(I225&gt;0))</formula>
    </cfRule>
    <cfRule type="expression" dxfId="922" priority="986">
      <formula>((I225-H225)/H225)&gt;0.05</formula>
    </cfRule>
  </conditionalFormatting>
  <conditionalFormatting sqref="K225:K254">
    <cfRule type="expression" dxfId="921" priority="979">
      <formula>AND(J225=0,(K225&gt;0))</formula>
    </cfRule>
    <cfRule type="expression" dxfId="920" priority="980">
      <formula>((K225-J225)/J225)&gt;0.05</formula>
    </cfRule>
  </conditionalFormatting>
  <conditionalFormatting sqref="M290:M309">
    <cfRule type="expression" dxfId="919" priority="971">
      <formula>AND(L290=0,(M290&gt;0))</formula>
    </cfRule>
    <cfRule type="expression" dxfId="918" priority="972">
      <formula>((M290-L290)/L290)&gt;0.05</formula>
    </cfRule>
  </conditionalFormatting>
  <conditionalFormatting sqref="M310:M344">
    <cfRule type="expression" dxfId="917" priority="969">
      <formula>AND(L310=0,(M310&gt;0))</formula>
    </cfRule>
    <cfRule type="expression" dxfId="916" priority="970">
      <formula>((M310-L310)/L310)&gt;0.05</formula>
    </cfRule>
  </conditionalFormatting>
  <conditionalFormatting sqref="O345:O347">
    <cfRule type="expression" dxfId="915" priority="973">
      <formula>AND(N345=0,(O345&gt;0))</formula>
    </cfRule>
    <cfRule type="expression" dxfId="914" priority="974">
      <formula>((O345-N345)/N345)&gt;0.05</formula>
    </cfRule>
  </conditionalFormatting>
  <conditionalFormatting sqref="K345:K347">
    <cfRule type="expression" dxfId="913" priority="961">
      <formula>AND(J345=0,(K345&gt;0))</formula>
    </cfRule>
    <cfRule type="expression" dxfId="912" priority="962">
      <formula>((K345-J345)/J345)&gt;0.05</formula>
    </cfRule>
  </conditionalFormatting>
  <conditionalFormatting sqref="O290:O309">
    <cfRule type="expression" dxfId="911" priority="977">
      <formula>AND(N290=0,(O290&gt;0))</formula>
    </cfRule>
    <cfRule type="expression" dxfId="910" priority="978">
      <formula>((O290-N290)/N290)&gt;0.05</formula>
    </cfRule>
  </conditionalFormatting>
  <conditionalFormatting sqref="K310:K344">
    <cfRule type="expression" dxfId="909" priority="963">
      <formula>AND(J310=0,(K310&gt;0))</formula>
    </cfRule>
    <cfRule type="expression" dxfId="908" priority="964">
      <formula>((K310-J310)/J310)&gt;0.05</formula>
    </cfRule>
  </conditionalFormatting>
  <conditionalFormatting sqref="M345:M347">
    <cfRule type="expression" dxfId="907" priority="967">
      <formula>AND(L345=0,(M345&gt;0))</formula>
    </cfRule>
    <cfRule type="expression" dxfId="906" priority="968">
      <formula>((M345-L345)/L345)&gt;0.05</formula>
    </cfRule>
  </conditionalFormatting>
  <conditionalFormatting sqref="O310:O344">
    <cfRule type="expression" dxfId="905" priority="975">
      <formula>AND(N310=0,(O310&gt;0))</formula>
    </cfRule>
    <cfRule type="expression" dxfId="904" priority="976">
      <formula>((O310-N310)/N310)&gt;0.05</formula>
    </cfRule>
  </conditionalFormatting>
  <conditionalFormatting sqref="AE290:AE309">
    <cfRule type="expression" dxfId="903" priority="929">
      <formula>AND(AD290=0,(AE290&gt;0))</formula>
    </cfRule>
    <cfRule type="expression" dxfId="902" priority="930">
      <formula>((AE290-AD290)/AD290)&gt;0.05</formula>
    </cfRule>
  </conditionalFormatting>
  <conditionalFormatting sqref="AE310:AE344">
    <cfRule type="expression" dxfId="901" priority="927">
      <formula>AND(AD310=0,(AE310&gt;0))</formula>
    </cfRule>
    <cfRule type="expression" dxfId="900" priority="928">
      <formula>((AE310-AD310)/AD310)&gt;0.05</formula>
    </cfRule>
  </conditionalFormatting>
  <conditionalFormatting sqref="AE345:AE347">
    <cfRule type="expression" dxfId="899" priority="925">
      <formula>AND(AD345=0,(AE345&gt;0))</formula>
    </cfRule>
    <cfRule type="expression" dxfId="898" priority="926">
      <formula>((AE345-AD345)/AD345)&gt;0.05</formula>
    </cfRule>
  </conditionalFormatting>
  <conditionalFormatting sqref="U290:U309">
    <cfRule type="expression" dxfId="897" priority="953">
      <formula>AND(T290=0,(U290&gt;0))</formula>
    </cfRule>
    <cfRule type="expression" dxfId="896" priority="954">
      <formula>((U290-T290)/T290)&gt;0.05</formula>
    </cfRule>
  </conditionalFormatting>
  <conditionalFormatting sqref="U310:U344">
    <cfRule type="expression" dxfId="895" priority="951">
      <formula>AND(T310=0,(U310&gt;0))</formula>
    </cfRule>
    <cfRule type="expression" dxfId="894" priority="952">
      <formula>((U310-T310)/T310)&gt;0.05</formula>
    </cfRule>
  </conditionalFormatting>
  <conditionalFormatting sqref="U345:U347">
    <cfRule type="expression" dxfId="893" priority="949">
      <formula>AND(T345=0,(U345&gt;0))</formula>
    </cfRule>
    <cfRule type="expression" dxfId="892" priority="950">
      <formula>((U345-T345)/T345)&gt;0.05</formula>
    </cfRule>
  </conditionalFormatting>
  <conditionalFormatting sqref="AC290:AC309">
    <cfRule type="expression" dxfId="891" priority="935">
      <formula>AND(AB290=0,(AC290&gt;0))</formula>
    </cfRule>
    <cfRule type="expression" dxfId="890" priority="936">
      <formula>((AC290-AB290)/AB290)&gt;0.05</formula>
    </cfRule>
  </conditionalFormatting>
  <conditionalFormatting sqref="AA310:AA344">
    <cfRule type="expression" dxfId="889" priority="939">
      <formula>AND(Z310=0,(AA310&gt;0))</formula>
    </cfRule>
    <cfRule type="expression" dxfId="888" priority="940">
      <formula>((AA310-Z310)/Z310)&gt;0.05</formula>
    </cfRule>
  </conditionalFormatting>
  <conditionalFormatting sqref="Y345:Y347">
    <cfRule type="expression" dxfId="887" priority="943">
      <formula>AND(X345=0,(Y345&gt;0))</formula>
    </cfRule>
    <cfRule type="expression" dxfId="886" priority="944">
      <formula>((Y345-X345)/X345)&gt;0.05</formula>
    </cfRule>
  </conditionalFormatting>
  <conditionalFormatting sqref="AC345:AC347">
    <cfRule type="expression" dxfId="885" priority="931">
      <formula>AND(AB345=0,(AC345&gt;0))</formula>
    </cfRule>
    <cfRule type="expression" dxfId="884" priority="932">
      <formula>((AC345-AB345)/AB345)&gt;0.05</formula>
    </cfRule>
  </conditionalFormatting>
  <conditionalFormatting sqref="AK290:AK309">
    <cfRule type="expression" dxfId="883" priority="923">
      <formula>AND(AJ290=0,(AK290&gt;0))</formula>
    </cfRule>
    <cfRule type="expression" dxfId="882" priority="924">
      <formula>((AK290-AJ290)/AJ290)&gt;0.05</formula>
    </cfRule>
  </conditionalFormatting>
  <conditionalFormatting sqref="K290:K309">
    <cfRule type="expression" dxfId="881" priority="965">
      <formula>AND(J290=0,(K290&gt;0))</formula>
    </cfRule>
    <cfRule type="expression" dxfId="880" priority="966">
      <formula>((K290-J290)/J290)&gt;0.05</formula>
    </cfRule>
  </conditionalFormatting>
  <conditionalFormatting sqref="I290:I309">
    <cfRule type="expression" dxfId="879" priority="959">
      <formula>AND(H290=0,(I290&gt;0))</formula>
    </cfRule>
    <cfRule type="expression" dxfId="878" priority="960">
      <formula>((I290-H290)/H290)&gt;0.05</formula>
    </cfRule>
  </conditionalFormatting>
  <conditionalFormatting sqref="I310:I344">
    <cfRule type="expression" dxfId="877" priority="957">
      <formula>AND(H310=0,(I310&gt;0))</formula>
    </cfRule>
    <cfRule type="expression" dxfId="876" priority="958">
      <formula>((I310-H310)/H310)&gt;0.05</formula>
    </cfRule>
  </conditionalFormatting>
  <conditionalFormatting sqref="I345:I347">
    <cfRule type="expression" dxfId="875" priority="955">
      <formula>AND(H345=0,(I345&gt;0))</formula>
    </cfRule>
    <cfRule type="expression" dxfId="874" priority="956">
      <formula>((I345-H345)/H345)&gt;0.05</formula>
    </cfRule>
  </conditionalFormatting>
  <conditionalFormatting sqref="Y290:Y309">
    <cfRule type="expression" dxfId="873" priority="947">
      <formula>AND(X290=0,(Y290&gt;0))</formula>
    </cfRule>
    <cfRule type="expression" dxfId="872" priority="948">
      <formula>((Y290-X290)/X290)&gt;0.05</formula>
    </cfRule>
  </conditionalFormatting>
  <conditionalFormatting sqref="Y310:Y344">
    <cfRule type="expression" dxfId="871" priority="945">
      <formula>AND(X310=0,(Y310&gt;0))</formula>
    </cfRule>
    <cfRule type="expression" dxfId="870" priority="946">
      <formula>((Y310-X310)/X310)&gt;0.05</formula>
    </cfRule>
  </conditionalFormatting>
  <conditionalFormatting sqref="AA290:AA309">
    <cfRule type="expression" dxfId="869" priority="941">
      <formula>AND(Z290=0,(AA290&gt;0))</formula>
    </cfRule>
    <cfRule type="expression" dxfId="868" priority="942">
      <formula>((AA290-Z290)/Z290)&gt;0.05</formula>
    </cfRule>
  </conditionalFormatting>
  <conditionalFormatting sqref="AA345:AA347">
    <cfRule type="expression" dxfId="867" priority="937">
      <formula>AND(Z345=0,(AA345&gt;0))</formula>
    </cfRule>
    <cfRule type="expression" dxfId="866" priority="938">
      <formula>((AA345-Z345)/Z345)&gt;0.05</formula>
    </cfRule>
  </conditionalFormatting>
  <conditionalFormatting sqref="AC310:AC344">
    <cfRule type="expression" dxfId="865" priority="933">
      <formula>AND(AB310=0,(AC310&gt;0))</formula>
    </cfRule>
    <cfRule type="expression" dxfId="864" priority="934">
      <formula>((AC310-AB310)/AB310)&gt;0.05</formula>
    </cfRule>
  </conditionalFormatting>
  <conditionalFormatting sqref="AK310:AK344">
    <cfRule type="expression" dxfId="863" priority="921">
      <formula>AND(AJ310=0,(AK310&gt;0))</formula>
    </cfRule>
    <cfRule type="expression" dxfId="862" priority="922">
      <formula>((AK310-AJ310)/AJ310)&gt;0.05</formula>
    </cfRule>
  </conditionalFormatting>
  <conditionalFormatting sqref="AK345:AK347">
    <cfRule type="expression" dxfId="861" priority="919">
      <formula>AND(AJ345=0,(AK345&gt;0))</formula>
    </cfRule>
    <cfRule type="expression" dxfId="860" priority="920">
      <formula>((AK345-AJ345)/AJ345)&gt;0.05</formula>
    </cfRule>
  </conditionalFormatting>
  <conditionalFormatting sqref="AO290:AO309">
    <cfRule type="expression" dxfId="859" priority="917">
      <formula>AND(AN290=0,(AO290&gt;0))</formula>
    </cfRule>
    <cfRule type="expression" dxfId="858" priority="918">
      <formula>((AO290-AN290)/AN290)&gt;0.05</formula>
    </cfRule>
  </conditionalFormatting>
  <conditionalFormatting sqref="AO310:AO344">
    <cfRule type="expression" dxfId="857" priority="915">
      <formula>AND(AN310=0,(AO310&gt;0))</formula>
    </cfRule>
    <cfRule type="expression" dxfId="856" priority="916">
      <formula>((AO310-AN310)/AN310)&gt;0.05</formula>
    </cfRule>
  </conditionalFormatting>
  <conditionalFormatting sqref="AO345:AO347">
    <cfRule type="expression" dxfId="855" priority="913">
      <formula>AND(AN345=0,(AO345&gt;0))</formula>
    </cfRule>
    <cfRule type="expression" dxfId="854" priority="914">
      <formula>((AO345-AN345)/AN345)&gt;0.05</formula>
    </cfRule>
  </conditionalFormatting>
  <conditionalFormatting sqref="AQ310:AQ344">
    <cfRule type="expression" dxfId="853" priority="909">
      <formula>AND(AP310=0,(AQ310&gt;0))</formula>
    </cfRule>
    <cfRule type="expression" dxfId="852" priority="910">
      <formula>((AQ310-AP310)/AP310)&gt;0.05</formula>
    </cfRule>
  </conditionalFormatting>
  <conditionalFormatting sqref="AQ290:AQ309">
    <cfRule type="expression" dxfId="851" priority="911">
      <formula>AND(AP290=0,(AQ290&gt;0))</formula>
    </cfRule>
    <cfRule type="expression" dxfId="850" priority="912">
      <formula>((AQ290-AP290)/AP290)&gt;0.05</formula>
    </cfRule>
  </conditionalFormatting>
  <conditionalFormatting sqref="AQ345:AQ347">
    <cfRule type="expression" dxfId="849" priority="907">
      <formula>AND(AP345=0,(AQ345&gt;0))</formula>
    </cfRule>
    <cfRule type="expression" dxfId="848" priority="908">
      <formula>((AQ345-AP345)/AP345)&gt;0.05</formula>
    </cfRule>
  </conditionalFormatting>
  <conditionalFormatting sqref="AS310:AS344">
    <cfRule type="expression" dxfId="847" priority="903">
      <formula>AND(AR310=0,(AS310&gt;0))</formula>
    </cfRule>
    <cfRule type="expression" dxfId="846" priority="904">
      <formula>((AS310-AR310)/AR310)&gt;0.05</formula>
    </cfRule>
  </conditionalFormatting>
  <conditionalFormatting sqref="AS345:AS347">
    <cfRule type="expression" dxfId="845" priority="901">
      <formula>AND(AR345=0,(AS345&gt;0))</formula>
    </cfRule>
    <cfRule type="expression" dxfId="844" priority="902">
      <formula>((AS345-AR345)/AR345)&gt;0.05</formula>
    </cfRule>
  </conditionalFormatting>
  <conditionalFormatting sqref="AS290:AS309">
    <cfRule type="expression" dxfId="843" priority="905">
      <formula>AND(AR290=0,(AS290&gt;0))</formula>
    </cfRule>
    <cfRule type="expression" dxfId="842" priority="906">
      <formula>((AS290-AR290)/AR290)&gt;0.05</formula>
    </cfRule>
  </conditionalFormatting>
  <conditionalFormatting sqref="AU345:AU347">
    <cfRule type="expression" dxfId="841" priority="895">
      <formula>AND(AT345=0,(AU345&gt;0))</formula>
    </cfRule>
    <cfRule type="expression" dxfId="840" priority="896">
      <formula>((AU345-AT345)/AT345)&gt;0.05</formula>
    </cfRule>
  </conditionalFormatting>
  <conditionalFormatting sqref="AU290:AU309">
    <cfRule type="expression" dxfId="839" priority="899">
      <formula>AND(AT290=0,(AU290&gt;0))</formula>
    </cfRule>
    <cfRule type="expression" dxfId="838" priority="900">
      <formula>((AU290-AT290)/AT290)&gt;0.05</formula>
    </cfRule>
  </conditionalFormatting>
  <conditionalFormatting sqref="AU310:AU344">
    <cfRule type="expression" dxfId="837" priority="897">
      <formula>AND(AT310=0,(AU310&gt;0))</formula>
    </cfRule>
    <cfRule type="expression" dxfId="836" priority="898">
      <formula>((AU310-AT310)/AT310)&gt;0.05</formula>
    </cfRule>
  </conditionalFormatting>
  <conditionalFormatting sqref="O680:O682 O663:O678 M663:M678 U663:U678 Y663:Y678 K663:K678 AC663:AC678 I663:I678 AA663:AA678 AE663:AE678 AK663:AK678 AO663:AO678 AQ663:AQ678 AS663:AS678 AU663:AU678">
    <cfRule type="expression" dxfId="835" priority="893">
      <formula>AND(H663=0,(I663&gt;0))</formula>
    </cfRule>
    <cfRule type="expression" dxfId="834" priority="894">
      <formula>((I663-H663)/H663)&gt;0.05</formula>
    </cfRule>
  </conditionalFormatting>
  <conditionalFormatting sqref="M680:M682">
    <cfRule type="expression" dxfId="833" priority="889">
      <formula>AND(L680=0,(M680&gt;0))</formula>
    </cfRule>
    <cfRule type="expression" dxfId="832" priority="890">
      <formula>((M680-L680)/L680)&gt;0.05</formula>
    </cfRule>
  </conditionalFormatting>
  <conditionalFormatting sqref="K679">
    <cfRule type="expression" dxfId="831" priority="883">
      <formula>AND(J679=0,(K679&gt;0))</formula>
    </cfRule>
    <cfRule type="expression" dxfId="830" priority="884">
      <formula>((K679-J679)/J679)&gt;0.05</formula>
    </cfRule>
  </conditionalFormatting>
  <conditionalFormatting sqref="O679">
    <cfRule type="expression" dxfId="829" priority="891">
      <formula>AND(N679=0,(O679&gt;0))</formula>
    </cfRule>
    <cfRule type="expression" dxfId="828" priority="892">
      <formula>((O679-N679)/N679)&gt;0.05</formula>
    </cfRule>
  </conditionalFormatting>
  <conditionalFormatting sqref="U680:U682">
    <cfRule type="expression" dxfId="827" priority="877">
      <formula>AND(T680=0,(U680&gt;0))</formula>
    </cfRule>
    <cfRule type="expression" dxfId="826" priority="878">
      <formula>((U680-T680)/T680)&gt;0.05</formula>
    </cfRule>
  </conditionalFormatting>
  <conditionalFormatting sqref="Y680:Y682">
    <cfRule type="expression" dxfId="825" priority="873">
      <formula>AND(X680=0,(Y680&gt;0))</formula>
    </cfRule>
    <cfRule type="expression" dxfId="824" priority="874">
      <formula>((Y680-X680)/X680)&gt;0.05</formula>
    </cfRule>
  </conditionalFormatting>
  <conditionalFormatting sqref="M679">
    <cfRule type="expression" dxfId="823" priority="887">
      <formula>AND(L679=0,(M679&gt;0))</formula>
    </cfRule>
    <cfRule type="expression" dxfId="822" priority="888">
      <formula>((M679-L679)/L679)&gt;0.05</formula>
    </cfRule>
  </conditionalFormatting>
  <conditionalFormatting sqref="K680:K682">
    <cfRule type="expression" dxfId="821" priority="885">
      <formula>AND(J680=0,(K680&gt;0))</formula>
    </cfRule>
    <cfRule type="expression" dxfId="820" priority="886">
      <formula>((K680-J680)/J680)&gt;0.05</formula>
    </cfRule>
  </conditionalFormatting>
  <conditionalFormatting sqref="AA679">
    <cfRule type="expression" dxfId="819" priority="867">
      <formula>AND(Z679=0,(AA679&gt;0))</formula>
    </cfRule>
    <cfRule type="expression" dxfId="818" priority="868">
      <formula>((AA679-Z679)/Z679)&gt;0.05</formula>
    </cfRule>
  </conditionalFormatting>
  <conditionalFormatting sqref="AC679">
    <cfRule type="expression" dxfId="817" priority="863">
      <formula>AND(AB679=0,(AC679&gt;0))</formula>
    </cfRule>
    <cfRule type="expression" dxfId="816" priority="864">
      <formula>((AC679-AB679)/AB679)&gt;0.05</formula>
    </cfRule>
  </conditionalFormatting>
  <conditionalFormatting sqref="AC680:AC682">
    <cfRule type="expression" dxfId="815" priority="865">
      <formula>AND(AB680=0,(AC680&gt;0))</formula>
    </cfRule>
    <cfRule type="expression" dxfId="814" priority="866">
      <formula>((AC680-AB680)/AB680)&gt;0.05</formula>
    </cfRule>
  </conditionalFormatting>
  <conditionalFormatting sqref="Y679">
    <cfRule type="expression" dxfId="813" priority="871">
      <formula>AND(X679=0,(Y679&gt;0))</formula>
    </cfRule>
    <cfRule type="expression" dxfId="812" priority="872">
      <formula>((Y679-X679)/X679)&gt;0.05</formula>
    </cfRule>
  </conditionalFormatting>
  <conditionalFormatting sqref="I680:I682">
    <cfRule type="expression" dxfId="811" priority="881">
      <formula>AND(H680=0,(I680&gt;0))</formula>
    </cfRule>
    <cfRule type="expression" dxfId="810" priority="882">
      <formula>((I680-H680)/H680)&gt;0.05</formula>
    </cfRule>
  </conditionalFormatting>
  <conditionalFormatting sqref="I679">
    <cfRule type="expression" dxfId="809" priority="879">
      <formula>AND(H679=0,(I679&gt;0))</formula>
    </cfRule>
    <cfRule type="expression" dxfId="808" priority="880">
      <formula>((I679-H679)/H679)&gt;0.05</formula>
    </cfRule>
  </conditionalFormatting>
  <conditionalFormatting sqref="U679">
    <cfRule type="expression" dxfId="807" priority="875">
      <formula>AND(T679=0,(U679&gt;0))</formula>
    </cfRule>
    <cfRule type="expression" dxfId="806" priority="876">
      <formula>((U679-T679)/T679)&gt;0.05</formula>
    </cfRule>
  </conditionalFormatting>
  <conditionalFormatting sqref="AA680:AA682">
    <cfRule type="expression" dxfId="805" priority="869">
      <formula>AND(Z680=0,(AA680&gt;0))</formula>
    </cfRule>
    <cfRule type="expression" dxfId="804" priority="870">
      <formula>((AA680-Z680)/Z680)&gt;0.05</formula>
    </cfRule>
  </conditionalFormatting>
  <conditionalFormatting sqref="AE680:AE682">
    <cfRule type="expression" dxfId="803" priority="861">
      <formula>AND(AD680=0,(AE680&gt;0))</formula>
    </cfRule>
    <cfRule type="expression" dxfId="802" priority="862">
      <formula>((AE680-AD680)/AD680)&gt;0.05</formula>
    </cfRule>
  </conditionalFormatting>
  <conditionalFormatting sqref="AE679">
    <cfRule type="expression" dxfId="801" priority="859">
      <formula>AND(AD679=0,(AE679&gt;0))</formula>
    </cfRule>
    <cfRule type="expression" dxfId="800" priority="860">
      <formula>((AE679-AD679)/AD679)&gt;0.05</formula>
    </cfRule>
  </conditionalFormatting>
  <conditionalFormatting sqref="AK680:AK682">
    <cfRule type="expression" dxfId="799" priority="857">
      <formula>AND(AJ680=0,(AK680&gt;0))</formula>
    </cfRule>
    <cfRule type="expression" dxfId="798" priority="858">
      <formula>((AK680-AJ680)/AJ680)&gt;0.05</formula>
    </cfRule>
  </conditionalFormatting>
  <conditionalFormatting sqref="AK679">
    <cfRule type="expression" dxfId="797" priority="855">
      <formula>AND(AJ679=0,(AK679&gt;0))</formula>
    </cfRule>
    <cfRule type="expression" dxfId="796" priority="856">
      <formula>((AK679-AJ679)/AJ679)&gt;0.05</formula>
    </cfRule>
  </conditionalFormatting>
  <conditionalFormatting sqref="AO680:AO682">
    <cfRule type="expression" dxfId="795" priority="853">
      <formula>AND(AN680=0,(AO680&gt;0))</formula>
    </cfRule>
    <cfRule type="expression" dxfId="794" priority="854">
      <formula>((AO680-AN680)/AN680)&gt;0.05</formula>
    </cfRule>
  </conditionalFormatting>
  <conditionalFormatting sqref="AO679">
    <cfRule type="expression" dxfId="793" priority="851">
      <formula>AND(AN679=0,(AO679&gt;0))</formula>
    </cfRule>
    <cfRule type="expression" dxfId="792" priority="852">
      <formula>((AO679-AN679)/AN679)&gt;0.05</formula>
    </cfRule>
  </conditionalFormatting>
  <conditionalFormatting sqref="AQ680:AQ682">
    <cfRule type="expression" dxfId="791" priority="849">
      <formula>AND(AP680=0,(AQ680&gt;0))</formula>
    </cfRule>
    <cfRule type="expression" dxfId="790" priority="850">
      <formula>((AQ680-AP680)/AP680)&gt;0.05</formula>
    </cfRule>
  </conditionalFormatting>
  <conditionalFormatting sqref="AQ679">
    <cfRule type="expression" dxfId="789" priority="847">
      <formula>AND(AP679=0,(AQ679&gt;0))</formula>
    </cfRule>
    <cfRule type="expression" dxfId="788" priority="848">
      <formula>((AQ679-AP679)/AP679)&gt;0.05</formula>
    </cfRule>
  </conditionalFormatting>
  <conditionalFormatting sqref="AS680:AS682">
    <cfRule type="expression" dxfId="787" priority="845">
      <formula>AND(AR680=0,(AS680&gt;0))</formula>
    </cfRule>
    <cfRule type="expression" dxfId="786" priority="846">
      <formula>((AS680-AR680)/AR680)&gt;0.05</formula>
    </cfRule>
  </conditionalFormatting>
  <conditionalFormatting sqref="AS679">
    <cfRule type="expression" dxfId="785" priority="843">
      <formula>AND(AR679=0,(AS679&gt;0))</formula>
    </cfRule>
    <cfRule type="expression" dxfId="784" priority="844">
      <formula>((AS679-AR679)/AR679)&gt;0.05</formula>
    </cfRule>
  </conditionalFormatting>
  <conditionalFormatting sqref="AU680:AU682">
    <cfRule type="expression" dxfId="783" priority="841">
      <formula>AND(AT680=0,(AU680&gt;0))</formula>
    </cfRule>
    <cfRule type="expression" dxfId="782" priority="842">
      <formula>((AU680-AT680)/AT680)&gt;0.05</formula>
    </cfRule>
  </conditionalFormatting>
  <conditionalFormatting sqref="AU679">
    <cfRule type="expression" dxfId="781" priority="839">
      <formula>AND(AT679=0,(AU679&gt;0))</formula>
    </cfRule>
    <cfRule type="expression" dxfId="780" priority="840">
      <formula>((AU679-AT679)/AT679)&gt;0.05</formula>
    </cfRule>
  </conditionalFormatting>
  <conditionalFormatting sqref="I83">
    <cfRule type="expression" dxfId="779" priority="835">
      <formula>AND(H83=0,(I83&gt;0))</formula>
    </cfRule>
    <cfRule type="expression" dxfId="778" priority="836">
      <formula>((I83-H83)/H83)&gt;0.05</formula>
    </cfRule>
  </conditionalFormatting>
  <conditionalFormatting sqref="AC85:AC91">
    <cfRule type="expression" dxfId="777" priority="825">
      <formula>AND(AB85=0,(AC85&gt;0))</formula>
    </cfRule>
    <cfRule type="expression" dxfId="776" priority="826">
      <formula>((AC85-AB85)/AB85)&gt;0.05</formula>
    </cfRule>
  </conditionalFormatting>
  <conditionalFormatting sqref="AE83">
    <cfRule type="expression" dxfId="775" priority="819">
      <formula>AND(AD83=0,(AE83&gt;0))</formula>
    </cfRule>
    <cfRule type="expression" dxfId="774" priority="820">
      <formula>((AE83-AD83)/AD83)&gt;0.05</formula>
    </cfRule>
  </conditionalFormatting>
  <conditionalFormatting sqref="AC83">
    <cfRule type="expression" dxfId="773" priority="823">
      <formula>AND(AB83=0,(AC83&gt;0))</formula>
    </cfRule>
    <cfRule type="expression" dxfId="772" priority="824">
      <formula>((AC83-AB83)/AB83)&gt;0.05</formula>
    </cfRule>
  </conditionalFormatting>
  <conditionalFormatting sqref="Y85:Y91">
    <cfRule type="expression" dxfId="771" priority="833">
      <formula>AND(X85=0,(Y85&gt;0))</formula>
    </cfRule>
    <cfRule type="expression" dxfId="770" priority="834">
      <formula>((Y85-X85)/X85)&gt;0.05</formula>
    </cfRule>
  </conditionalFormatting>
  <conditionalFormatting sqref="Y83">
    <cfRule type="expression" dxfId="769" priority="831">
      <formula>AND(X83=0,(Y83&gt;0))</formula>
    </cfRule>
    <cfRule type="expression" dxfId="768" priority="832">
      <formula>((Y83-X83)/X83)&gt;0.05</formula>
    </cfRule>
  </conditionalFormatting>
  <conditionalFormatting sqref="AA85:AA91">
    <cfRule type="expression" dxfId="767" priority="829">
      <formula>AND(Z85=0,(AA85&gt;0))</formula>
    </cfRule>
    <cfRule type="expression" dxfId="766" priority="830">
      <formula>((AA85-Z85)/Z85)&gt;0.05</formula>
    </cfRule>
  </conditionalFormatting>
  <conditionalFormatting sqref="I85:I91">
    <cfRule type="expression" dxfId="765" priority="837">
      <formula>AND(H85=0,(I85&gt;0))</formula>
    </cfRule>
    <cfRule type="expression" dxfId="764" priority="838">
      <formula>((I85-H85)/H85)&gt;0.05</formula>
    </cfRule>
  </conditionalFormatting>
  <conditionalFormatting sqref="AA83">
    <cfRule type="expression" dxfId="763" priority="827">
      <formula>AND(Z83=0,(AA83&gt;0))</formula>
    </cfRule>
    <cfRule type="expression" dxfId="762" priority="828">
      <formula>((AA83-Z83)/Z83)&gt;0.05</formula>
    </cfRule>
  </conditionalFormatting>
  <conditionalFormatting sqref="AE85:AE91">
    <cfRule type="expression" dxfId="761" priority="821">
      <formula>AND(AD85=0,(AE85&gt;0))</formula>
    </cfRule>
    <cfRule type="expression" dxfId="760" priority="822">
      <formula>((AE85-AD85)/AD85)&gt;0.05</formula>
    </cfRule>
  </conditionalFormatting>
  <conditionalFormatting sqref="AK83">
    <cfRule type="expression" dxfId="759" priority="815">
      <formula>AND(AJ83=0,(AK83&gt;0))</formula>
    </cfRule>
    <cfRule type="expression" dxfId="758" priority="816">
      <formula>((AK83-AJ83)/AJ83)&gt;0.05</formula>
    </cfRule>
  </conditionalFormatting>
  <conditionalFormatting sqref="AK85:AK91">
    <cfRule type="expression" dxfId="757" priority="817">
      <formula>AND(AJ85=0,(AK85&gt;0))</formula>
    </cfRule>
    <cfRule type="expression" dxfId="756" priority="818">
      <formula>((AK85-AJ85)/AJ85)&gt;0.05</formula>
    </cfRule>
  </conditionalFormatting>
  <conditionalFormatting sqref="AO83">
    <cfRule type="expression" dxfId="755" priority="811">
      <formula>AND(AN83=0,(AO83&gt;0))</formula>
    </cfRule>
    <cfRule type="expression" dxfId="754" priority="812">
      <formula>((AO83-AN83)/AN83)&gt;0.05</formula>
    </cfRule>
  </conditionalFormatting>
  <conditionalFormatting sqref="AO85:AO91">
    <cfRule type="expression" dxfId="753" priority="813">
      <formula>AND(AN85=0,(AO85&gt;0))</formula>
    </cfRule>
    <cfRule type="expression" dxfId="752" priority="814">
      <formula>((AO85-AN85)/AN85)&gt;0.05</formula>
    </cfRule>
  </conditionalFormatting>
  <conditionalFormatting sqref="O260:O274">
    <cfRule type="expression" dxfId="751" priority="809">
      <formula>AND(N260=0,(O260&gt;0))</formula>
    </cfRule>
    <cfRule type="expression" dxfId="750" priority="810">
      <formula>((O260-N260)/N260)&gt;0.05</formula>
    </cfRule>
  </conditionalFormatting>
  <conditionalFormatting sqref="AE260:AE274">
    <cfRule type="expression" dxfId="749" priority="795">
      <formula>AND(AD260=0,(AE260&gt;0))</formula>
    </cfRule>
    <cfRule type="expression" dxfId="748" priority="796">
      <formula>((AE260-AD260)/AD260)&gt;0.05</formula>
    </cfRule>
  </conditionalFormatting>
  <conditionalFormatting sqref="M260:M274">
    <cfRule type="expression" dxfId="747" priority="807">
      <formula>AND(L260=0,(M260&gt;0))</formula>
    </cfRule>
    <cfRule type="expression" dxfId="746" priority="808">
      <formula>((M260-L260)/L260)&gt;0.05</formula>
    </cfRule>
  </conditionalFormatting>
  <conditionalFormatting sqref="AA260:AA274">
    <cfRule type="expression" dxfId="745" priority="799">
      <formula>AND(Z260=0,(AA260&gt;0))</formula>
    </cfRule>
    <cfRule type="expression" dxfId="744" priority="800">
      <formula>((AA260-Z260)/Z260)&gt;0.05</formula>
    </cfRule>
  </conditionalFormatting>
  <conditionalFormatting sqref="K260:K274">
    <cfRule type="expression" dxfId="743" priority="805">
      <formula>AND(J260=0,(K260&gt;0))</formula>
    </cfRule>
    <cfRule type="expression" dxfId="742" priority="806">
      <formula>((K260-J260)/J260)&gt;0.05</formula>
    </cfRule>
  </conditionalFormatting>
  <conditionalFormatting sqref="I260:I274">
    <cfRule type="expression" dxfId="741" priority="803">
      <formula>AND(H260=0,(I260&gt;0))</formula>
    </cfRule>
    <cfRule type="expression" dxfId="740" priority="804">
      <formula>((I260-H260)/H260)&gt;0.05</formula>
    </cfRule>
  </conditionalFormatting>
  <conditionalFormatting sqref="Y260:Y274">
    <cfRule type="expression" dxfId="739" priority="801">
      <formula>AND(X260=0,(Y260&gt;0))</formula>
    </cfRule>
    <cfRule type="expression" dxfId="738" priority="802">
      <formula>((Y260-X260)/X260)&gt;0.05</formula>
    </cfRule>
  </conditionalFormatting>
  <conditionalFormatting sqref="AC260:AC274">
    <cfRule type="expression" dxfId="737" priority="797">
      <formula>AND(AB260=0,(AC260&gt;0))</formula>
    </cfRule>
    <cfRule type="expression" dxfId="736" priority="798">
      <formula>((AC260-AB260)/AB260)&gt;0.05</formula>
    </cfRule>
  </conditionalFormatting>
  <conditionalFormatting sqref="AK260:AK274">
    <cfRule type="expression" dxfId="735" priority="793">
      <formula>AND(AJ260=0,(AK260&gt;0))</formula>
    </cfRule>
    <cfRule type="expression" dxfId="734" priority="794">
      <formula>((AK260-AJ260)/AJ260)&gt;0.05</formula>
    </cfRule>
  </conditionalFormatting>
  <conditionalFormatting sqref="AO260:AO274">
    <cfRule type="expression" dxfId="733" priority="791">
      <formula>AND(AN260=0,(AO260&gt;0))</formula>
    </cfRule>
    <cfRule type="expression" dxfId="732" priority="792">
      <formula>((AO260-AN260)/AN260)&gt;0.05</formula>
    </cfRule>
  </conditionalFormatting>
  <conditionalFormatting sqref="AQ260:AQ274">
    <cfRule type="expression" dxfId="731" priority="789">
      <formula>AND(AP260=0,(AQ260&gt;0))</formula>
    </cfRule>
    <cfRule type="expression" dxfId="730" priority="790">
      <formula>((AQ260-AP260)/AP260)&gt;0.05</formula>
    </cfRule>
  </conditionalFormatting>
  <conditionalFormatting sqref="AS260:AS274">
    <cfRule type="expression" dxfId="729" priority="787">
      <formula>AND(AR260=0,(AS260&gt;0))</formula>
    </cfRule>
    <cfRule type="expression" dxfId="728" priority="788">
      <formula>((AS260-AR260)/AR260)&gt;0.05</formula>
    </cfRule>
  </conditionalFormatting>
  <conditionalFormatting sqref="AU260:AU274">
    <cfRule type="expression" dxfId="727" priority="785">
      <formula>AND(AT260=0,(AU260&gt;0))</formula>
    </cfRule>
    <cfRule type="expression" dxfId="726" priority="786">
      <formula>((AU260-AT260)/AT260)&gt;0.05</formula>
    </cfRule>
  </conditionalFormatting>
  <conditionalFormatting sqref="U260:U274">
    <cfRule type="expression" dxfId="725" priority="783">
      <formula>AND(T260=0,(U260&gt;0))</formula>
    </cfRule>
    <cfRule type="expression" dxfId="724" priority="784">
      <formula>((U260-T260)/T260)&gt;0.05</formula>
    </cfRule>
  </conditionalFormatting>
  <conditionalFormatting sqref="M361 M363:M374">
    <cfRule type="expression" dxfId="723" priority="775">
      <formula>AND(L361=0,(M361&gt;0))</formula>
    </cfRule>
    <cfRule type="expression" dxfId="722" priority="776">
      <formula>((M361-L361)/L361)&gt;0.05</formula>
    </cfRule>
  </conditionalFormatting>
  <conditionalFormatting sqref="O348:O360 O362">
    <cfRule type="expression" dxfId="721" priority="781">
      <formula>AND(N348=0,(O348&gt;0))</formula>
    </cfRule>
    <cfRule type="expression" dxfId="720" priority="782">
      <formula>((O348-N348)/N348)&gt;0.05</formula>
    </cfRule>
  </conditionalFormatting>
  <conditionalFormatting sqref="O361 O363:O374">
    <cfRule type="expression" dxfId="719" priority="779">
      <formula>AND(N361=0,(O361&gt;0))</formula>
    </cfRule>
    <cfRule type="expression" dxfId="718" priority="780">
      <formula>((O361-N361)/N361)&gt;0.05</formula>
    </cfRule>
  </conditionalFormatting>
  <conditionalFormatting sqref="U348:U360 U362">
    <cfRule type="expression" dxfId="717" priority="765">
      <formula>AND(T348=0,(U348&gt;0))</formula>
    </cfRule>
    <cfRule type="expression" dxfId="716" priority="766">
      <formula>((U348-T348)/T348)&gt;0.05</formula>
    </cfRule>
  </conditionalFormatting>
  <conditionalFormatting sqref="Y361 Y363:Y374">
    <cfRule type="expression" dxfId="715" priority="759">
      <formula>AND(X361=0,(Y361&gt;0))</formula>
    </cfRule>
    <cfRule type="expression" dxfId="714" priority="760">
      <formula>((Y361-X361)/X361)&gt;0.05</formula>
    </cfRule>
  </conditionalFormatting>
  <conditionalFormatting sqref="I348:I360 I362">
    <cfRule type="expression" dxfId="713" priority="769">
      <formula>AND(H348=0,(I348&gt;0))</formula>
    </cfRule>
    <cfRule type="expression" dxfId="712" priority="770">
      <formula>((I348-H348)/H348)&gt;0.05</formula>
    </cfRule>
  </conditionalFormatting>
  <conditionalFormatting sqref="K361 K363:K374">
    <cfRule type="expression" dxfId="711" priority="771">
      <formula>AND(J361=0,(K361&gt;0))</formula>
    </cfRule>
    <cfRule type="expression" dxfId="710" priority="772">
      <formula>((K361-J361)/J361)&gt;0.05</formula>
    </cfRule>
  </conditionalFormatting>
  <conditionalFormatting sqref="AE348:AE360 AE362">
    <cfRule type="expression" dxfId="709" priority="749">
      <formula>AND(AD348=0,(AE348&gt;0))</formula>
    </cfRule>
    <cfRule type="expression" dxfId="708" priority="750">
      <formula>((AE348-AD348)/AD348)&gt;0.05</formula>
    </cfRule>
  </conditionalFormatting>
  <conditionalFormatting sqref="AE361 AE363:AE374">
    <cfRule type="expression" dxfId="707" priority="747">
      <formula>AND(AD361=0,(AE361&gt;0))</formula>
    </cfRule>
    <cfRule type="expression" dxfId="706" priority="748">
      <formula>((AE361-AD361)/AD361)&gt;0.05</formula>
    </cfRule>
  </conditionalFormatting>
  <conditionalFormatting sqref="AA348:AA360 AA362">
    <cfRule type="expression" dxfId="705" priority="757">
      <formula>AND(Z348=0,(AA348&gt;0))</formula>
    </cfRule>
    <cfRule type="expression" dxfId="704" priority="758">
      <formula>((AA348-Z348)/Z348)&gt;0.05</formula>
    </cfRule>
  </conditionalFormatting>
  <conditionalFormatting sqref="Y348:Y360 Y362">
    <cfRule type="expression" dxfId="703" priority="761">
      <formula>AND(X348=0,(Y348&gt;0))</formula>
    </cfRule>
    <cfRule type="expression" dxfId="702" priority="762">
      <formula>((Y348-X348)/X348)&gt;0.05</formula>
    </cfRule>
  </conditionalFormatting>
  <conditionalFormatting sqref="U361 U363:U374">
    <cfRule type="expression" dxfId="701" priority="763">
      <formula>AND(T361=0,(U361&gt;0))</formula>
    </cfRule>
    <cfRule type="expression" dxfId="700" priority="764">
      <formula>((U361-T361)/T361)&gt;0.05</formula>
    </cfRule>
  </conditionalFormatting>
  <conditionalFormatting sqref="I361 I363:I374">
    <cfRule type="expression" dxfId="699" priority="767">
      <formula>AND(H361=0,(I361&gt;0))</formula>
    </cfRule>
    <cfRule type="expression" dxfId="698" priority="768">
      <formula>((I361-H361)/H361)&gt;0.05</formula>
    </cfRule>
  </conditionalFormatting>
  <conditionalFormatting sqref="M348:M360 M362">
    <cfRule type="expression" dxfId="697" priority="777">
      <formula>AND(L348=0,(M348&gt;0))</formula>
    </cfRule>
    <cfRule type="expression" dxfId="696" priority="778">
      <formula>((M348-L348)/L348)&gt;0.05</formula>
    </cfRule>
  </conditionalFormatting>
  <conditionalFormatting sqref="AO361 AO363:AO374">
    <cfRule type="expression" dxfId="695" priority="739">
      <formula>AND(AN361=0,(AO361&gt;0))</formula>
    </cfRule>
    <cfRule type="expression" dxfId="694" priority="740">
      <formula>((AO361-AN361)/AN361)&gt;0.05</formula>
    </cfRule>
  </conditionalFormatting>
  <conditionalFormatting sqref="K348:K360 K362">
    <cfRule type="expression" dxfId="693" priority="773">
      <formula>AND(J348=0,(K348&gt;0))</formula>
    </cfRule>
    <cfRule type="expression" dxfId="692" priority="774">
      <formula>((K348-J348)/J348)&gt;0.05</formula>
    </cfRule>
  </conditionalFormatting>
  <conditionalFormatting sqref="AA361 AA363:AA374">
    <cfRule type="expression" dxfId="691" priority="755">
      <formula>AND(Z361=0,(AA361&gt;0))</formula>
    </cfRule>
    <cfRule type="expression" dxfId="690" priority="756">
      <formula>((AA361-Z361)/Z361)&gt;0.05</formula>
    </cfRule>
  </conditionalFormatting>
  <conditionalFormatting sqref="AC361 AC363:AC374">
    <cfRule type="expression" dxfId="689" priority="751">
      <formula>AND(AB361=0,(AC361&gt;0))</formula>
    </cfRule>
    <cfRule type="expression" dxfId="688" priority="752">
      <formula>((AC361-AB361)/AB361)&gt;0.05</formula>
    </cfRule>
  </conditionalFormatting>
  <conditionalFormatting sqref="AC348:AC360 AC362">
    <cfRule type="expression" dxfId="687" priority="753">
      <formula>AND(AB348=0,(AC348&gt;0))</formula>
    </cfRule>
    <cfRule type="expression" dxfId="686" priority="754">
      <formula>((AC348-AB348)/AB348)&gt;0.05</formula>
    </cfRule>
  </conditionalFormatting>
  <conditionalFormatting sqref="AK361 AK363:AK374">
    <cfRule type="expression" dxfId="685" priority="743">
      <formula>AND(AJ361=0,(AK361&gt;0))</formula>
    </cfRule>
    <cfRule type="expression" dxfId="684" priority="744">
      <formula>((AK361-AJ361)/AJ361)&gt;0.05</formula>
    </cfRule>
  </conditionalFormatting>
  <conditionalFormatting sqref="AK348:AK360 AK362">
    <cfRule type="expression" dxfId="683" priority="745">
      <formula>AND(AJ348=0,(AK348&gt;0))</formula>
    </cfRule>
    <cfRule type="expression" dxfId="682" priority="746">
      <formula>((AK348-AJ348)/AJ348)&gt;0.05</formula>
    </cfRule>
  </conditionalFormatting>
  <conditionalFormatting sqref="AO348:AO360 AO362">
    <cfRule type="expression" dxfId="681" priority="741">
      <formula>AND(AN348=0,(AO348&gt;0))</formula>
    </cfRule>
    <cfRule type="expression" dxfId="680" priority="742">
      <formula>((AO348-AN348)/AN348)&gt;0.05</formula>
    </cfRule>
  </conditionalFormatting>
  <conditionalFormatting sqref="AQ361 AQ363:AQ374">
    <cfRule type="expression" dxfId="679" priority="735">
      <formula>AND(AP361=0,(AQ361&gt;0))</formula>
    </cfRule>
    <cfRule type="expression" dxfId="678" priority="736">
      <formula>((AQ361-AP361)/AP361)&gt;0.05</formula>
    </cfRule>
  </conditionalFormatting>
  <conditionalFormatting sqref="AQ348:AQ360 AQ362">
    <cfRule type="expression" dxfId="677" priority="737">
      <formula>AND(AP348=0,(AQ348&gt;0))</formula>
    </cfRule>
    <cfRule type="expression" dxfId="676" priority="738">
      <formula>((AQ348-AP348)/AP348)&gt;0.05</formula>
    </cfRule>
  </conditionalFormatting>
  <conditionalFormatting sqref="AS361 AS363:AS374">
    <cfRule type="expression" dxfId="675" priority="731">
      <formula>AND(AR361=0,(AS361&gt;0))</formula>
    </cfRule>
    <cfRule type="expression" dxfId="674" priority="732">
      <formula>((AS361-AR361)/AR361)&gt;0.05</formula>
    </cfRule>
  </conditionalFormatting>
  <conditionalFormatting sqref="AS348:AS360 AS362">
    <cfRule type="expression" dxfId="673" priority="733">
      <formula>AND(AR348=0,(AS348&gt;0))</formula>
    </cfRule>
    <cfRule type="expression" dxfId="672" priority="734">
      <formula>((AS348-AR348)/AR348)&gt;0.05</formula>
    </cfRule>
  </conditionalFormatting>
  <conditionalFormatting sqref="AU348:AU360 AU362">
    <cfRule type="expression" dxfId="671" priority="729">
      <formula>AND(AT348=0,(AU348&gt;0))</formula>
    </cfRule>
    <cfRule type="expression" dxfId="670" priority="730">
      <formula>((AU348-AT348)/AT348)&gt;0.05</formula>
    </cfRule>
  </conditionalFormatting>
  <conditionalFormatting sqref="AU361 AU363:AU374">
    <cfRule type="expression" dxfId="669" priority="727">
      <formula>AND(AT361=0,(AU361&gt;0))</formula>
    </cfRule>
    <cfRule type="expression" dxfId="668" priority="728">
      <formula>((AU361-AT361)/AT361)&gt;0.05</formula>
    </cfRule>
  </conditionalFormatting>
  <conditionalFormatting sqref="AO541:AO554">
    <cfRule type="expression" dxfId="667" priority="715">
      <formula>AND(AN541=0,(AO541&gt;0))</formula>
    </cfRule>
    <cfRule type="expression" dxfId="666" priority="716">
      <formula>((AO541-AN541)/AN541)&gt;0.05</formula>
    </cfRule>
  </conditionalFormatting>
  <conditionalFormatting sqref="AO555:AO564">
    <cfRule type="expression" dxfId="665" priority="713">
      <formula>AND(AN555=0,(AO555&gt;0))</formula>
    </cfRule>
    <cfRule type="expression" dxfId="664" priority="714">
      <formula>((AO555-AN555)/AN555)&gt;0.05</formula>
    </cfRule>
  </conditionalFormatting>
  <conditionalFormatting sqref="AO533:AO540">
    <cfRule type="expression" dxfId="663" priority="719">
      <formula>AND(AN533=0,(AO533&gt;0))</formula>
    </cfRule>
    <cfRule type="expression" dxfId="662" priority="720">
      <formula>((AO533-AN533)/AN533)&gt;0.05</formula>
    </cfRule>
  </conditionalFormatting>
  <conditionalFormatting sqref="AO608">
    <cfRule type="expression" dxfId="661" priority="717">
      <formula>AND(AN608=0,(AO608&gt;0))</formula>
    </cfRule>
    <cfRule type="expression" dxfId="660" priority="718">
      <formula>((AO608-AN608)/AN608)&gt;0.05</formula>
    </cfRule>
  </conditionalFormatting>
  <conditionalFormatting sqref="AO576:AO580">
    <cfRule type="expression" dxfId="659" priority="709">
      <formula>AND(AN576=0,(AO576&gt;0))</formula>
    </cfRule>
    <cfRule type="expression" dxfId="658" priority="710">
      <formula>((AO576-AN576)/AN576)&gt;0.05</formula>
    </cfRule>
  </conditionalFormatting>
  <conditionalFormatting sqref="AO618">
    <cfRule type="expression" dxfId="657" priority="725">
      <formula>AND(AN618=0,(AO618&gt;0))</formula>
    </cfRule>
    <cfRule type="expression" dxfId="656" priority="726">
      <formula>((AO618-AN618)/AN618)&gt;0.05</formula>
    </cfRule>
  </conditionalFormatting>
  <conditionalFormatting sqref="AO619">
    <cfRule type="expression" dxfId="655" priority="705">
      <formula>AND(AN619=0,(AO619&gt;0))</formula>
    </cfRule>
    <cfRule type="expression" dxfId="654" priority="706">
      <formula>((AO619-AN619)/AN619)&gt;0.05</formula>
    </cfRule>
  </conditionalFormatting>
  <conditionalFormatting sqref="AO505:AO507">
    <cfRule type="expression" dxfId="653" priority="723">
      <formula>AND(AN505=0,(AO505&gt;0))</formula>
    </cfRule>
    <cfRule type="expression" dxfId="652" priority="724">
      <formula>((AO505-AN505)/AN505)&gt;0.05</formula>
    </cfRule>
  </conditionalFormatting>
  <conditionalFormatting sqref="AO508:AO523">
    <cfRule type="expression" dxfId="651" priority="721">
      <formula>AND(AN508=0,(AO508&gt;0))</formula>
    </cfRule>
    <cfRule type="expression" dxfId="650" priority="722">
      <formula>((AO508-AN508)/AN508)&gt;0.05</formula>
    </cfRule>
  </conditionalFormatting>
  <conditionalFormatting sqref="AO565:AO575">
    <cfRule type="expression" dxfId="649" priority="711">
      <formula>AND(AN565=0,(AO565&gt;0))</formula>
    </cfRule>
    <cfRule type="expression" dxfId="648" priority="712">
      <formula>((AO565-AN565)/AN565)&gt;0.05</formula>
    </cfRule>
  </conditionalFormatting>
  <conditionalFormatting sqref="AO581:AO607">
    <cfRule type="expression" dxfId="647" priority="707">
      <formula>AND(AN581=0,(AO581&gt;0))</formula>
    </cfRule>
    <cfRule type="expression" dxfId="646" priority="708">
      <formula>((AO581-AN581)/AN581)&gt;0.05</formula>
    </cfRule>
  </conditionalFormatting>
  <conditionalFormatting sqref="AO609:AO617">
    <cfRule type="expression" dxfId="645" priority="703">
      <formula>AND(AN609=0,(AO609&gt;0))</formula>
    </cfRule>
    <cfRule type="expression" dxfId="644" priority="704">
      <formula>((AO609-AN609)/AN609)&gt;0.05</formula>
    </cfRule>
  </conditionalFormatting>
  <conditionalFormatting sqref="I565:I575">
    <cfRule type="expression" dxfId="643" priority="687">
      <formula>AND(H565=0,(I565&gt;0))</formula>
    </cfRule>
    <cfRule type="expression" dxfId="642" priority="688">
      <formula>((I565-H565)/H565)&gt;0.05</formula>
    </cfRule>
  </conditionalFormatting>
  <conditionalFormatting sqref="I576:I580">
    <cfRule type="expression" dxfId="641" priority="685">
      <formula>AND(H576=0,(I576&gt;0))</formula>
    </cfRule>
    <cfRule type="expression" dxfId="640" priority="686">
      <formula>((I576-H576)/H576)&gt;0.05</formula>
    </cfRule>
  </conditionalFormatting>
  <conditionalFormatting sqref="I541:I554">
    <cfRule type="expression" dxfId="639" priority="691">
      <formula>AND(H541=0,(I541&gt;0))</formula>
    </cfRule>
    <cfRule type="expression" dxfId="638" priority="692">
      <formula>((I541-H541)/H541)&gt;0.05</formula>
    </cfRule>
  </conditionalFormatting>
  <conditionalFormatting sqref="I555:I564">
    <cfRule type="expression" dxfId="637" priority="689">
      <formula>AND(H555=0,(I555&gt;0))</formula>
    </cfRule>
    <cfRule type="expression" dxfId="636" priority="690">
      <formula>((I555-H555)/H555)&gt;0.05</formula>
    </cfRule>
  </conditionalFormatting>
  <conditionalFormatting sqref="I581:I607">
    <cfRule type="expression" dxfId="635" priority="683">
      <formula>AND(H581=0,(I581&gt;0))</formula>
    </cfRule>
    <cfRule type="expression" dxfId="634" priority="684">
      <formula>((I581-H581)/H581)&gt;0.05</formula>
    </cfRule>
  </conditionalFormatting>
  <conditionalFormatting sqref="I619">
    <cfRule type="expression" dxfId="633" priority="681">
      <formula>AND(H619=0,(I619&gt;0))</formula>
    </cfRule>
    <cfRule type="expression" dxfId="632" priority="682">
      <formula>((I619-H619)/H619)&gt;0.05</formula>
    </cfRule>
  </conditionalFormatting>
  <conditionalFormatting sqref="I508:I523">
    <cfRule type="expression" dxfId="631" priority="697">
      <formula>AND(H508=0,(I508&gt;0))</formula>
    </cfRule>
    <cfRule type="expression" dxfId="630" priority="698">
      <formula>((I508-H508)/H508)&gt;0.05</formula>
    </cfRule>
  </conditionalFormatting>
  <conditionalFormatting sqref="I505:I507">
    <cfRule type="expression" dxfId="629" priority="699">
      <formula>AND(H505=0,(I505&gt;0))</formula>
    </cfRule>
    <cfRule type="expression" dxfId="628" priority="700">
      <formula>((I505-H505)/H505)&gt;0.05</formula>
    </cfRule>
  </conditionalFormatting>
  <conditionalFormatting sqref="I618">
    <cfRule type="expression" dxfId="627" priority="701">
      <formula>AND(H618=0,(I618&gt;0))</formula>
    </cfRule>
    <cfRule type="expression" dxfId="626" priority="702">
      <formula>((I618-H618)/H618)&gt;0.05</formula>
    </cfRule>
  </conditionalFormatting>
  <conditionalFormatting sqref="I533:I540">
    <cfRule type="expression" dxfId="625" priority="695">
      <formula>AND(H533=0,(I533&gt;0))</formula>
    </cfRule>
    <cfRule type="expression" dxfId="624" priority="696">
      <formula>((I533-H533)/H533)&gt;0.05</formula>
    </cfRule>
  </conditionalFormatting>
  <conditionalFormatting sqref="I609:I617">
    <cfRule type="expression" dxfId="623" priority="679">
      <formula>AND(H609=0,(I609&gt;0))</formula>
    </cfRule>
    <cfRule type="expression" dxfId="622" priority="680">
      <formula>((I609-H609)/H609)&gt;0.05</formula>
    </cfRule>
  </conditionalFormatting>
  <conditionalFormatting sqref="I608">
    <cfRule type="expression" dxfId="621" priority="693">
      <formula>AND(H608=0,(I608&gt;0))</formula>
    </cfRule>
    <cfRule type="expression" dxfId="620" priority="694">
      <formula>((I608-H608)/H608)&gt;0.05</formula>
    </cfRule>
  </conditionalFormatting>
  <conditionalFormatting sqref="K576:K580">
    <cfRule type="expression" dxfId="619" priority="661">
      <formula>AND(J576=0,(K576&gt;0))</formula>
    </cfRule>
    <cfRule type="expression" dxfId="618" priority="662">
      <formula>((K576-J576)/J576)&gt;0.05</formula>
    </cfRule>
  </conditionalFormatting>
  <conditionalFormatting sqref="K581:K607">
    <cfRule type="expression" dxfId="617" priority="659">
      <formula>AND(J581=0,(K581&gt;0))</formula>
    </cfRule>
    <cfRule type="expression" dxfId="616" priority="660">
      <formula>((K581-J581)/J581)&gt;0.05</formula>
    </cfRule>
  </conditionalFormatting>
  <conditionalFormatting sqref="K555:K564">
    <cfRule type="expression" dxfId="615" priority="665">
      <formula>AND(J555=0,(K555&gt;0))</formula>
    </cfRule>
    <cfRule type="expression" dxfId="614" priority="666">
      <formula>((K555-J555)/J555)&gt;0.05</formula>
    </cfRule>
  </conditionalFormatting>
  <conditionalFormatting sqref="K609:K617">
    <cfRule type="expression" dxfId="613" priority="655">
      <formula>AND(J609=0,(K609&gt;0))</formula>
    </cfRule>
    <cfRule type="expression" dxfId="612" priority="656">
      <formula>((K609-J609)/J609)&gt;0.05</formula>
    </cfRule>
  </conditionalFormatting>
  <conditionalFormatting sqref="K533:K540">
    <cfRule type="expression" dxfId="611" priority="671">
      <formula>AND(J533=0,(K533&gt;0))</formula>
    </cfRule>
    <cfRule type="expression" dxfId="610" priority="672">
      <formula>((K533-J533)/J533)&gt;0.05</formula>
    </cfRule>
  </conditionalFormatting>
  <conditionalFormatting sqref="K608">
    <cfRule type="expression" dxfId="609" priority="669">
      <formula>AND(J608=0,(K608&gt;0))</formula>
    </cfRule>
    <cfRule type="expression" dxfId="608" priority="670">
      <formula>((K608-J608)/J608)&gt;0.05</formula>
    </cfRule>
  </conditionalFormatting>
  <conditionalFormatting sqref="K565:K575">
    <cfRule type="expression" dxfId="607" priority="663">
      <formula>AND(J565=0,(K565&gt;0))</formula>
    </cfRule>
    <cfRule type="expression" dxfId="606" priority="664">
      <formula>((K565-J565)/J565)&gt;0.05</formula>
    </cfRule>
  </conditionalFormatting>
  <conditionalFormatting sqref="K618">
    <cfRule type="expression" dxfId="605" priority="677">
      <formula>AND(J618=0,(K618&gt;0))</formula>
    </cfRule>
    <cfRule type="expression" dxfId="604" priority="678">
      <formula>((K618-J618)/J618)&gt;0.05</formula>
    </cfRule>
  </conditionalFormatting>
  <conditionalFormatting sqref="K505:K507">
    <cfRule type="expression" dxfId="603" priority="675">
      <formula>AND(J505=0,(K505&gt;0))</formula>
    </cfRule>
    <cfRule type="expression" dxfId="602" priority="676">
      <formula>((K505-J505)/J505)&gt;0.05</formula>
    </cfRule>
  </conditionalFormatting>
  <conditionalFormatting sqref="K508:K523">
    <cfRule type="expression" dxfId="601" priority="673">
      <formula>AND(J508=0,(K508&gt;0))</formula>
    </cfRule>
    <cfRule type="expression" dxfId="600" priority="674">
      <formula>((K508-J508)/J508)&gt;0.05</formula>
    </cfRule>
  </conditionalFormatting>
  <conditionalFormatting sqref="K541:K554">
    <cfRule type="expression" dxfId="599" priority="667">
      <formula>AND(J541=0,(K541&gt;0))</formula>
    </cfRule>
    <cfRule type="expression" dxfId="598" priority="668">
      <formula>((K541-J541)/J541)&gt;0.05</formula>
    </cfRule>
  </conditionalFormatting>
  <conditionalFormatting sqref="K619">
    <cfRule type="expression" dxfId="597" priority="657">
      <formula>AND(J619=0,(K619&gt;0))</formula>
    </cfRule>
    <cfRule type="expression" dxfId="596" priority="658">
      <formula>((K619-J619)/J619)&gt;0.05</formula>
    </cfRule>
  </conditionalFormatting>
  <conditionalFormatting sqref="M555:M564">
    <cfRule type="expression" dxfId="595" priority="641">
      <formula>AND(L555=0,(M555&gt;0))</formula>
    </cfRule>
    <cfRule type="expression" dxfId="594" priority="642">
      <formula>((M555-L555)/L555)&gt;0.05</formula>
    </cfRule>
  </conditionalFormatting>
  <conditionalFormatting sqref="M565:M575">
    <cfRule type="expression" dxfId="593" priority="639">
      <formula>AND(L565=0,(M565&gt;0))</formula>
    </cfRule>
    <cfRule type="expression" dxfId="592" priority="640">
      <formula>((M565-L565)/L565)&gt;0.05</formula>
    </cfRule>
  </conditionalFormatting>
  <conditionalFormatting sqref="M581:M607">
    <cfRule type="expression" dxfId="591" priority="635">
      <formula>AND(L581=0,(M581&gt;0))</formula>
    </cfRule>
    <cfRule type="expression" dxfId="590" priority="636">
      <formula>((M581-L581)/L581)&gt;0.05</formula>
    </cfRule>
  </conditionalFormatting>
  <conditionalFormatting sqref="M541:M554">
    <cfRule type="expression" dxfId="589" priority="643">
      <formula>AND(L541=0,(M541&gt;0))</formula>
    </cfRule>
    <cfRule type="expression" dxfId="588" priority="644">
      <formula>((M541-L541)/L541)&gt;0.05</formula>
    </cfRule>
  </conditionalFormatting>
  <conditionalFormatting sqref="M618">
    <cfRule type="expression" dxfId="587" priority="653">
      <formula>AND(L618=0,(M618&gt;0))</formula>
    </cfRule>
    <cfRule type="expression" dxfId="586" priority="654">
      <formula>((M618-L618)/L618)&gt;0.05</formula>
    </cfRule>
  </conditionalFormatting>
  <conditionalFormatting sqref="M608">
    <cfRule type="expression" dxfId="585" priority="645">
      <formula>AND(L608=0,(M608&gt;0))</formula>
    </cfRule>
    <cfRule type="expression" dxfId="584" priority="646">
      <formula>((M608-L608)/L608)&gt;0.05</formula>
    </cfRule>
  </conditionalFormatting>
  <conditionalFormatting sqref="M576:M580">
    <cfRule type="expression" dxfId="583" priority="637">
      <formula>AND(L576=0,(M576&gt;0))</formula>
    </cfRule>
    <cfRule type="expression" dxfId="582" priority="638">
      <formula>((M576-L576)/L576)&gt;0.05</formula>
    </cfRule>
  </conditionalFormatting>
  <conditionalFormatting sqref="M505:M507">
    <cfRule type="expression" dxfId="581" priority="651">
      <formula>AND(L505=0,(M505&gt;0))</formula>
    </cfRule>
    <cfRule type="expression" dxfId="580" priority="652">
      <formula>((M505-L505)/L505)&gt;0.05</formula>
    </cfRule>
  </conditionalFormatting>
  <conditionalFormatting sqref="M508:M523">
    <cfRule type="expression" dxfId="579" priority="649">
      <formula>AND(L508=0,(M508&gt;0))</formula>
    </cfRule>
    <cfRule type="expression" dxfId="578" priority="650">
      <formula>((M508-L508)/L508)&gt;0.05</formula>
    </cfRule>
  </conditionalFormatting>
  <conditionalFormatting sqref="M533:M540">
    <cfRule type="expression" dxfId="577" priority="647">
      <formula>AND(L533=0,(M533&gt;0))</formula>
    </cfRule>
    <cfRule type="expression" dxfId="576" priority="648">
      <formula>((M533-L533)/L533)&gt;0.05</formula>
    </cfRule>
  </conditionalFormatting>
  <conditionalFormatting sqref="M619">
    <cfRule type="expression" dxfId="575" priority="633">
      <formula>AND(L619=0,(M619&gt;0))</formula>
    </cfRule>
    <cfRule type="expression" dxfId="574" priority="634">
      <formula>((M619-L619)/L619)&gt;0.05</formula>
    </cfRule>
  </conditionalFormatting>
  <conditionalFormatting sqref="M609:M617">
    <cfRule type="expression" dxfId="573" priority="631">
      <formula>AND(L609=0,(M609&gt;0))</formula>
    </cfRule>
    <cfRule type="expression" dxfId="572" priority="632">
      <formula>((M609-L609)/L609)&gt;0.05</formula>
    </cfRule>
  </conditionalFormatting>
  <conditionalFormatting sqref="O541:O554">
    <cfRule type="expression" dxfId="571" priority="621">
      <formula>AND(N541=0,(O541&gt;0))</formula>
    </cfRule>
    <cfRule type="expression" dxfId="570" priority="622">
      <formula>((O541-N541)/N541)&gt;0.05</formula>
    </cfRule>
  </conditionalFormatting>
  <conditionalFormatting sqref="O555:O564">
    <cfRule type="expression" dxfId="569" priority="619">
      <formula>AND(N555=0,(O555&gt;0))</formula>
    </cfRule>
    <cfRule type="expression" dxfId="568" priority="620">
      <formula>((O555-N555)/N555)&gt;0.05</formula>
    </cfRule>
  </conditionalFormatting>
  <conditionalFormatting sqref="O565:O575">
    <cfRule type="expression" dxfId="567" priority="617">
      <formula>AND(N565=0,(O565&gt;0))</formula>
    </cfRule>
    <cfRule type="expression" dxfId="566" priority="618">
      <formula>((O565-N565)/N565)&gt;0.05</formula>
    </cfRule>
  </conditionalFormatting>
  <conditionalFormatting sqref="O576:O580">
    <cfRule type="expression" dxfId="565" priority="615">
      <formula>AND(N576=0,(O576&gt;0))</formula>
    </cfRule>
    <cfRule type="expression" dxfId="564" priority="616">
      <formula>((O576-N576)/N576)&gt;0.05</formula>
    </cfRule>
  </conditionalFormatting>
  <conditionalFormatting sqref="O581:O607">
    <cfRule type="expression" dxfId="563" priority="613">
      <formula>AND(N581=0,(O581&gt;0))</formula>
    </cfRule>
    <cfRule type="expression" dxfId="562" priority="614">
      <formula>((O581-N581)/N581)&gt;0.05</formula>
    </cfRule>
  </conditionalFormatting>
  <conditionalFormatting sqref="O508:O523">
    <cfRule type="expression" dxfId="561" priority="627">
      <formula>AND(N508=0,(O508&gt;0))</formula>
    </cfRule>
    <cfRule type="expression" dxfId="560" priority="628">
      <formula>((O508-N508)/N508)&gt;0.05</formula>
    </cfRule>
  </conditionalFormatting>
  <conditionalFormatting sqref="O533:O540">
    <cfRule type="expression" dxfId="559" priority="625">
      <formula>AND(N533=0,(O533&gt;0))</formula>
    </cfRule>
    <cfRule type="expression" dxfId="558" priority="626">
      <formula>((O533-N533)/N533)&gt;0.05</formula>
    </cfRule>
  </conditionalFormatting>
  <conditionalFormatting sqref="O608">
    <cfRule type="expression" dxfId="557" priority="623">
      <formula>AND(N608=0,(O608&gt;0))</formula>
    </cfRule>
    <cfRule type="expression" dxfId="556" priority="624">
      <formula>((O608-N608)/N608)&gt;0.05</formula>
    </cfRule>
  </conditionalFormatting>
  <conditionalFormatting sqref="O505:O507">
    <cfRule type="expression" dxfId="555" priority="629">
      <formula>AND(N505=0,(O505&gt;0))</formula>
    </cfRule>
    <cfRule type="expression" dxfId="554" priority="630">
      <formula>((O505-N505)/N505)&gt;0.05</formula>
    </cfRule>
  </conditionalFormatting>
  <conditionalFormatting sqref="U576:U580">
    <cfRule type="expression" dxfId="553" priority="595">
      <formula>AND(T576=0,(U576&gt;0))</formula>
    </cfRule>
    <cfRule type="expression" dxfId="552" priority="596">
      <formula>((U576-T576)/T576)&gt;0.05</formula>
    </cfRule>
  </conditionalFormatting>
  <conditionalFormatting sqref="U618">
    <cfRule type="expression" dxfId="551" priority="611">
      <formula>AND(T618=0,(U618&gt;0))</formula>
    </cfRule>
    <cfRule type="expression" dxfId="550" priority="612">
      <formula>((U618-T618)/T618)&gt;0.05</formula>
    </cfRule>
  </conditionalFormatting>
  <conditionalFormatting sqref="U505:U507">
    <cfRule type="expression" dxfId="549" priority="609">
      <formula>AND(T505=0,(U505&gt;0))</formula>
    </cfRule>
    <cfRule type="expression" dxfId="548" priority="610">
      <formula>((U505-T505)/T505)&gt;0.05</formula>
    </cfRule>
  </conditionalFormatting>
  <conditionalFormatting sqref="U508:U523">
    <cfRule type="expression" dxfId="547" priority="607">
      <formula>AND(T508=0,(U508&gt;0))</formula>
    </cfRule>
    <cfRule type="expression" dxfId="546" priority="608">
      <formula>((U508-T508)/T508)&gt;0.05</formula>
    </cfRule>
  </conditionalFormatting>
  <conditionalFormatting sqref="U533:U540">
    <cfRule type="expression" dxfId="545" priority="605">
      <formula>AND(T533=0,(U533&gt;0))</formula>
    </cfRule>
    <cfRule type="expression" dxfId="544" priority="606">
      <formula>((U533-T533)/T533)&gt;0.05</formula>
    </cfRule>
  </conditionalFormatting>
  <conditionalFormatting sqref="U608">
    <cfRule type="expression" dxfId="543" priority="603">
      <formula>AND(T608=0,(U608&gt;0))</formula>
    </cfRule>
    <cfRule type="expression" dxfId="542" priority="604">
      <formula>((U608-T608)/T608)&gt;0.05</formula>
    </cfRule>
  </conditionalFormatting>
  <conditionalFormatting sqref="U609:U617">
    <cfRule type="expression" dxfId="541" priority="589">
      <formula>AND(T609=0,(U609&gt;0))</formula>
    </cfRule>
    <cfRule type="expression" dxfId="540" priority="590">
      <formula>((U609-T609)/T609)&gt;0.05</formula>
    </cfRule>
  </conditionalFormatting>
  <conditionalFormatting sqref="U541:U554">
    <cfRule type="expression" dxfId="539" priority="601">
      <formula>AND(T541=0,(U541&gt;0))</formula>
    </cfRule>
    <cfRule type="expression" dxfId="538" priority="602">
      <formula>((U541-T541)/T541)&gt;0.05</formula>
    </cfRule>
  </conditionalFormatting>
  <conditionalFormatting sqref="U555:U564">
    <cfRule type="expression" dxfId="537" priority="599">
      <formula>AND(T555=0,(U555&gt;0))</formula>
    </cfRule>
    <cfRule type="expression" dxfId="536" priority="600">
      <formula>((U555-T555)/T555)&gt;0.05</formula>
    </cfRule>
  </conditionalFormatting>
  <conditionalFormatting sqref="U565:U575">
    <cfRule type="expression" dxfId="535" priority="597">
      <formula>AND(T565=0,(U565&gt;0))</formula>
    </cfRule>
    <cfRule type="expression" dxfId="534" priority="598">
      <formula>((U565-T565)/T565)&gt;0.05</formula>
    </cfRule>
  </conditionalFormatting>
  <conditionalFormatting sqref="U581:U607">
    <cfRule type="expression" dxfId="533" priority="593">
      <formula>AND(T581=0,(U581&gt;0))</formula>
    </cfRule>
    <cfRule type="expression" dxfId="532" priority="594">
      <formula>((U581-T581)/T581)&gt;0.05</formula>
    </cfRule>
  </conditionalFormatting>
  <conditionalFormatting sqref="U619">
    <cfRule type="expression" dxfId="531" priority="591">
      <formula>AND(T619=0,(U619&gt;0))</formula>
    </cfRule>
    <cfRule type="expression" dxfId="530" priority="592">
      <formula>((U619-T619)/T619)&gt;0.05</formula>
    </cfRule>
  </conditionalFormatting>
  <conditionalFormatting sqref="Y581:Y607">
    <cfRule type="expression" dxfId="529" priority="569">
      <formula>AND(X581=0,(Y581&gt;0))</formula>
    </cfRule>
    <cfRule type="expression" dxfId="528" priority="570">
      <formula>((Y581-X581)/X581)&gt;0.05</formula>
    </cfRule>
  </conditionalFormatting>
  <conditionalFormatting sqref="Y505:Y507">
    <cfRule type="expression" dxfId="527" priority="585">
      <formula>AND(X505=0,(Y505&gt;0))</formula>
    </cfRule>
    <cfRule type="expression" dxfId="526" priority="586">
      <formula>((Y505-X505)/X505)&gt;0.05</formula>
    </cfRule>
  </conditionalFormatting>
  <conditionalFormatting sqref="Y508:Y523">
    <cfRule type="expression" dxfId="525" priority="583">
      <formula>AND(X508=0,(Y508&gt;0))</formula>
    </cfRule>
    <cfRule type="expression" dxfId="524" priority="584">
      <formula>((Y508-X508)/X508)&gt;0.05</formula>
    </cfRule>
  </conditionalFormatting>
  <conditionalFormatting sqref="Y533:Y540">
    <cfRule type="expression" dxfId="523" priority="581">
      <formula>AND(X533=0,(Y533&gt;0))</formula>
    </cfRule>
    <cfRule type="expression" dxfId="522" priority="582">
      <formula>((Y533-X533)/X533)&gt;0.05</formula>
    </cfRule>
  </conditionalFormatting>
  <conditionalFormatting sqref="Y619">
    <cfRule type="expression" dxfId="521" priority="567">
      <formula>AND(X619=0,(Y619&gt;0))</formula>
    </cfRule>
    <cfRule type="expression" dxfId="520" priority="568">
      <formula>((Y619-X619)/X619)&gt;0.05</formula>
    </cfRule>
  </conditionalFormatting>
  <conditionalFormatting sqref="Y609:Y617">
    <cfRule type="expression" dxfId="519" priority="565">
      <formula>AND(X609=0,(Y609&gt;0))</formula>
    </cfRule>
    <cfRule type="expression" dxfId="518" priority="566">
      <formula>((Y609-X609)/X609)&gt;0.05</formula>
    </cfRule>
  </conditionalFormatting>
  <conditionalFormatting sqref="Y608">
    <cfRule type="expression" dxfId="517" priority="579">
      <formula>AND(X608=0,(Y608&gt;0))</formula>
    </cfRule>
    <cfRule type="expression" dxfId="516" priority="580">
      <formula>((Y608-X608)/X608)&gt;0.05</formula>
    </cfRule>
  </conditionalFormatting>
  <conditionalFormatting sqref="Y618">
    <cfRule type="expression" dxfId="515" priority="587">
      <formula>AND(X618=0,(Y618&gt;0))</formula>
    </cfRule>
    <cfRule type="expression" dxfId="514" priority="588">
      <formula>((Y618-X618)/X618)&gt;0.05</formula>
    </cfRule>
  </conditionalFormatting>
  <conditionalFormatting sqref="Y541:Y554">
    <cfRule type="expression" dxfId="513" priority="577">
      <formula>AND(X541=0,(Y541&gt;0))</formula>
    </cfRule>
    <cfRule type="expression" dxfId="512" priority="578">
      <formula>((Y541-X541)/X541)&gt;0.05</formula>
    </cfRule>
  </conditionalFormatting>
  <conditionalFormatting sqref="Y555:Y564">
    <cfRule type="expression" dxfId="511" priority="575">
      <formula>AND(X555=0,(Y555&gt;0))</formula>
    </cfRule>
    <cfRule type="expression" dxfId="510" priority="576">
      <formula>((Y555-X555)/X555)&gt;0.05</formula>
    </cfRule>
  </conditionalFormatting>
  <conditionalFormatting sqref="Y576:Y580">
    <cfRule type="expression" dxfId="509" priority="571">
      <formula>AND(X576=0,(Y576&gt;0))</formula>
    </cfRule>
    <cfRule type="expression" dxfId="508" priority="572">
      <formula>((Y576-X576)/X576)&gt;0.05</formula>
    </cfRule>
  </conditionalFormatting>
  <conditionalFormatting sqref="Y565:Y575">
    <cfRule type="expression" dxfId="507" priority="573">
      <formula>AND(X565=0,(Y565&gt;0))</formula>
    </cfRule>
    <cfRule type="expression" dxfId="506" priority="574">
      <formula>((Y565-X565)/X565)&gt;0.05</formula>
    </cfRule>
  </conditionalFormatting>
  <conditionalFormatting sqref="AA608">
    <cfRule type="expression" dxfId="505" priority="555">
      <formula>AND(Z608=0,(AA608&gt;0))</formula>
    </cfRule>
    <cfRule type="expression" dxfId="504" priority="556">
      <formula>((AA608-Z608)/Z608)&gt;0.05</formula>
    </cfRule>
  </conditionalFormatting>
  <conditionalFormatting sqref="AA541:AA554">
    <cfRule type="expression" dxfId="503" priority="553">
      <formula>AND(Z541=0,(AA541&gt;0))</formula>
    </cfRule>
    <cfRule type="expression" dxfId="502" priority="554">
      <formula>((AA541-Z541)/Z541)&gt;0.05</formula>
    </cfRule>
  </conditionalFormatting>
  <conditionalFormatting sqref="AA555:AA564">
    <cfRule type="expression" dxfId="501" priority="551">
      <formula>AND(Z555=0,(AA555&gt;0))</formula>
    </cfRule>
    <cfRule type="expression" dxfId="500" priority="552">
      <formula>((AA555-Z555)/Z555)&gt;0.05</formula>
    </cfRule>
  </conditionalFormatting>
  <conditionalFormatting sqref="AA609:AA617">
    <cfRule type="expression" dxfId="499" priority="541">
      <formula>AND(Z609=0,(AA609&gt;0))</formula>
    </cfRule>
    <cfRule type="expression" dxfId="498" priority="542">
      <formula>((AA609-Z609)/Z609)&gt;0.05</formula>
    </cfRule>
  </conditionalFormatting>
  <conditionalFormatting sqref="AA618">
    <cfRule type="expression" dxfId="497" priority="563">
      <formula>AND(Z618=0,(AA618&gt;0))</formula>
    </cfRule>
    <cfRule type="expression" dxfId="496" priority="564">
      <formula>((AA618-Z618)/Z618)&gt;0.05</formula>
    </cfRule>
  </conditionalFormatting>
  <conditionalFormatting sqref="AA505:AA507">
    <cfRule type="expression" dxfId="495" priority="561">
      <formula>AND(Z505=0,(AA505&gt;0))</formula>
    </cfRule>
    <cfRule type="expression" dxfId="494" priority="562">
      <formula>((AA505-Z505)/Z505)&gt;0.05</formula>
    </cfRule>
  </conditionalFormatting>
  <conditionalFormatting sqref="AA508:AA523">
    <cfRule type="expression" dxfId="493" priority="559">
      <formula>AND(Z508=0,(AA508&gt;0))</formula>
    </cfRule>
    <cfRule type="expression" dxfId="492" priority="560">
      <formula>((AA508-Z508)/Z508)&gt;0.05</formula>
    </cfRule>
  </conditionalFormatting>
  <conditionalFormatting sqref="AA533:AA540">
    <cfRule type="expression" dxfId="491" priority="557">
      <formula>AND(Z533=0,(AA533&gt;0))</formula>
    </cfRule>
    <cfRule type="expression" dxfId="490" priority="558">
      <formula>((AA533-Z533)/Z533)&gt;0.05</formula>
    </cfRule>
  </conditionalFormatting>
  <conditionalFormatting sqref="AA565:AA575">
    <cfRule type="expression" dxfId="489" priority="549">
      <formula>AND(Z565=0,(AA565&gt;0))</formula>
    </cfRule>
    <cfRule type="expression" dxfId="488" priority="550">
      <formula>((AA565-Z565)/Z565)&gt;0.05</formula>
    </cfRule>
  </conditionalFormatting>
  <conditionalFormatting sqref="AA576:AA580">
    <cfRule type="expression" dxfId="487" priority="547">
      <formula>AND(Z576=0,(AA576&gt;0))</formula>
    </cfRule>
    <cfRule type="expression" dxfId="486" priority="548">
      <formula>((AA576-Z576)/Z576)&gt;0.05</formula>
    </cfRule>
  </conditionalFormatting>
  <conditionalFormatting sqref="AA581:AA607">
    <cfRule type="expression" dxfId="485" priority="545">
      <formula>AND(Z581=0,(AA581&gt;0))</formula>
    </cfRule>
    <cfRule type="expression" dxfId="484" priority="546">
      <formula>((AA581-Z581)/Z581)&gt;0.05</formula>
    </cfRule>
  </conditionalFormatting>
  <conditionalFormatting sqref="AA619">
    <cfRule type="expression" dxfId="483" priority="543">
      <formula>AND(Z619=0,(AA619&gt;0))</formula>
    </cfRule>
    <cfRule type="expression" dxfId="482" priority="544">
      <formula>((AA619-Z619)/Z619)&gt;0.05</formula>
    </cfRule>
  </conditionalFormatting>
  <conditionalFormatting sqref="AC565:AC575">
    <cfRule type="expression" dxfId="481" priority="525">
      <formula>AND(AB565=0,(AC565&gt;0))</formula>
    </cfRule>
    <cfRule type="expression" dxfId="480" priority="526">
      <formula>((AC565-AB565)/AB565)&gt;0.05</formula>
    </cfRule>
  </conditionalFormatting>
  <conditionalFormatting sqref="AC576:AC580">
    <cfRule type="expression" dxfId="479" priority="523">
      <formula>AND(AB576=0,(AC576&gt;0))</formula>
    </cfRule>
    <cfRule type="expression" dxfId="478" priority="524">
      <formula>((AC576-AB576)/AB576)&gt;0.05</formula>
    </cfRule>
  </conditionalFormatting>
  <conditionalFormatting sqref="AC581:AC607">
    <cfRule type="expression" dxfId="477" priority="521">
      <formula>AND(AB581=0,(AC581&gt;0))</formula>
    </cfRule>
    <cfRule type="expression" dxfId="476" priority="522">
      <formula>((AC581-AB581)/AB581)&gt;0.05</formula>
    </cfRule>
  </conditionalFormatting>
  <conditionalFormatting sqref="AC541:AC554">
    <cfRule type="expression" dxfId="475" priority="529">
      <formula>AND(AB541=0,(AC541&gt;0))</formula>
    </cfRule>
    <cfRule type="expression" dxfId="474" priority="530">
      <formula>((AC541-AB541)/AB541)&gt;0.05</formula>
    </cfRule>
  </conditionalFormatting>
  <conditionalFormatting sqref="AC618">
    <cfRule type="expression" dxfId="473" priority="539">
      <formula>AND(AB618=0,(AC618&gt;0))</formula>
    </cfRule>
    <cfRule type="expression" dxfId="472" priority="540">
      <formula>((AC618-AB618)/AB618)&gt;0.05</formula>
    </cfRule>
  </conditionalFormatting>
  <conditionalFormatting sqref="AC505:AC507">
    <cfRule type="expression" dxfId="471" priority="537">
      <formula>AND(AB505=0,(AC505&gt;0))</formula>
    </cfRule>
    <cfRule type="expression" dxfId="470" priority="538">
      <formula>((AC505-AB505)/AB505)&gt;0.05</formula>
    </cfRule>
  </conditionalFormatting>
  <conditionalFormatting sqref="AC508:AC523">
    <cfRule type="expression" dxfId="469" priority="535">
      <formula>AND(AB508=0,(AC508&gt;0))</formula>
    </cfRule>
    <cfRule type="expression" dxfId="468" priority="536">
      <formula>((AC508-AB508)/AB508)&gt;0.05</formula>
    </cfRule>
  </conditionalFormatting>
  <conditionalFormatting sqref="AC533:AC540">
    <cfRule type="expression" dxfId="467" priority="533">
      <formula>AND(AB533=0,(AC533&gt;0))</formula>
    </cfRule>
    <cfRule type="expression" dxfId="466" priority="534">
      <formula>((AC533-AB533)/AB533)&gt;0.05</formula>
    </cfRule>
  </conditionalFormatting>
  <conditionalFormatting sqref="AC608">
    <cfRule type="expression" dxfId="465" priority="531">
      <formula>AND(AB608=0,(AC608&gt;0))</formula>
    </cfRule>
    <cfRule type="expression" dxfId="464" priority="532">
      <formula>((AC608-AB608)/AB608)&gt;0.05</formula>
    </cfRule>
  </conditionalFormatting>
  <conditionalFormatting sqref="AC555:AC564">
    <cfRule type="expression" dxfId="463" priority="527">
      <formula>AND(AB555=0,(AC555&gt;0))</formula>
    </cfRule>
    <cfRule type="expression" dxfId="462" priority="528">
      <formula>((AC555-AB555)/AB555)&gt;0.05</formula>
    </cfRule>
  </conditionalFormatting>
  <conditionalFormatting sqref="AC619">
    <cfRule type="expression" dxfId="461" priority="519">
      <formula>AND(AB619=0,(AC619&gt;0))</formula>
    </cfRule>
    <cfRule type="expression" dxfId="460" priority="520">
      <formula>((AC619-AB619)/AB619)&gt;0.05</formula>
    </cfRule>
  </conditionalFormatting>
  <conditionalFormatting sqref="AC609:AC617">
    <cfRule type="expression" dxfId="459" priority="517">
      <formula>AND(AB609=0,(AC609&gt;0))</formula>
    </cfRule>
    <cfRule type="expression" dxfId="458" priority="518">
      <formula>((AC609-AB609)/AB609)&gt;0.05</formula>
    </cfRule>
  </conditionalFormatting>
  <conditionalFormatting sqref="AE576:AE580">
    <cfRule type="expression" dxfId="457" priority="499">
      <formula>AND(AD576=0,(AE576&gt;0))</formula>
    </cfRule>
    <cfRule type="expression" dxfId="456" priority="500">
      <formula>((AE576-AD576)/AD576)&gt;0.05</formula>
    </cfRule>
  </conditionalFormatting>
  <conditionalFormatting sqref="AE619">
    <cfRule type="expression" dxfId="455" priority="495">
      <formula>AND(AD619=0,(AE619&gt;0))</formula>
    </cfRule>
    <cfRule type="expression" dxfId="454" priority="496">
      <formula>((AE619-AD619)/AD619)&gt;0.05</formula>
    </cfRule>
  </conditionalFormatting>
  <conditionalFormatting sqref="AE508:AE523">
    <cfRule type="expression" dxfId="453" priority="511">
      <formula>AND(AD508=0,(AE508&gt;0))</formula>
    </cfRule>
    <cfRule type="expression" dxfId="452" priority="512">
      <formula>((AE508-AD508)/AD508)&gt;0.05</formula>
    </cfRule>
  </conditionalFormatting>
  <conditionalFormatting sqref="AE533:AE540">
    <cfRule type="expression" dxfId="451" priority="509">
      <formula>AND(AD533=0,(AE533&gt;0))</formula>
    </cfRule>
    <cfRule type="expression" dxfId="450" priority="510">
      <formula>((AE533-AD533)/AD533)&gt;0.05</formula>
    </cfRule>
  </conditionalFormatting>
  <conditionalFormatting sqref="AE581:AE607">
    <cfRule type="expression" dxfId="449" priority="497">
      <formula>AND(AD581=0,(AE581&gt;0))</formula>
    </cfRule>
    <cfRule type="expression" dxfId="448" priority="498">
      <formula>((AE581-AD581)/AD581)&gt;0.05</formula>
    </cfRule>
  </conditionalFormatting>
  <conditionalFormatting sqref="AE618">
    <cfRule type="expression" dxfId="447" priority="515">
      <formula>AND(AD618=0,(AE618&gt;0))</formula>
    </cfRule>
    <cfRule type="expression" dxfId="446" priority="516">
      <formula>((AE618-AD618)/AD618)&gt;0.05</formula>
    </cfRule>
  </conditionalFormatting>
  <conditionalFormatting sqref="AE505:AE507">
    <cfRule type="expression" dxfId="445" priority="513">
      <formula>AND(AD505=0,(AE505&gt;0))</formula>
    </cfRule>
    <cfRule type="expression" dxfId="444" priority="514">
      <formula>((AE505-AD505)/AD505)&gt;0.05</formula>
    </cfRule>
  </conditionalFormatting>
  <conditionalFormatting sqref="AE608">
    <cfRule type="expression" dxfId="443" priority="507">
      <formula>AND(AD608=0,(AE608&gt;0))</formula>
    </cfRule>
    <cfRule type="expression" dxfId="442" priority="508">
      <formula>((AE608-AD608)/AD608)&gt;0.05</formula>
    </cfRule>
  </conditionalFormatting>
  <conditionalFormatting sqref="AE541:AE554">
    <cfRule type="expression" dxfId="441" priority="505">
      <formula>AND(AD541=0,(AE541&gt;0))</formula>
    </cfRule>
    <cfRule type="expression" dxfId="440" priority="506">
      <formula>((AE541-AD541)/AD541)&gt;0.05</formula>
    </cfRule>
  </conditionalFormatting>
  <conditionalFormatting sqref="AE555:AE564">
    <cfRule type="expression" dxfId="439" priority="503">
      <formula>AND(AD555=0,(AE555&gt;0))</formula>
    </cfRule>
    <cfRule type="expression" dxfId="438" priority="504">
      <formula>((AE555-AD555)/AD555)&gt;0.05</formula>
    </cfRule>
  </conditionalFormatting>
  <conditionalFormatting sqref="AE565:AE575">
    <cfRule type="expression" dxfId="437" priority="501">
      <formula>AND(AD565=0,(AE565&gt;0))</formula>
    </cfRule>
    <cfRule type="expression" dxfId="436" priority="502">
      <formula>((AE565-AD565)/AD565)&gt;0.05</formula>
    </cfRule>
  </conditionalFormatting>
  <conditionalFormatting sqref="AE609:AE617">
    <cfRule type="expression" dxfId="435" priority="493">
      <formula>AND(AD609=0,(AE609&gt;0))</formula>
    </cfRule>
    <cfRule type="expression" dxfId="434" priority="494">
      <formula>((AE609-AD609)/AD609)&gt;0.05</formula>
    </cfRule>
  </conditionalFormatting>
  <conditionalFormatting sqref="AK618">
    <cfRule type="expression" dxfId="433" priority="491">
      <formula>AND(AJ618=0,(AK618&gt;0))</formula>
    </cfRule>
    <cfRule type="expression" dxfId="432" priority="492">
      <formula>((AK618-AJ618)/AJ618)&gt;0.05</formula>
    </cfRule>
  </conditionalFormatting>
  <conditionalFormatting sqref="AK508:AK523">
    <cfRule type="expression" dxfId="431" priority="487">
      <formula>AND(AJ508=0,(AK508&gt;0))</formula>
    </cfRule>
    <cfRule type="expression" dxfId="430" priority="488">
      <formula>((AK508-AJ508)/AJ508)&gt;0.05</formula>
    </cfRule>
  </conditionalFormatting>
  <conditionalFormatting sqref="AK533:AK540">
    <cfRule type="expression" dxfId="429" priority="485">
      <formula>AND(AJ533=0,(AK533&gt;0))</formula>
    </cfRule>
    <cfRule type="expression" dxfId="428" priority="486">
      <formula>((AK533-AJ533)/AJ533)&gt;0.05</formula>
    </cfRule>
  </conditionalFormatting>
  <conditionalFormatting sqref="AK505:AK507">
    <cfRule type="expression" dxfId="427" priority="489">
      <formula>AND(AJ505=0,(AK505&gt;0))</formula>
    </cfRule>
    <cfRule type="expression" dxfId="426" priority="490">
      <formula>((AK505-AJ505)/AJ505)&gt;0.05</formula>
    </cfRule>
  </conditionalFormatting>
  <conditionalFormatting sqref="AK608">
    <cfRule type="expression" dxfId="425" priority="483">
      <formula>AND(AJ608=0,(AK608&gt;0))</formula>
    </cfRule>
    <cfRule type="expression" dxfId="424" priority="484">
      <formula>((AK608-AJ608)/AJ608)&gt;0.05</formula>
    </cfRule>
  </conditionalFormatting>
  <conditionalFormatting sqref="AK541:AK554">
    <cfRule type="expression" dxfId="423" priority="481">
      <formula>AND(AJ541=0,(AK541&gt;0))</formula>
    </cfRule>
    <cfRule type="expression" dxfId="422" priority="482">
      <formula>((AK541-AJ541)/AJ541)&gt;0.05</formula>
    </cfRule>
  </conditionalFormatting>
  <conditionalFormatting sqref="AK555:AK564">
    <cfRule type="expression" dxfId="421" priority="479">
      <formula>AND(AJ555=0,(AK555&gt;0))</formula>
    </cfRule>
    <cfRule type="expression" dxfId="420" priority="480">
      <formula>((AK555-AJ555)/AJ555)&gt;0.05</formula>
    </cfRule>
  </conditionalFormatting>
  <conditionalFormatting sqref="AK565:AK575">
    <cfRule type="expression" dxfId="419" priority="477">
      <formula>AND(AJ565=0,(AK565&gt;0))</formula>
    </cfRule>
    <cfRule type="expression" dxfId="418" priority="478">
      <formula>((AK565-AJ565)/AJ565)&gt;0.05</formula>
    </cfRule>
  </conditionalFormatting>
  <conditionalFormatting sqref="AK576:AK580">
    <cfRule type="expression" dxfId="417" priority="475">
      <formula>AND(AJ576=0,(AK576&gt;0))</formula>
    </cfRule>
    <cfRule type="expression" dxfId="416" priority="476">
      <formula>((AK576-AJ576)/AJ576)&gt;0.05</formula>
    </cfRule>
  </conditionalFormatting>
  <conditionalFormatting sqref="AK581:AK607">
    <cfRule type="expression" dxfId="415" priority="473">
      <formula>AND(AJ581=0,(AK581&gt;0))</formula>
    </cfRule>
    <cfRule type="expression" dxfId="414" priority="474">
      <formula>((AK581-AJ581)/AJ581)&gt;0.05</formula>
    </cfRule>
  </conditionalFormatting>
  <conditionalFormatting sqref="AK619">
    <cfRule type="expression" dxfId="413" priority="471">
      <formula>AND(AJ619=0,(AK619&gt;0))</formula>
    </cfRule>
    <cfRule type="expression" dxfId="412" priority="472">
      <formula>((AK619-AJ619)/AJ619)&gt;0.05</formula>
    </cfRule>
  </conditionalFormatting>
  <conditionalFormatting sqref="AK609:AK617">
    <cfRule type="expression" dxfId="411" priority="469">
      <formula>AND(AJ609=0,(AK609&gt;0))</formula>
    </cfRule>
    <cfRule type="expression" dxfId="410" priority="470">
      <formula>((AK609-AJ609)/AJ609)&gt;0.05</formula>
    </cfRule>
  </conditionalFormatting>
  <conditionalFormatting sqref="AQ565:AQ575">
    <cfRule type="expression" dxfId="409" priority="453">
      <formula>AND(AP565=0,(AQ565&gt;0))</formula>
    </cfRule>
    <cfRule type="expression" dxfId="408" priority="454">
      <formula>((AQ565-AP565)/AP565)&gt;0.05</formula>
    </cfRule>
  </conditionalFormatting>
  <conditionalFormatting sqref="AQ576:AQ580">
    <cfRule type="expression" dxfId="407" priority="451">
      <formula>AND(AP576=0,(AQ576&gt;0))</formula>
    </cfRule>
    <cfRule type="expression" dxfId="406" priority="452">
      <formula>((AQ576-AP576)/AP576)&gt;0.05</formula>
    </cfRule>
  </conditionalFormatting>
  <conditionalFormatting sqref="AQ508:AQ523">
    <cfRule type="expression" dxfId="405" priority="463">
      <formula>AND(AP508=0,(AQ508&gt;0))</formula>
    </cfRule>
    <cfRule type="expression" dxfId="404" priority="464">
      <formula>((AQ508-AP508)/AP508)&gt;0.05</formula>
    </cfRule>
  </conditionalFormatting>
  <conditionalFormatting sqref="AQ555:AQ564">
    <cfRule type="expression" dxfId="403" priority="455">
      <formula>AND(AP555=0,(AQ555&gt;0))</formula>
    </cfRule>
    <cfRule type="expression" dxfId="402" priority="456">
      <formula>((AQ555-AP555)/AP555)&gt;0.05</formula>
    </cfRule>
  </conditionalFormatting>
  <conditionalFormatting sqref="AQ541:AQ554">
    <cfRule type="expression" dxfId="401" priority="457">
      <formula>AND(AP541=0,(AQ541&gt;0))</formula>
    </cfRule>
    <cfRule type="expression" dxfId="400" priority="458">
      <formula>((AQ541-AP541)/AP541)&gt;0.05</formula>
    </cfRule>
  </conditionalFormatting>
  <conditionalFormatting sqref="AQ581:AQ607">
    <cfRule type="expression" dxfId="399" priority="449">
      <formula>AND(AP581=0,(AQ581&gt;0))</formula>
    </cfRule>
    <cfRule type="expression" dxfId="398" priority="450">
      <formula>((AQ581-AP581)/AP581)&gt;0.05</formula>
    </cfRule>
  </conditionalFormatting>
  <conditionalFormatting sqref="AQ612">
    <cfRule type="expression" dxfId="397" priority="467">
      <formula>AND(AP618=0,(AQ612&gt;0))</formula>
    </cfRule>
    <cfRule type="expression" dxfId="396" priority="468">
      <formula>((AQ612-AP618)/AP618)&gt;0.05</formula>
    </cfRule>
  </conditionalFormatting>
  <conditionalFormatting sqref="AQ505:AQ507">
    <cfRule type="expression" dxfId="395" priority="465">
      <formula>AND(AP505=0,(AQ505&gt;0))</formula>
    </cfRule>
    <cfRule type="expression" dxfId="394" priority="466">
      <formula>((AQ505-AP505)/AP505)&gt;0.05</formula>
    </cfRule>
  </conditionalFormatting>
  <conditionalFormatting sqref="AQ533:AQ540">
    <cfRule type="expression" dxfId="393" priority="461">
      <formula>AND(AP533=0,(AQ533&gt;0))</formula>
    </cfRule>
    <cfRule type="expression" dxfId="392" priority="462">
      <formula>((AQ533-AP533)/AP533)&gt;0.05</formula>
    </cfRule>
  </conditionalFormatting>
  <conditionalFormatting sqref="AQ609:AQ611 AQ614:AQ617">
    <cfRule type="expression" dxfId="391" priority="445">
      <formula>AND(AP609=0,(AQ609&gt;0))</formula>
    </cfRule>
    <cfRule type="expression" dxfId="390" priority="446">
      <formula>((AQ609-AP609)/AP609)&gt;0.05</formula>
    </cfRule>
  </conditionalFormatting>
  <conditionalFormatting sqref="AQ608">
    <cfRule type="expression" dxfId="389" priority="459">
      <formula>AND(AP608=0,(AQ608&gt;0))</formula>
    </cfRule>
    <cfRule type="expression" dxfId="388" priority="460">
      <formula>((AQ608-AP608)/AP608)&gt;0.05</formula>
    </cfRule>
  </conditionalFormatting>
  <conditionalFormatting sqref="AQ613">
    <cfRule type="expression" dxfId="387" priority="447">
      <formula>AND(AP619=0,(AQ613&gt;0))</formula>
    </cfRule>
    <cfRule type="expression" dxfId="386" priority="448">
      <formula>((AQ613-AP619)/AP619)&gt;0.05</formula>
    </cfRule>
  </conditionalFormatting>
  <conditionalFormatting sqref="AS565:AS575">
    <cfRule type="expression" dxfId="385" priority="429">
      <formula>AND(AR565=0,(AS565&gt;0))</formula>
    </cfRule>
    <cfRule type="expression" dxfId="384" priority="430">
      <formula>((AS565-AR565)/AR565)&gt;0.05</formula>
    </cfRule>
  </conditionalFormatting>
  <conditionalFormatting sqref="AS576:AS580">
    <cfRule type="expression" dxfId="383" priority="427">
      <formula>AND(AR576=0,(AS576&gt;0))</formula>
    </cfRule>
    <cfRule type="expression" dxfId="382" priority="428">
      <formula>((AS576-AR576)/AR576)&gt;0.05</formula>
    </cfRule>
  </conditionalFormatting>
  <conditionalFormatting sqref="AS541:AS554">
    <cfRule type="expression" dxfId="381" priority="433">
      <formula>AND(AR541=0,(AS541&gt;0))</formula>
    </cfRule>
    <cfRule type="expression" dxfId="380" priority="434">
      <formula>((AS541-AR541)/AR541)&gt;0.05</formula>
    </cfRule>
  </conditionalFormatting>
  <conditionalFormatting sqref="AS613">
    <cfRule type="expression" dxfId="379" priority="423">
      <formula>AND(AR619=0,(AS613&gt;0))</formula>
    </cfRule>
    <cfRule type="expression" dxfId="378" priority="424">
      <formula>((AS613-AR619)/AR619)&gt;0.05</formula>
    </cfRule>
  </conditionalFormatting>
  <conditionalFormatting sqref="AS612">
    <cfRule type="expression" dxfId="377" priority="443">
      <formula>AND(AR618=0,(AS612&gt;0))</formula>
    </cfRule>
    <cfRule type="expression" dxfId="376" priority="444">
      <formula>((AS612-AR618)/AR618)&gt;0.05</formula>
    </cfRule>
  </conditionalFormatting>
  <conditionalFormatting sqref="AS505:AS507">
    <cfRule type="expression" dxfId="375" priority="441">
      <formula>AND(AR505=0,(AS505&gt;0))</formula>
    </cfRule>
    <cfRule type="expression" dxfId="374" priority="442">
      <formula>((AS505-AR505)/AR505)&gt;0.05</formula>
    </cfRule>
  </conditionalFormatting>
  <conditionalFormatting sqref="AS508:AS523">
    <cfRule type="expression" dxfId="373" priority="439">
      <formula>AND(AR508=0,(AS508&gt;0))</formula>
    </cfRule>
    <cfRule type="expression" dxfId="372" priority="440">
      <formula>((AS508-AR508)/AR508)&gt;0.05</formula>
    </cfRule>
  </conditionalFormatting>
  <conditionalFormatting sqref="AS533:AS540">
    <cfRule type="expression" dxfId="371" priority="437">
      <formula>AND(AR533=0,(AS533&gt;0))</formula>
    </cfRule>
    <cfRule type="expression" dxfId="370" priority="438">
      <formula>((AS533-AR533)/AR533)&gt;0.05</formula>
    </cfRule>
  </conditionalFormatting>
  <conditionalFormatting sqref="AS608">
    <cfRule type="expression" dxfId="369" priority="435">
      <formula>AND(AR608=0,(AS608&gt;0))</formula>
    </cfRule>
    <cfRule type="expression" dxfId="368" priority="436">
      <formula>((AS608-AR608)/AR608)&gt;0.05</formula>
    </cfRule>
  </conditionalFormatting>
  <conditionalFormatting sqref="AS555:AS564">
    <cfRule type="expression" dxfId="367" priority="431">
      <formula>AND(AR555=0,(AS555&gt;0))</formula>
    </cfRule>
    <cfRule type="expression" dxfId="366" priority="432">
      <formula>((AS555-AR555)/AR555)&gt;0.05</formula>
    </cfRule>
  </conditionalFormatting>
  <conditionalFormatting sqref="AS581:AS607">
    <cfRule type="expression" dxfId="365" priority="425">
      <formula>AND(AR581=0,(AS581&gt;0))</formula>
    </cfRule>
    <cfRule type="expression" dxfId="364" priority="426">
      <formula>((AS581-AR581)/AR581)&gt;0.05</formula>
    </cfRule>
  </conditionalFormatting>
  <conditionalFormatting sqref="AS609:AS611 AS614:AS617">
    <cfRule type="expression" dxfId="363" priority="421">
      <formula>AND(AR609=0,(AS609&gt;0))</formula>
    </cfRule>
    <cfRule type="expression" dxfId="362" priority="422">
      <formula>((AS609-AR609)/AR609)&gt;0.05</formula>
    </cfRule>
  </conditionalFormatting>
  <conditionalFormatting sqref="AU555:AU564">
    <cfRule type="expression" dxfId="361" priority="407">
      <formula>AND(AT555=0,(AU555&gt;0))</formula>
    </cfRule>
    <cfRule type="expression" dxfId="360" priority="408">
      <formula>((AU555-AT555)/AT555)&gt;0.05</formula>
    </cfRule>
  </conditionalFormatting>
  <conditionalFormatting sqref="AU612">
    <cfRule type="expression" dxfId="359" priority="419">
      <formula>AND(AT618=0,(AU612&gt;0))</formula>
    </cfRule>
    <cfRule type="expression" dxfId="358" priority="420">
      <formula>((AU612-AT618)/AT618)&gt;0.05</formula>
    </cfRule>
  </conditionalFormatting>
  <conditionalFormatting sqref="AU505:AU507">
    <cfRule type="expression" dxfId="357" priority="417">
      <formula>AND(AT505=0,(AU505&gt;0))</formula>
    </cfRule>
    <cfRule type="expression" dxfId="356" priority="418">
      <formula>((AU505-AT505)/AT505)&gt;0.05</formula>
    </cfRule>
  </conditionalFormatting>
  <conditionalFormatting sqref="AU508:AU523">
    <cfRule type="expression" dxfId="355" priority="415">
      <formula>AND(AT508=0,(AU508&gt;0))</formula>
    </cfRule>
    <cfRule type="expression" dxfId="354" priority="416">
      <formula>((AU508-AT508)/AT508)&gt;0.05</formula>
    </cfRule>
  </conditionalFormatting>
  <conditionalFormatting sqref="AU533:AU540">
    <cfRule type="expression" dxfId="353" priority="413">
      <formula>AND(AT533=0,(AU533&gt;0))</formula>
    </cfRule>
    <cfRule type="expression" dxfId="352" priority="414">
      <formula>((AU533-AT533)/AT533)&gt;0.05</formula>
    </cfRule>
  </conditionalFormatting>
  <conditionalFormatting sqref="AU608">
    <cfRule type="expression" dxfId="351" priority="411">
      <formula>AND(AT608=0,(AU608&gt;0))</formula>
    </cfRule>
    <cfRule type="expression" dxfId="350" priority="412">
      <formula>((AU608-AT608)/AT608)&gt;0.05</formula>
    </cfRule>
  </conditionalFormatting>
  <conditionalFormatting sqref="AU541:AU554">
    <cfRule type="expression" dxfId="349" priority="409">
      <formula>AND(AT541=0,(AU541&gt;0))</formula>
    </cfRule>
    <cfRule type="expression" dxfId="348" priority="410">
      <formula>((AU541-AT541)/AT541)&gt;0.05</formula>
    </cfRule>
  </conditionalFormatting>
  <conditionalFormatting sqref="AU565:AU575">
    <cfRule type="expression" dxfId="347" priority="405">
      <formula>AND(AT565=0,(AU565&gt;0))</formula>
    </cfRule>
    <cfRule type="expression" dxfId="346" priority="406">
      <formula>((AU565-AT565)/AT565)&gt;0.05</formula>
    </cfRule>
  </conditionalFormatting>
  <conditionalFormatting sqref="AU576:AU580">
    <cfRule type="expression" dxfId="345" priority="403">
      <formula>AND(AT576=0,(AU576&gt;0))</formula>
    </cfRule>
    <cfRule type="expression" dxfId="344" priority="404">
      <formula>((AU576-AT576)/AT576)&gt;0.05</formula>
    </cfRule>
  </conditionalFormatting>
  <conditionalFormatting sqref="AU581:AU607">
    <cfRule type="expression" dxfId="343" priority="401">
      <formula>AND(AT581=0,(AU581&gt;0))</formula>
    </cfRule>
    <cfRule type="expression" dxfId="342" priority="402">
      <formula>((AU581-AT581)/AT581)&gt;0.05</formula>
    </cfRule>
  </conditionalFormatting>
  <conditionalFormatting sqref="AU613">
    <cfRule type="expression" dxfId="341" priority="399">
      <formula>AND(AT619=0,(AU613&gt;0))</formula>
    </cfRule>
    <cfRule type="expression" dxfId="340" priority="400">
      <formula>((AU613-AT619)/AT619)&gt;0.05</formula>
    </cfRule>
  </conditionalFormatting>
  <conditionalFormatting sqref="AU609:AU611 AU614:AU617">
    <cfRule type="expression" dxfId="339" priority="397">
      <formula>AND(AT609=0,(AU609&gt;0))</formula>
    </cfRule>
    <cfRule type="expression" dxfId="338" priority="398">
      <formula>((AU609-AT609)/AT609)&gt;0.05</formula>
    </cfRule>
  </conditionalFormatting>
  <conditionalFormatting sqref="O46:O60">
    <cfRule type="expression" dxfId="337" priority="391">
      <formula>AND(N46=0,(O46&gt;0))</formula>
    </cfRule>
    <cfRule type="expression" dxfId="336" priority="392">
      <formula>((O46-N46)/N46)&gt;0.05</formula>
    </cfRule>
  </conditionalFormatting>
  <conditionalFormatting sqref="O56:O60">
    <cfRule type="expression" dxfId="335" priority="395">
      <formula>AND(N56=0,(O56&gt;0))</formula>
    </cfRule>
    <cfRule type="expression" dxfId="334" priority="396">
      <formula>((O56-N56)/N56)&gt;0.05</formula>
    </cfRule>
  </conditionalFormatting>
  <conditionalFormatting sqref="O62">
    <cfRule type="expression" dxfId="333" priority="393">
      <formula>AND(N62=0,(O62&gt;0))</formula>
    </cfRule>
    <cfRule type="expression" dxfId="332" priority="394">
      <formula>((O62-N62)/N62)&gt;0.05</formula>
    </cfRule>
  </conditionalFormatting>
  <conditionalFormatting sqref="M56:M60">
    <cfRule type="expression" dxfId="331" priority="389">
      <formula>AND(L56=0,(M56&gt;0))</formula>
    </cfRule>
    <cfRule type="expression" dxfId="330" priority="390">
      <formula>((M56-L56)/L56)&gt;0.05</formula>
    </cfRule>
  </conditionalFormatting>
  <conditionalFormatting sqref="M62">
    <cfRule type="expression" dxfId="329" priority="387">
      <formula>AND(L62=0,(M62&gt;0))</formula>
    </cfRule>
    <cfRule type="expression" dxfId="328" priority="388">
      <formula>((M62-L62)/L62)&gt;0.05</formula>
    </cfRule>
  </conditionalFormatting>
  <conditionalFormatting sqref="K46:K60">
    <cfRule type="expression" dxfId="327" priority="379">
      <formula>AND(J46=0,(K46&gt;0))</formula>
    </cfRule>
    <cfRule type="expression" dxfId="326" priority="380">
      <formula>((K46-J46)/J46)&gt;0.05</formula>
    </cfRule>
  </conditionalFormatting>
  <conditionalFormatting sqref="AC56:AC60">
    <cfRule type="expression" dxfId="325" priority="353">
      <formula>AND(AB56=0,(AC56&gt;0))</formula>
    </cfRule>
    <cfRule type="expression" dxfId="324" priority="354">
      <formula>((AC56-AB56)/AB56)&gt;0.05</formula>
    </cfRule>
  </conditionalFormatting>
  <conditionalFormatting sqref="M46:M60">
    <cfRule type="expression" dxfId="323" priority="385">
      <formula>AND(L46=0,(M46&gt;0))</formula>
    </cfRule>
    <cfRule type="expression" dxfId="322" priority="386">
      <formula>((M46-L46)/L46)&gt;0.05</formula>
    </cfRule>
  </conditionalFormatting>
  <conditionalFormatting sqref="AC46:AC60">
    <cfRule type="expression" dxfId="321" priority="349">
      <formula>AND(AB46=0,(AC46&gt;0))</formula>
    </cfRule>
    <cfRule type="expression" dxfId="320" priority="350">
      <formula>((AC46-AB46)/AB46)&gt;0.05</formula>
    </cfRule>
  </conditionalFormatting>
  <conditionalFormatting sqref="AA56:AA60">
    <cfRule type="expression" dxfId="319" priority="359">
      <formula>AND(Z56=0,(AA56&gt;0))</formula>
    </cfRule>
    <cfRule type="expression" dxfId="318" priority="360">
      <formula>((AA56-Z56)/Z56)&gt;0.05</formula>
    </cfRule>
  </conditionalFormatting>
  <conditionalFormatting sqref="AA62">
    <cfRule type="expression" dxfId="317" priority="357">
      <formula>AND(Z62=0,(AA62&gt;0))</formula>
    </cfRule>
    <cfRule type="expression" dxfId="316" priority="358">
      <formula>((AA62-Z62)/Z62)&gt;0.05</formula>
    </cfRule>
  </conditionalFormatting>
  <conditionalFormatting sqref="AA46:AA60">
    <cfRule type="expression" dxfId="315" priority="355">
      <formula>AND(Z46=0,(AA46&gt;0))</formula>
    </cfRule>
    <cfRule type="expression" dxfId="314" priority="356">
      <formula>((AA46-Z46)/Z46)&gt;0.05</formula>
    </cfRule>
  </conditionalFormatting>
  <conditionalFormatting sqref="AO56:AO60">
    <cfRule type="expression" dxfId="313" priority="335">
      <formula>AND(AN56=0,(AO56&gt;0))</formula>
    </cfRule>
    <cfRule type="expression" dxfId="312" priority="336">
      <formula>((AO56-AN56)/AN56)&gt;0.05</formula>
    </cfRule>
  </conditionalFormatting>
  <conditionalFormatting sqref="AQ62">
    <cfRule type="expression" dxfId="311" priority="327">
      <formula>AND(AP62=0,(AQ62&gt;0))</formula>
    </cfRule>
    <cfRule type="expression" dxfId="310" priority="328">
      <formula>((AQ62-AP62)/AP62)&gt;0.05</formula>
    </cfRule>
  </conditionalFormatting>
  <conditionalFormatting sqref="AS46:AS60">
    <cfRule type="expression" dxfId="309" priority="319">
      <formula>AND(AR46=0,(AS46&gt;0))</formula>
    </cfRule>
    <cfRule type="expression" dxfId="308" priority="320">
      <formula>((AS46-AR46)/AR46)&gt;0.05</formula>
    </cfRule>
  </conditionalFormatting>
  <conditionalFormatting sqref="AC62">
    <cfRule type="expression" dxfId="307" priority="351">
      <formula>AND(AB62=0,(AC62&gt;0))</formula>
    </cfRule>
    <cfRule type="expression" dxfId="306" priority="352">
      <formula>((AC62-AB62)/AB62)&gt;0.05</formula>
    </cfRule>
  </conditionalFormatting>
  <conditionalFormatting sqref="AS62">
    <cfRule type="expression" dxfId="305" priority="321">
      <formula>AND(AR62=0,(AS62&gt;0))</formula>
    </cfRule>
    <cfRule type="expression" dxfId="304" priority="322">
      <formula>((AS62-AR62)/AR62)&gt;0.05</formula>
    </cfRule>
  </conditionalFormatting>
  <conditionalFormatting sqref="AU46:AU60">
    <cfRule type="expression" dxfId="303" priority="313">
      <formula>AND(AT46=0,(AU46&gt;0))</formula>
    </cfRule>
    <cfRule type="expression" dxfId="302" priority="314">
      <formula>((AU46-AT46)/AT46)&gt;0.05</formula>
    </cfRule>
  </conditionalFormatting>
  <conditionalFormatting sqref="K56:K60">
    <cfRule type="expression" dxfId="301" priority="383">
      <formula>AND(J56=0,(K56&gt;0))</formula>
    </cfRule>
    <cfRule type="expression" dxfId="300" priority="384">
      <formula>((K56-J56)/J56)&gt;0.05</formula>
    </cfRule>
  </conditionalFormatting>
  <conditionalFormatting sqref="K62">
    <cfRule type="expression" dxfId="299" priority="381">
      <formula>AND(J62=0,(K62&gt;0))</formula>
    </cfRule>
    <cfRule type="expression" dxfId="298" priority="382">
      <formula>((K62-J62)/J62)&gt;0.05</formula>
    </cfRule>
  </conditionalFormatting>
  <conditionalFormatting sqref="I56:I60">
    <cfRule type="expression" dxfId="297" priority="377">
      <formula>AND(H56=0,(I56&gt;0))</formula>
    </cfRule>
    <cfRule type="expression" dxfId="296" priority="378">
      <formula>((I56-H56)/H56)&gt;0.05</formula>
    </cfRule>
  </conditionalFormatting>
  <conditionalFormatting sqref="I62">
    <cfRule type="expression" dxfId="295" priority="375">
      <formula>AND(H62=0,(I62&gt;0))</formula>
    </cfRule>
    <cfRule type="expression" dxfId="294" priority="376">
      <formula>((I62-H62)/H62)&gt;0.05</formula>
    </cfRule>
  </conditionalFormatting>
  <conditionalFormatting sqref="I46:I60">
    <cfRule type="expression" dxfId="293" priority="373">
      <formula>AND(H46=0,(I46&gt;0))</formula>
    </cfRule>
    <cfRule type="expression" dxfId="292" priority="374">
      <formula>((I46-H46)/H46)&gt;0.05</formula>
    </cfRule>
  </conditionalFormatting>
  <conditionalFormatting sqref="U46:U60">
    <cfRule type="expression" dxfId="291" priority="367">
      <formula>AND(T46=0,(U46&gt;0))</formula>
    </cfRule>
    <cfRule type="expression" dxfId="290" priority="368">
      <formula>((U46-T46)/T46)&gt;0.05</formula>
    </cfRule>
  </conditionalFormatting>
  <conditionalFormatting sqref="U62">
    <cfRule type="expression" dxfId="289" priority="369">
      <formula>AND(T62=0,(U62&gt;0))</formula>
    </cfRule>
    <cfRule type="expression" dxfId="288" priority="370">
      <formula>((U62-T62)/T62)&gt;0.05</formula>
    </cfRule>
  </conditionalFormatting>
  <conditionalFormatting sqref="U56:U60">
    <cfRule type="expression" dxfId="287" priority="371">
      <formula>AND(T56=0,(U56&gt;0))</formula>
    </cfRule>
    <cfRule type="expression" dxfId="286" priority="372">
      <formula>((U56-T56)/T56)&gt;0.05</formula>
    </cfRule>
  </conditionalFormatting>
  <conditionalFormatting sqref="Y56:Y60">
    <cfRule type="expression" dxfId="285" priority="365">
      <formula>AND(X56=0,(Y56&gt;0))</formula>
    </cfRule>
    <cfRule type="expression" dxfId="284" priority="366">
      <formula>((Y56-X56)/X56)&gt;0.05</formula>
    </cfRule>
  </conditionalFormatting>
  <conditionalFormatting sqref="Y62">
    <cfRule type="expression" dxfId="283" priority="363">
      <formula>AND(X62=0,(Y62&gt;0))</formula>
    </cfRule>
    <cfRule type="expression" dxfId="282" priority="364">
      <formula>((Y62-X62)/X62)&gt;0.05</formula>
    </cfRule>
  </conditionalFormatting>
  <conditionalFormatting sqref="Y46:Y60">
    <cfRule type="expression" dxfId="281" priority="361">
      <formula>AND(X46=0,(Y46&gt;0))</formula>
    </cfRule>
    <cfRule type="expression" dxfId="280" priority="362">
      <formula>((Y46-X46)/X46)&gt;0.05</formula>
    </cfRule>
  </conditionalFormatting>
  <conditionalFormatting sqref="AE56:AE60">
    <cfRule type="expression" dxfId="279" priority="347">
      <formula>AND(AD56=0,(AE56&gt;0))</formula>
    </cfRule>
    <cfRule type="expression" dxfId="278" priority="348">
      <formula>((AE56-AD56)/AD56)&gt;0.05</formula>
    </cfRule>
  </conditionalFormatting>
  <conditionalFormatting sqref="AE62">
    <cfRule type="expression" dxfId="277" priority="345">
      <formula>AND(AD62=0,(AE62&gt;0))</formula>
    </cfRule>
    <cfRule type="expression" dxfId="276" priority="346">
      <formula>((AE62-AD62)/AD62)&gt;0.05</formula>
    </cfRule>
  </conditionalFormatting>
  <conditionalFormatting sqref="AE46:AE60">
    <cfRule type="expression" dxfId="275" priority="343">
      <formula>AND(AD46=0,(AE46&gt;0))</formula>
    </cfRule>
    <cfRule type="expression" dxfId="274" priority="344">
      <formula>((AE46-AD46)/AD46)&gt;0.05</formula>
    </cfRule>
  </conditionalFormatting>
  <conditionalFormatting sqref="AK56:AK60">
    <cfRule type="expression" dxfId="273" priority="341">
      <formula>AND(AJ56=0,(AK56&gt;0))</formula>
    </cfRule>
    <cfRule type="expression" dxfId="272" priority="342">
      <formula>((AK56-AJ56)/AJ56)&gt;0.05</formula>
    </cfRule>
  </conditionalFormatting>
  <conditionalFormatting sqref="AK62">
    <cfRule type="expression" dxfId="271" priority="339">
      <formula>AND(AJ62=0,(AK62&gt;0))</formula>
    </cfRule>
    <cfRule type="expression" dxfId="270" priority="340">
      <formula>((AK62-AJ62)/AJ62)&gt;0.05</formula>
    </cfRule>
  </conditionalFormatting>
  <conditionalFormatting sqref="AK46:AK60">
    <cfRule type="expression" dxfId="269" priority="337">
      <formula>AND(AJ46=0,(AK46&gt;0))</formula>
    </cfRule>
    <cfRule type="expression" dxfId="268" priority="338">
      <formula>((AK46-AJ46)/AJ46)&gt;0.05</formula>
    </cfRule>
  </conditionalFormatting>
  <conditionalFormatting sqref="AO62">
    <cfRule type="expression" dxfId="267" priority="333">
      <formula>AND(AN62=0,(AO62&gt;0))</formula>
    </cfRule>
    <cfRule type="expression" dxfId="266" priority="334">
      <formula>((AO62-AN62)/AN62)&gt;0.05</formula>
    </cfRule>
  </conditionalFormatting>
  <conditionalFormatting sqref="AO46:AO60">
    <cfRule type="expression" dxfId="265" priority="331">
      <formula>AND(AN46=0,(AO46&gt;0))</formula>
    </cfRule>
    <cfRule type="expression" dxfId="264" priority="332">
      <formula>((AO46-AN46)/AN46)&gt;0.05</formula>
    </cfRule>
  </conditionalFormatting>
  <conditionalFormatting sqref="AQ56:AQ60">
    <cfRule type="expression" dxfId="263" priority="329">
      <formula>AND(AP56=0,(AQ56&gt;0))</formula>
    </cfRule>
    <cfRule type="expression" dxfId="262" priority="330">
      <formula>((AQ56-AP56)/AP56)&gt;0.05</formula>
    </cfRule>
  </conditionalFormatting>
  <conditionalFormatting sqref="AQ46:AQ60">
    <cfRule type="expression" dxfId="261" priority="325">
      <formula>AND(AP46=0,(AQ46&gt;0))</formula>
    </cfRule>
    <cfRule type="expression" dxfId="260" priority="326">
      <formula>((AQ46-AP46)/AP46)&gt;0.05</formula>
    </cfRule>
  </conditionalFormatting>
  <conditionalFormatting sqref="AS56:AS60">
    <cfRule type="expression" dxfId="259" priority="323">
      <formula>AND(AR56=0,(AS56&gt;0))</formula>
    </cfRule>
    <cfRule type="expression" dxfId="258" priority="324">
      <formula>((AS56-AR56)/AR56)&gt;0.05</formula>
    </cfRule>
  </conditionalFormatting>
  <conditionalFormatting sqref="AU56:AU60">
    <cfRule type="expression" dxfId="257" priority="317">
      <formula>AND(AT56=0,(AU56&gt;0))</formula>
    </cfRule>
    <cfRule type="expression" dxfId="256" priority="318">
      <formula>((AU56-AT56)/AT56)&gt;0.05</formula>
    </cfRule>
  </conditionalFormatting>
  <conditionalFormatting sqref="AU62">
    <cfRule type="expression" dxfId="255" priority="315">
      <formula>AND(AT62=0,(AU62&gt;0))</formula>
    </cfRule>
    <cfRule type="expression" dxfId="254" priority="316">
      <formula>((AU62-AT62)/AT62)&gt;0.05</formula>
    </cfRule>
  </conditionalFormatting>
  <conditionalFormatting sqref="Y662 K662 AC662 I662 AA662 AE662 AK662 AO662 AQ662 AS662 AU662">
    <cfRule type="expression" dxfId="253" priority="311">
      <formula>AND(H662=0,(I662&gt;0))</formula>
    </cfRule>
    <cfRule type="expression" dxfId="252" priority="312">
      <formula>((I662-H662)/H662)&gt;0.05</formula>
    </cfRule>
  </conditionalFormatting>
  <conditionalFormatting sqref="O644:O657">
    <cfRule type="expression" dxfId="251" priority="309">
      <formula>AND(N644=0,(O644&gt;0))</formula>
    </cfRule>
    <cfRule type="expression" dxfId="250" priority="310">
      <formula>((O644-N644)/N644)&gt;0.05</formula>
    </cfRule>
  </conditionalFormatting>
  <conditionalFormatting sqref="K660">
    <cfRule type="expression" dxfId="249" priority="295">
      <formula>AND(J660=0,(K660&gt;0))</formula>
    </cfRule>
    <cfRule type="expression" dxfId="248" priority="296">
      <formula>((K660-J660)/J660)&gt;0.05</formula>
    </cfRule>
  </conditionalFormatting>
  <conditionalFormatting sqref="O620:O643">
    <cfRule type="expression" dxfId="247" priority="307">
      <formula>AND(N620=0,(O620&gt;0))</formula>
    </cfRule>
    <cfRule type="expression" dxfId="246" priority="308">
      <formula>((O620-N620)/N620)&gt;0.05</formula>
    </cfRule>
  </conditionalFormatting>
  <conditionalFormatting sqref="I660">
    <cfRule type="expression" dxfId="245" priority="285">
      <formula>AND(H660=0,(I660&gt;0))</formula>
    </cfRule>
    <cfRule type="expression" dxfId="244" priority="286">
      <formula>((I660-H660)/H660)&gt;0.05</formula>
    </cfRule>
  </conditionalFormatting>
  <conditionalFormatting sqref="Y658:Y659">
    <cfRule type="expression" dxfId="243" priority="279">
      <formula>AND(X658=0,(Y658&gt;0))</formula>
    </cfRule>
    <cfRule type="expression" dxfId="242" priority="280">
      <formula>((Y658-X658)/X658)&gt;0.05</formula>
    </cfRule>
  </conditionalFormatting>
  <conditionalFormatting sqref="K658:K659">
    <cfRule type="expression" dxfId="241" priority="301">
      <formula>AND(J658=0,(K658&gt;0))</formula>
    </cfRule>
    <cfRule type="expression" dxfId="240" priority="302">
      <formula>((K658-J658)/J658)&gt;0.05</formula>
    </cfRule>
  </conditionalFormatting>
  <conditionalFormatting sqref="U644:U657">
    <cfRule type="expression" dxfId="239" priority="283">
      <formula>AND(T644=0,(U644&gt;0))</formula>
    </cfRule>
    <cfRule type="expression" dxfId="238" priority="284">
      <formula>((U644-T644)/T644)&gt;0.05</formula>
    </cfRule>
  </conditionalFormatting>
  <conditionalFormatting sqref="U620:U643">
    <cfRule type="expression" dxfId="237" priority="281">
      <formula>AND(T620=0,(U620&gt;0))</formula>
    </cfRule>
    <cfRule type="expression" dxfId="236" priority="282">
      <formula>((U620-T620)/T620)&gt;0.05</formula>
    </cfRule>
  </conditionalFormatting>
  <conditionalFormatting sqref="M620:M643">
    <cfRule type="expression" dxfId="235" priority="303">
      <formula>AND(L620=0,(M620&gt;0))</formula>
    </cfRule>
    <cfRule type="expression" dxfId="234" priority="304">
      <formula>((M620-L620)/L620)&gt;0.05</formula>
    </cfRule>
  </conditionalFormatting>
  <conditionalFormatting sqref="AA660">
    <cfRule type="expression" dxfId="233" priority="261">
      <formula>AND(Z660=0,(AA660&gt;0))</formula>
    </cfRule>
    <cfRule type="expression" dxfId="232" priority="262">
      <formula>((AA660-Z660)/Z660)&gt;0.05</formula>
    </cfRule>
  </conditionalFormatting>
  <conditionalFormatting sqref="AC658:AC659">
    <cfRule type="expression" dxfId="231" priority="259">
      <formula>AND(AB658=0,(AC658&gt;0))</formula>
    </cfRule>
    <cfRule type="expression" dxfId="230" priority="260">
      <formula>((AC658-AB658)/AB658)&gt;0.05</formula>
    </cfRule>
  </conditionalFormatting>
  <conditionalFormatting sqref="I644:I657">
    <cfRule type="expression" dxfId="229" priority="291">
      <formula>AND(H644=0,(I644&gt;0))</formula>
    </cfRule>
    <cfRule type="expression" dxfId="228" priority="292">
      <formula>((I644-H644)/H644)&gt;0.05</formula>
    </cfRule>
  </conditionalFormatting>
  <conditionalFormatting sqref="I620:I643">
    <cfRule type="expression" dxfId="227" priority="289">
      <formula>AND(H620=0,(I620&gt;0))</formula>
    </cfRule>
    <cfRule type="expression" dxfId="226" priority="290">
      <formula>((I620-H620)/H620)&gt;0.05</formula>
    </cfRule>
  </conditionalFormatting>
  <conditionalFormatting sqref="AE644:AE657">
    <cfRule type="expression" dxfId="225" priority="247">
      <formula>AND(AD644=0,(AE644&gt;0))</formula>
    </cfRule>
    <cfRule type="expression" dxfId="224" priority="248">
      <formula>((AE644-AD644)/AD644)&gt;0.05</formula>
    </cfRule>
  </conditionalFormatting>
  <conditionalFormatting sqref="AC644:AC657">
    <cfRule type="expression" dxfId="223" priority="257">
      <formula>AND(AB644=0,(AC644&gt;0))</formula>
    </cfRule>
    <cfRule type="expression" dxfId="222" priority="258">
      <formula>((AC644-AB644)/AB644)&gt;0.05</formula>
    </cfRule>
  </conditionalFormatting>
  <conditionalFormatting sqref="AC620:AC643">
    <cfRule type="expression" dxfId="221" priority="255">
      <formula>AND(AB620=0,(AC620&gt;0))</formula>
    </cfRule>
    <cfRule type="expression" dxfId="220" priority="256">
      <formula>((AC620-AB620)/AB620)&gt;0.05</formula>
    </cfRule>
  </conditionalFormatting>
  <conditionalFormatting sqref="AK660">
    <cfRule type="expression" dxfId="219" priority="231">
      <formula>AND(AJ660=0,(AK660&gt;0))</formula>
    </cfRule>
    <cfRule type="expression" dxfId="218" priority="232">
      <formula>((AK660-AJ660)/AJ660)&gt;0.05</formula>
    </cfRule>
  </conditionalFormatting>
  <conditionalFormatting sqref="I658:I659">
    <cfRule type="expression" dxfId="217" priority="293">
      <formula>AND(H658=0,(I658&gt;0))</formula>
    </cfRule>
    <cfRule type="expression" dxfId="216" priority="294">
      <formula>((I658-H658)/H658)&gt;0.05</formula>
    </cfRule>
  </conditionalFormatting>
  <conditionalFormatting sqref="Y660">
    <cfRule type="expression" dxfId="215" priority="271">
      <formula>AND(X660=0,(Y660&gt;0))</formula>
    </cfRule>
    <cfRule type="expression" dxfId="214" priority="272">
      <formula>((Y660-X660)/X660)&gt;0.05</formula>
    </cfRule>
  </conditionalFormatting>
  <conditionalFormatting sqref="AE620:AE643">
    <cfRule type="expression" dxfId="213" priority="245">
      <formula>AND(AD620=0,(AE620&gt;0))</formula>
    </cfRule>
    <cfRule type="expression" dxfId="212" priority="246">
      <formula>((AE620-AD620)/AD620)&gt;0.05</formula>
    </cfRule>
  </conditionalFormatting>
  <conditionalFormatting sqref="AO660">
    <cfRule type="expression" dxfId="211" priority="221">
      <formula>AND(AN660=0,(AO660&gt;0))</formula>
    </cfRule>
    <cfRule type="expression" dxfId="210" priority="222">
      <formula>((AO660-AN660)/AN660)&gt;0.05</formula>
    </cfRule>
  </conditionalFormatting>
  <conditionalFormatting sqref="M644:M657">
    <cfRule type="expression" dxfId="209" priority="305">
      <formula>AND(L644=0,(M644&gt;0))</formula>
    </cfRule>
    <cfRule type="expression" dxfId="208" priority="306">
      <formula>((M644-L644)/L644)&gt;0.05</formula>
    </cfRule>
  </conditionalFormatting>
  <conditionalFormatting sqref="K644:K657">
    <cfRule type="expression" dxfId="207" priority="299">
      <formula>AND(J644=0,(K644&gt;0))</formula>
    </cfRule>
    <cfRule type="expression" dxfId="206" priority="300">
      <formula>((K644-J644)/J644)&gt;0.05</formula>
    </cfRule>
  </conditionalFormatting>
  <conditionalFormatting sqref="K620:K643">
    <cfRule type="expression" dxfId="205" priority="297">
      <formula>AND(J620=0,(K620&gt;0))</formula>
    </cfRule>
    <cfRule type="expression" dxfId="204" priority="298">
      <formula>((K620-J620)/J620)&gt;0.05</formula>
    </cfRule>
  </conditionalFormatting>
  <conditionalFormatting sqref="I661">
    <cfRule type="expression" dxfId="203" priority="287">
      <formula>AND(H660=0,(I661&gt;0))</formula>
    </cfRule>
    <cfRule type="expression" dxfId="202" priority="288">
      <formula>((I661-H660)/H660)&gt;0.05</formula>
    </cfRule>
  </conditionalFormatting>
  <conditionalFormatting sqref="Y644:Y657">
    <cfRule type="expression" dxfId="201" priority="277">
      <formula>AND(X644=0,(Y644&gt;0))</formula>
    </cfRule>
    <cfRule type="expression" dxfId="200" priority="278">
      <formula>((Y644-X644)/X644)&gt;0.05</formula>
    </cfRule>
  </conditionalFormatting>
  <conditionalFormatting sqref="Y620:Y643">
    <cfRule type="expression" dxfId="199" priority="275">
      <formula>AND(X620=0,(Y620&gt;0))</formula>
    </cfRule>
    <cfRule type="expression" dxfId="198" priority="276">
      <formula>((Y620-X620)/X620)&gt;0.05</formula>
    </cfRule>
  </conditionalFormatting>
  <conditionalFormatting sqref="Y661">
    <cfRule type="expression" dxfId="197" priority="273">
      <formula>AND(X660=0,(Y661&gt;0))</formula>
    </cfRule>
    <cfRule type="expression" dxfId="196" priority="274">
      <formula>((Y661-X660)/X660)&gt;0.05</formula>
    </cfRule>
  </conditionalFormatting>
  <conditionalFormatting sqref="AA658:AA659">
    <cfRule type="expression" dxfId="195" priority="269">
      <formula>AND(Z658=0,(AA658&gt;0))</formula>
    </cfRule>
    <cfRule type="expression" dxfId="194" priority="270">
      <formula>((AA658-Z658)/Z658)&gt;0.05</formula>
    </cfRule>
  </conditionalFormatting>
  <conditionalFormatting sqref="AA644:AA657">
    <cfRule type="expression" dxfId="193" priority="267">
      <formula>AND(Z644=0,(AA644&gt;0))</formula>
    </cfRule>
    <cfRule type="expression" dxfId="192" priority="268">
      <formula>((AA644-Z644)/Z644)&gt;0.05</formula>
    </cfRule>
  </conditionalFormatting>
  <conditionalFormatting sqref="AA620:AA643">
    <cfRule type="expression" dxfId="191" priority="265">
      <formula>AND(Z620=0,(AA620&gt;0))</formula>
    </cfRule>
    <cfRule type="expression" dxfId="190" priority="266">
      <formula>((AA620-Z620)/Z620)&gt;0.05</formula>
    </cfRule>
  </conditionalFormatting>
  <conditionalFormatting sqref="AA661">
    <cfRule type="expression" dxfId="189" priority="263">
      <formula>AND(Z660=0,(AA661&gt;0))</formula>
    </cfRule>
    <cfRule type="expression" dxfId="188" priority="264">
      <formula>((AA661-Z660)/Z660)&gt;0.05</formula>
    </cfRule>
  </conditionalFormatting>
  <conditionalFormatting sqref="AC661">
    <cfRule type="expression" dxfId="187" priority="253">
      <formula>AND(AB660=0,(AC661&gt;0))</formula>
    </cfRule>
    <cfRule type="expression" dxfId="186" priority="254">
      <formula>((AC661-AB660)/AB660)&gt;0.05</formula>
    </cfRule>
  </conditionalFormatting>
  <conditionalFormatting sqref="AC660">
    <cfRule type="expression" dxfId="185" priority="251">
      <formula>AND(AB660=0,(AC660&gt;0))</formula>
    </cfRule>
    <cfRule type="expression" dxfId="184" priority="252">
      <formula>((AC660-AB660)/AB660)&gt;0.05</formula>
    </cfRule>
  </conditionalFormatting>
  <conditionalFormatting sqref="AE658:AE659">
    <cfRule type="expression" dxfId="183" priority="249">
      <formula>AND(AD658=0,(AE658&gt;0))</formula>
    </cfRule>
    <cfRule type="expression" dxfId="182" priority="250">
      <formula>((AE658-AD658)/AD658)&gt;0.05</formula>
    </cfRule>
  </conditionalFormatting>
  <conditionalFormatting sqref="AE661">
    <cfRule type="expression" dxfId="181" priority="243">
      <formula>AND(AD660=0,(AE661&gt;0))</formula>
    </cfRule>
    <cfRule type="expression" dxfId="180" priority="244">
      <formula>((AE661-AD660)/AD660)&gt;0.05</formula>
    </cfRule>
  </conditionalFormatting>
  <conditionalFormatting sqref="AE660">
    <cfRule type="expression" dxfId="179" priority="241">
      <formula>AND(AD660=0,(AE660&gt;0))</formula>
    </cfRule>
    <cfRule type="expression" dxfId="178" priority="242">
      <formula>((AE660-AD660)/AD660)&gt;0.05</formula>
    </cfRule>
  </conditionalFormatting>
  <conditionalFormatting sqref="AK658:AK659">
    <cfRule type="expression" dxfId="177" priority="239">
      <formula>AND(AJ658=0,(AK658&gt;0))</formula>
    </cfRule>
    <cfRule type="expression" dxfId="176" priority="240">
      <formula>((AK658-AJ658)/AJ658)&gt;0.05</formula>
    </cfRule>
  </conditionalFormatting>
  <conditionalFormatting sqref="AK620:AK643">
    <cfRule type="expression" dxfId="175" priority="235">
      <formula>AND(AJ620=0,(AK620&gt;0))</formula>
    </cfRule>
    <cfRule type="expression" dxfId="174" priority="236">
      <formula>((AK620-AJ620)/AJ620)&gt;0.05</formula>
    </cfRule>
  </conditionalFormatting>
  <conditionalFormatting sqref="AO658:AO659">
    <cfRule type="expression" dxfId="173" priority="229">
      <formula>AND(AN658=0,(AO658&gt;0))</formula>
    </cfRule>
    <cfRule type="expression" dxfId="172" priority="230">
      <formula>((AO658-AN658)/AN658)&gt;0.05</formula>
    </cfRule>
  </conditionalFormatting>
  <conditionalFormatting sqref="AK644:AK657">
    <cfRule type="expression" dxfId="171" priority="237">
      <formula>AND(AJ644=0,(AK644&gt;0))</formula>
    </cfRule>
    <cfRule type="expression" dxfId="170" priority="238">
      <formula>((AK644-AJ644)/AJ644)&gt;0.05</formula>
    </cfRule>
  </conditionalFormatting>
  <conditionalFormatting sqref="AK661">
    <cfRule type="expression" dxfId="169" priority="233">
      <formula>AND(AJ660=0,(AK661&gt;0))</formula>
    </cfRule>
    <cfRule type="expression" dxfId="168" priority="234">
      <formula>((AK661-AJ660)/AJ660)&gt;0.05</formula>
    </cfRule>
  </conditionalFormatting>
  <conditionalFormatting sqref="AO644:AO657">
    <cfRule type="expression" dxfId="167" priority="227">
      <formula>AND(AN644=0,(AO644&gt;0))</formula>
    </cfRule>
    <cfRule type="expression" dxfId="166" priority="228">
      <formula>((AO644-AN644)/AN644)&gt;0.05</formula>
    </cfRule>
  </conditionalFormatting>
  <conditionalFormatting sqref="AQ658:AQ659">
    <cfRule type="expression" dxfId="165" priority="219">
      <formula>AND(AP658=0,(AQ658&gt;0))</formula>
    </cfRule>
    <cfRule type="expression" dxfId="164" priority="220">
      <formula>((AQ658-AP658)/AP658)&gt;0.05</formula>
    </cfRule>
  </conditionalFormatting>
  <conditionalFormatting sqref="AO620:AO643">
    <cfRule type="expression" dxfId="163" priority="225">
      <formula>AND(AN620=0,(AO620&gt;0))</formula>
    </cfRule>
    <cfRule type="expression" dxfId="162" priority="226">
      <formula>((AO620-AN620)/AN620)&gt;0.05</formula>
    </cfRule>
  </conditionalFormatting>
  <conditionalFormatting sqref="AO661">
    <cfRule type="expression" dxfId="161" priority="223">
      <formula>AND(AN660=0,(AO661&gt;0))</formula>
    </cfRule>
    <cfRule type="expression" dxfId="160" priority="224">
      <formula>((AO661-AN660)/AN660)&gt;0.05</formula>
    </cfRule>
  </conditionalFormatting>
  <conditionalFormatting sqref="AS658:AS659">
    <cfRule type="expression" dxfId="159" priority="209">
      <formula>AND(AR658=0,(AS658&gt;0))</formula>
    </cfRule>
    <cfRule type="expression" dxfId="158" priority="210">
      <formula>((AS658-AR658)/AR658)&gt;0.05</formula>
    </cfRule>
  </conditionalFormatting>
  <conditionalFormatting sqref="AQ644:AQ657">
    <cfRule type="expression" dxfId="157" priority="217">
      <formula>AND(AP644=0,(AQ644&gt;0))</formula>
    </cfRule>
    <cfRule type="expression" dxfId="156" priority="218">
      <formula>((AQ644-AP644)/AP644)&gt;0.05</formula>
    </cfRule>
  </conditionalFormatting>
  <conditionalFormatting sqref="AQ620:AQ643">
    <cfRule type="expression" dxfId="155" priority="215">
      <formula>AND(AP620=0,(AQ620&gt;0))</formula>
    </cfRule>
    <cfRule type="expression" dxfId="154" priority="216">
      <formula>((AQ620-AP620)/AP620)&gt;0.05</formula>
    </cfRule>
  </conditionalFormatting>
  <conditionalFormatting sqref="AQ661">
    <cfRule type="expression" dxfId="153" priority="213">
      <formula>AND(AP660=0,(AQ661&gt;0))</formula>
    </cfRule>
    <cfRule type="expression" dxfId="152" priority="214">
      <formula>((AQ661-AP660)/AP660)&gt;0.05</formula>
    </cfRule>
  </conditionalFormatting>
  <conditionalFormatting sqref="AQ660">
    <cfRule type="expression" dxfId="151" priority="211">
      <formula>AND(AP660=0,(AQ660&gt;0))</formula>
    </cfRule>
    <cfRule type="expression" dxfId="150" priority="212">
      <formula>((AQ660-AP660)/AP660)&gt;0.05</formula>
    </cfRule>
  </conditionalFormatting>
  <conditionalFormatting sqref="AS644:AS657">
    <cfRule type="expression" dxfId="149" priority="207">
      <formula>AND(AR644=0,(AS644&gt;0))</formula>
    </cfRule>
    <cfRule type="expression" dxfId="148" priority="208">
      <formula>((AS644-AR644)/AR644)&gt;0.05</formula>
    </cfRule>
  </conditionalFormatting>
  <conditionalFormatting sqref="AS620:AS643">
    <cfRule type="expression" dxfId="147" priority="205">
      <formula>AND(AR620=0,(AS620&gt;0))</formula>
    </cfRule>
    <cfRule type="expression" dxfId="146" priority="206">
      <formula>((AS620-AR620)/AR620)&gt;0.05</formula>
    </cfRule>
  </conditionalFormatting>
  <conditionalFormatting sqref="AS661">
    <cfRule type="expression" dxfId="145" priority="203">
      <formula>AND(AR660=0,(AS661&gt;0))</formula>
    </cfRule>
    <cfRule type="expression" dxfId="144" priority="204">
      <formula>((AS661-AR660)/AR660)&gt;0.05</formula>
    </cfRule>
  </conditionalFormatting>
  <conditionalFormatting sqref="AS660">
    <cfRule type="expression" dxfId="143" priority="201">
      <formula>AND(AR660=0,(AS660&gt;0))</formula>
    </cfRule>
    <cfRule type="expression" dxfId="142" priority="202">
      <formula>((AS660-AR660)/AR660)&gt;0.05</formula>
    </cfRule>
  </conditionalFormatting>
  <conditionalFormatting sqref="AU658:AU659">
    <cfRule type="expression" dxfId="141" priority="199">
      <formula>AND(AT658=0,(AU658&gt;0))</formula>
    </cfRule>
    <cfRule type="expression" dxfId="140" priority="200">
      <formula>((AU658-AT658)/AT658)&gt;0.05</formula>
    </cfRule>
  </conditionalFormatting>
  <conditionalFormatting sqref="AU644:AU657">
    <cfRule type="expression" dxfId="139" priority="197">
      <formula>AND(AT644=0,(AU644&gt;0))</formula>
    </cfRule>
    <cfRule type="expression" dxfId="138" priority="198">
      <formula>((AU644-AT644)/AT644)&gt;0.05</formula>
    </cfRule>
  </conditionalFormatting>
  <conditionalFormatting sqref="AU620:AU643">
    <cfRule type="expression" dxfId="137" priority="195">
      <formula>AND(AT620=0,(AU620&gt;0))</formula>
    </cfRule>
    <cfRule type="expression" dxfId="136" priority="196">
      <formula>((AU620-AT620)/AT620)&gt;0.05</formula>
    </cfRule>
  </conditionalFormatting>
  <conditionalFormatting sqref="AU661">
    <cfRule type="expression" dxfId="135" priority="193">
      <formula>AND(AT660=0,(AU661&gt;0))</formula>
    </cfRule>
    <cfRule type="expression" dxfId="134" priority="194">
      <formula>((AU661-AT660)/AT660)&gt;0.05</formula>
    </cfRule>
  </conditionalFormatting>
  <conditionalFormatting sqref="AU660">
    <cfRule type="expression" dxfId="133" priority="191">
      <formula>AND(AT660=0,(AU660&gt;0))</formula>
    </cfRule>
    <cfRule type="expression" dxfId="132" priority="192">
      <formula>((AU660-AT660)/AT660)&gt;0.05</formula>
    </cfRule>
  </conditionalFormatting>
  <conditionalFormatting sqref="K661">
    <cfRule type="expression" dxfId="131" priority="189">
      <formula>AND(J661=0,(K661&gt;0))</formula>
    </cfRule>
    <cfRule type="expression" dxfId="130" priority="190">
      <formula>((K661-J661)/J661)&gt;0.05</formula>
    </cfRule>
  </conditionalFormatting>
  <conditionalFormatting sqref="M658">
    <cfRule type="expression" dxfId="129" priority="187">
      <formula>AND(L658=0,(M658&gt;0))</formula>
    </cfRule>
    <cfRule type="expression" dxfId="128" priority="188">
      <formula>((M658-L658)/L658)&gt;0.05</formula>
    </cfRule>
  </conditionalFormatting>
  <conditionalFormatting sqref="O658">
    <cfRule type="expression" dxfId="127" priority="185">
      <formula>AND(N658=0,(O658&gt;0))</formula>
    </cfRule>
    <cfRule type="expression" dxfId="126" priority="186">
      <formula>((O658-N658)/N658)&gt;0.05</formula>
    </cfRule>
  </conditionalFormatting>
  <conditionalFormatting sqref="U658">
    <cfRule type="expression" dxfId="125" priority="183">
      <formula>AND(T658=0,(U658&gt;0))</formula>
    </cfRule>
    <cfRule type="expression" dxfId="124" priority="184">
      <formula>((U658-T658)/T658)&gt;0.05</formula>
    </cfRule>
  </conditionalFormatting>
  <conditionalFormatting sqref="M662">
    <cfRule type="expression" dxfId="123" priority="181">
      <formula>AND(L662=0,(M662&gt;0))</formula>
    </cfRule>
    <cfRule type="expression" dxfId="122" priority="182">
      <formula>((M662-L662)/L662)&gt;0.05</formula>
    </cfRule>
  </conditionalFormatting>
  <conditionalFormatting sqref="M660">
    <cfRule type="expression" dxfId="121" priority="177">
      <formula>AND(L660=0,(M660&gt;0))</formula>
    </cfRule>
    <cfRule type="expression" dxfId="120" priority="178">
      <formula>((M660-L660)/L660)&gt;0.05</formula>
    </cfRule>
  </conditionalFormatting>
  <conditionalFormatting sqref="M659">
    <cfRule type="expression" dxfId="119" priority="179">
      <formula>AND(L659=0,(M659&gt;0))</formula>
    </cfRule>
    <cfRule type="expression" dxfId="118" priority="180">
      <formula>((M659-L659)/L659)&gt;0.05</formula>
    </cfRule>
  </conditionalFormatting>
  <conditionalFormatting sqref="M661">
    <cfRule type="expression" dxfId="117" priority="175">
      <formula>AND(L661=0,(M661&gt;0))</formula>
    </cfRule>
    <cfRule type="expression" dxfId="116" priority="176">
      <formula>((M661-L661)/L661)&gt;0.05</formula>
    </cfRule>
  </conditionalFormatting>
  <conditionalFormatting sqref="O662">
    <cfRule type="expression" dxfId="115" priority="173">
      <formula>AND(N662=0,(O662&gt;0))</formula>
    </cfRule>
    <cfRule type="expression" dxfId="114" priority="174">
      <formula>((O662-N662)/N662)&gt;0.05</formula>
    </cfRule>
  </conditionalFormatting>
  <conditionalFormatting sqref="O660">
    <cfRule type="expression" dxfId="113" priority="169">
      <formula>AND(N660=0,(O660&gt;0))</formula>
    </cfRule>
    <cfRule type="expression" dxfId="112" priority="170">
      <formula>((O660-N660)/N660)&gt;0.05</formula>
    </cfRule>
  </conditionalFormatting>
  <conditionalFormatting sqref="O659">
    <cfRule type="expression" dxfId="111" priority="171">
      <formula>AND(N659=0,(O659&gt;0))</formula>
    </cfRule>
    <cfRule type="expression" dxfId="110" priority="172">
      <formula>((O659-N659)/N659)&gt;0.05</formula>
    </cfRule>
  </conditionalFormatting>
  <conditionalFormatting sqref="O661">
    <cfRule type="expression" dxfId="109" priority="167">
      <formula>AND(N661=0,(O661&gt;0))</formula>
    </cfRule>
    <cfRule type="expression" dxfId="108" priority="168">
      <formula>((O661-N661)/N661)&gt;0.05</formula>
    </cfRule>
  </conditionalFormatting>
  <conditionalFormatting sqref="U662">
    <cfRule type="expression" dxfId="107" priority="165">
      <formula>AND(T662=0,(U662&gt;0))</formula>
    </cfRule>
    <cfRule type="expression" dxfId="106" priority="166">
      <formula>((U662-T662)/T662)&gt;0.05</formula>
    </cfRule>
  </conditionalFormatting>
  <conditionalFormatting sqref="U660">
    <cfRule type="expression" dxfId="105" priority="161">
      <formula>AND(T660=0,(U660&gt;0))</formula>
    </cfRule>
    <cfRule type="expression" dxfId="104" priority="162">
      <formula>((U660-T660)/T660)&gt;0.05</formula>
    </cfRule>
  </conditionalFormatting>
  <conditionalFormatting sqref="U659">
    <cfRule type="expression" dxfId="103" priority="163">
      <formula>AND(T659=0,(U659&gt;0))</formula>
    </cfRule>
    <cfRule type="expression" dxfId="102" priority="164">
      <formula>((U659-T659)/T659)&gt;0.05</formula>
    </cfRule>
  </conditionalFormatting>
  <conditionalFormatting sqref="U661">
    <cfRule type="expression" dxfId="101" priority="159">
      <formula>AND(T661=0,(U661&gt;0))</formula>
    </cfRule>
    <cfRule type="expression" dxfId="100" priority="160">
      <formula>((U661-T661)/T661)&gt;0.05</formula>
    </cfRule>
  </conditionalFormatting>
  <conditionalFormatting sqref="O80">
    <cfRule type="expression" dxfId="99" priority="129">
      <formula>AND(N80=0,(O80&gt;0))</formula>
    </cfRule>
    <cfRule type="expression" dxfId="98" priority="130">
      <formula>((O80-N80)/N80)&gt;0.05</formula>
    </cfRule>
  </conditionalFormatting>
  <conditionalFormatting sqref="M80">
    <cfRule type="expression" dxfId="97" priority="127">
      <formula>AND(L80=0,(M80&gt;0))</formula>
    </cfRule>
    <cfRule type="expression" dxfId="96" priority="128">
      <formula>((M80-L80)/L80)&gt;0.05</formula>
    </cfRule>
  </conditionalFormatting>
  <conditionalFormatting sqref="U80">
    <cfRule type="expression" dxfId="95" priority="121">
      <formula>AND(T80=0,(U80&gt;0))</formula>
    </cfRule>
    <cfRule type="expression" dxfId="94" priority="122">
      <formula>((U80-T80)/T80)&gt;0.05</formula>
    </cfRule>
  </conditionalFormatting>
  <conditionalFormatting sqref="K80">
    <cfRule type="expression" dxfId="93" priority="125">
      <formula>AND(J80=0,(K80&gt;0))</formula>
    </cfRule>
    <cfRule type="expression" dxfId="92" priority="126">
      <formula>((K80-J80)/J80)&gt;0.05</formula>
    </cfRule>
  </conditionalFormatting>
  <conditionalFormatting sqref="AA80">
    <cfRule type="expression" dxfId="91" priority="117">
      <formula>AND(Z80=0,(AA80&gt;0))</formula>
    </cfRule>
    <cfRule type="expression" dxfId="90" priority="118">
      <formula>((AA80-Z80)/Z80)&gt;0.05</formula>
    </cfRule>
  </conditionalFormatting>
  <conditionalFormatting sqref="I80">
    <cfRule type="expression" dxfId="89" priority="123">
      <formula>AND(H80=0,(I80&gt;0))</formula>
    </cfRule>
    <cfRule type="expression" dxfId="88" priority="124">
      <formula>((I80-H80)/H80)&gt;0.05</formula>
    </cfRule>
  </conditionalFormatting>
  <conditionalFormatting sqref="Y80">
    <cfRule type="expression" dxfId="87" priority="119">
      <formula>AND(X80=0,(Y80&gt;0))</formula>
    </cfRule>
    <cfRule type="expression" dxfId="86" priority="120">
      <formula>((Y80-X80)/X80)&gt;0.05</formula>
    </cfRule>
  </conditionalFormatting>
  <conditionalFormatting sqref="AC80">
    <cfRule type="expression" dxfId="85" priority="115">
      <formula>AND(AB80=0,(AC80&gt;0))</formula>
    </cfRule>
    <cfRule type="expression" dxfId="84" priority="116">
      <formula>((AC80-AB80)/AB80)&gt;0.05</formula>
    </cfRule>
  </conditionalFormatting>
  <conditionalFormatting sqref="AE80">
    <cfRule type="expression" dxfId="83" priority="113">
      <formula>AND(AD80=0,(AE80&gt;0))</formula>
    </cfRule>
    <cfRule type="expression" dxfId="82" priority="114">
      <formula>((AE80-AD80)/AD80)&gt;0.05</formula>
    </cfRule>
  </conditionalFormatting>
  <conditionalFormatting sqref="AK80">
    <cfRule type="expression" dxfId="81" priority="111">
      <formula>AND(AJ80=0,(AK80&gt;0))</formula>
    </cfRule>
    <cfRule type="expression" dxfId="80" priority="112">
      <formula>((AK80-AJ80)/AJ80)&gt;0.05</formula>
    </cfRule>
  </conditionalFormatting>
  <conditionalFormatting sqref="AO80">
    <cfRule type="expression" dxfId="79" priority="109">
      <formula>AND(AN80=0,(AO80&gt;0))</formula>
    </cfRule>
    <cfRule type="expression" dxfId="78" priority="110">
      <formula>((AO80-AN80)/AN80)&gt;0.05</formula>
    </cfRule>
  </conditionalFormatting>
  <conditionalFormatting sqref="AQ80">
    <cfRule type="expression" dxfId="77" priority="107">
      <formula>AND(AP80=0,(AQ80&gt;0))</formula>
    </cfRule>
    <cfRule type="expression" dxfId="76" priority="108">
      <formula>((AQ80-AP80)/AP80)&gt;0.05</formula>
    </cfRule>
  </conditionalFormatting>
  <conditionalFormatting sqref="AS80">
    <cfRule type="expression" dxfId="75" priority="105">
      <formula>AND(AR80=0,(AS80&gt;0))</formula>
    </cfRule>
    <cfRule type="expression" dxfId="74" priority="106">
      <formula>((AS80-AR80)/AR80)&gt;0.05</formula>
    </cfRule>
  </conditionalFormatting>
  <conditionalFormatting sqref="AU80">
    <cfRule type="expression" dxfId="73" priority="103">
      <formula>AND(AT80=0,(AU80&gt;0))</formula>
    </cfRule>
    <cfRule type="expression" dxfId="72" priority="104">
      <formula>((AU80-AT80)/AT80)&gt;0.05</formula>
    </cfRule>
  </conditionalFormatting>
  <conditionalFormatting sqref="M424:M426">
    <cfRule type="expression" dxfId="71" priority="97">
      <formula>AND(L424=0,(M424&gt;0))</formula>
    </cfRule>
    <cfRule type="expression" dxfId="70" priority="98">
      <formula>((M424-L424)/L424)&gt;0.05</formula>
    </cfRule>
  </conditionalFormatting>
  <conditionalFormatting sqref="I424:I426">
    <cfRule type="expression" dxfId="69" priority="89">
      <formula>AND(H424=0,(I424&gt;0))</formula>
    </cfRule>
    <cfRule type="expression" dxfId="68" priority="90">
      <formula>((I424-H424)/H424)&gt;0.05</formula>
    </cfRule>
  </conditionalFormatting>
  <conditionalFormatting sqref="I427:I455">
    <cfRule type="expression" dxfId="67" priority="87">
      <formula>AND(H427=0,(I427&gt;0))</formula>
    </cfRule>
    <cfRule type="expression" dxfId="66" priority="88">
      <formula>((I427-H427)/H427)&gt;0.05</formula>
    </cfRule>
  </conditionalFormatting>
  <conditionalFormatting sqref="AE424:AE426">
    <cfRule type="expression" dxfId="65" priority="69">
      <formula>AND(AD424=0,(AE424&gt;0))</formula>
    </cfRule>
    <cfRule type="expression" dxfId="64" priority="70">
      <formula>((AE424-AD424)/AD424)&gt;0.05</formula>
    </cfRule>
  </conditionalFormatting>
  <conditionalFormatting sqref="AE427:AE455">
    <cfRule type="expression" dxfId="63" priority="67">
      <formula>AND(AD427=0,(AE427&gt;0))</formula>
    </cfRule>
    <cfRule type="expression" dxfId="62" priority="68">
      <formula>((AE427-AD427)/AD427)&gt;0.05</formula>
    </cfRule>
  </conditionalFormatting>
  <conditionalFormatting sqref="O424:O426">
    <cfRule type="expression" dxfId="61" priority="101">
      <formula>AND(N424=0,(O424&gt;0))</formula>
    </cfRule>
    <cfRule type="expression" dxfId="60" priority="102">
      <formula>((O424-N424)/N424)&gt;0.05</formula>
    </cfRule>
  </conditionalFormatting>
  <conditionalFormatting sqref="O427:O455">
    <cfRule type="expression" dxfId="59" priority="99">
      <formula>AND(N427=0,(O427&gt;0))</formula>
    </cfRule>
    <cfRule type="expression" dxfId="58" priority="100">
      <formula>((O427-N427)/N427)&gt;0.05</formula>
    </cfRule>
  </conditionalFormatting>
  <conditionalFormatting sqref="U424:U426">
    <cfRule type="expression" dxfId="57" priority="85">
      <formula>AND(T424=0,(U424&gt;0))</formula>
    </cfRule>
    <cfRule type="expression" dxfId="56" priority="86">
      <formula>((U424-T424)/T424)&gt;0.05</formula>
    </cfRule>
  </conditionalFormatting>
  <conditionalFormatting sqref="AK424:AK426">
    <cfRule type="expression" dxfId="55" priority="65">
      <formula>AND(AJ424=0,(AK424&gt;0))</formula>
    </cfRule>
    <cfRule type="expression" dxfId="54" priority="66">
      <formula>((AK424-AJ424)/AJ424)&gt;0.05</formula>
    </cfRule>
  </conditionalFormatting>
  <conditionalFormatting sqref="AK427:AK455">
    <cfRule type="expression" dxfId="53" priority="63">
      <formula>AND(AJ427=0,(AK427&gt;0))</formula>
    </cfRule>
    <cfRule type="expression" dxfId="52" priority="64">
      <formula>((AK427-AJ427)/AJ427)&gt;0.05</formula>
    </cfRule>
  </conditionalFormatting>
  <conditionalFormatting sqref="AC424:AC426">
    <cfRule type="expression" dxfId="51" priority="73">
      <formula>AND(AB424=0,(AC424&gt;0))</formula>
    </cfRule>
    <cfRule type="expression" dxfId="50" priority="74">
      <formula>((AC424-AB424)/AB424)&gt;0.05</formula>
    </cfRule>
  </conditionalFormatting>
  <conditionalFormatting sqref="AA427:AA455">
    <cfRule type="expression" dxfId="49" priority="75">
      <formula>AND(Z427=0,(AA427&gt;0))</formula>
    </cfRule>
    <cfRule type="expression" dxfId="48" priority="76">
      <formula>((AA427-Z427)/Z427)&gt;0.05</formula>
    </cfRule>
  </conditionalFormatting>
  <conditionalFormatting sqref="M427:M455">
    <cfRule type="expression" dxfId="47" priority="95">
      <formula>AND(L427=0,(M427&gt;0))</formula>
    </cfRule>
    <cfRule type="expression" dxfId="46" priority="96">
      <formula>((M427-L427)/L427)&gt;0.05</formula>
    </cfRule>
  </conditionalFormatting>
  <conditionalFormatting sqref="K424:K426">
    <cfRule type="expression" dxfId="45" priority="93">
      <formula>AND(J424=0,(K424&gt;0))</formula>
    </cfRule>
    <cfRule type="expression" dxfId="44" priority="94">
      <formula>((K424-J424)/J424)&gt;0.05</formula>
    </cfRule>
  </conditionalFormatting>
  <conditionalFormatting sqref="K427:K455">
    <cfRule type="expression" dxfId="43" priority="91">
      <formula>AND(J427=0,(K427&gt;0))</formula>
    </cfRule>
    <cfRule type="expression" dxfId="42" priority="92">
      <formula>((K427-J427)/J427)&gt;0.05</formula>
    </cfRule>
  </conditionalFormatting>
  <conditionalFormatting sqref="U427:U455">
    <cfRule type="expression" dxfId="41" priority="83">
      <formula>AND(T427=0,(U427&gt;0))</formula>
    </cfRule>
    <cfRule type="expression" dxfId="40" priority="84">
      <formula>((U427-T427)/T427)&gt;0.05</formula>
    </cfRule>
  </conditionalFormatting>
  <conditionalFormatting sqref="Y424:Y426">
    <cfRule type="expression" dxfId="39" priority="81">
      <formula>AND(X424=0,(Y424&gt;0))</formula>
    </cfRule>
    <cfRule type="expression" dxfId="38" priority="82">
      <formula>((Y424-X424)/X424)&gt;0.05</formula>
    </cfRule>
  </conditionalFormatting>
  <conditionalFormatting sqref="Y427:Y455">
    <cfRule type="expression" dxfId="37" priority="79">
      <formula>AND(X427=0,(Y427&gt;0))</formula>
    </cfRule>
    <cfRule type="expression" dxfId="36" priority="80">
      <formula>((Y427-X427)/X427)&gt;0.05</formula>
    </cfRule>
  </conditionalFormatting>
  <conditionalFormatting sqref="AA424:AA426">
    <cfRule type="expression" dxfId="35" priority="77">
      <formula>AND(Z424=0,(AA424&gt;0))</formula>
    </cfRule>
    <cfRule type="expression" dxfId="34" priority="78">
      <formula>((AA424-Z424)/Z424)&gt;0.05</formula>
    </cfRule>
  </conditionalFormatting>
  <conditionalFormatting sqref="AC427:AC455">
    <cfRule type="expression" dxfId="33" priority="71">
      <formula>AND(AB427=0,(AC427&gt;0))</formula>
    </cfRule>
    <cfRule type="expression" dxfId="32" priority="72">
      <formula>((AC427-AB427)/AB427)&gt;0.05</formula>
    </cfRule>
  </conditionalFormatting>
  <conditionalFormatting sqref="AO424:AO426">
    <cfRule type="expression" dxfId="31" priority="61">
      <formula>AND(AN424=0,(AO424&gt;0))</formula>
    </cfRule>
    <cfRule type="expression" dxfId="30" priority="62">
      <formula>((AO424-AN424)/AN424)&gt;0.05</formula>
    </cfRule>
  </conditionalFormatting>
  <conditionalFormatting sqref="AO427:AO455">
    <cfRule type="expression" dxfId="29" priority="59">
      <formula>AND(AN427=0,(AO427&gt;0))</formula>
    </cfRule>
    <cfRule type="expression" dxfId="28" priority="60">
      <formula>((AO427-AN427)/AN427)&gt;0.05</formula>
    </cfRule>
  </conditionalFormatting>
  <conditionalFormatting sqref="AQ424:AQ426">
    <cfRule type="expression" dxfId="27" priority="57">
      <formula>AND(AP424=0,(AQ424&gt;0))</formula>
    </cfRule>
    <cfRule type="expression" dxfId="26" priority="58">
      <formula>((AQ424-AP424)/AP424)&gt;0.05</formula>
    </cfRule>
  </conditionalFormatting>
  <conditionalFormatting sqref="AQ427:AQ455">
    <cfRule type="expression" dxfId="25" priority="55">
      <formula>AND(AP427=0,(AQ427&gt;0))</formula>
    </cfRule>
    <cfRule type="expression" dxfId="24" priority="56">
      <formula>((AQ427-AP427)/AP427)&gt;0.05</formula>
    </cfRule>
  </conditionalFormatting>
  <conditionalFormatting sqref="AS424:AS426">
    <cfRule type="expression" dxfId="23" priority="53">
      <formula>AND(AR424=0,(AS424&gt;0))</formula>
    </cfRule>
    <cfRule type="expression" dxfId="22" priority="54">
      <formula>((AS424-AR424)/AR424)&gt;0.05</formula>
    </cfRule>
  </conditionalFormatting>
  <conditionalFormatting sqref="AS427:AS455">
    <cfRule type="expression" dxfId="21" priority="51">
      <formula>AND(AR427=0,(AS427&gt;0))</formula>
    </cfRule>
    <cfRule type="expression" dxfId="20" priority="52">
      <formula>((AS427-AR427)/AR427)&gt;0.05</formula>
    </cfRule>
  </conditionalFormatting>
  <conditionalFormatting sqref="AU424:AU426">
    <cfRule type="expression" dxfId="19" priority="49">
      <formula>AND(AT424=0,(AU424&gt;0))</formula>
    </cfRule>
    <cfRule type="expression" dxfId="18" priority="50">
      <formula>((AU424-AT424)/AT424)&gt;0.05</formula>
    </cfRule>
  </conditionalFormatting>
  <conditionalFormatting sqref="AU427:AU455">
    <cfRule type="expression" dxfId="17" priority="47">
      <formula>AND(AT427=0,(AU427&gt;0))</formula>
    </cfRule>
    <cfRule type="expression" dxfId="16" priority="48">
      <formula>((AU427-AT427)/AT427)&gt;0.05</formula>
    </cfRule>
  </conditionalFormatting>
  <conditionalFormatting sqref="O609:O619">
    <cfRule type="expression" dxfId="15" priority="45">
      <formula>AND(N609=0,(O609&gt;0))</formula>
    </cfRule>
    <cfRule type="expression" dxfId="14" priority="46">
      <formula>((O609-N609)/N609)&gt;0.05</formula>
    </cfRule>
  </conditionalFormatting>
  <conditionalFormatting sqref="AK532 AE532 AC532 AA532 Y532 K532 I532 AO532">
    <cfRule type="expression" dxfId="13" priority="13">
      <formula>AND(H532=0,(I532&gt;0))</formula>
    </cfRule>
    <cfRule type="expression" dxfId="12" priority="14">
      <formula>((I532-H532)/H532)&gt;0.05</formula>
    </cfRule>
  </conditionalFormatting>
  <conditionalFormatting sqref="M532">
    <cfRule type="expression" dxfId="11" priority="11">
      <formula>AND(L532=0,(M532&gt;0))</formula>
    </cfRule>
    <cfRule type="expression" dxfId="10" priority="12">
      <formula>((M532-L532)/L532)&gt;0.05</formula>
    </cfRule>
  </conditionalFormatting>
  <conditionalFormatting sqref="O532">
    <cfRule type="expression" dxfId="9" priority="9">
      <formula>AND(N532=0,(O532&gt;0))</formula>
    </cfRule>
    <cfRule type="expression" dxfId="8" priority="10">
      <formula>((O532-N532)/N532)&gt;0.05</formula>
    </cfRule>
  </conditionalFormatting>
  <conditionalFormatting sqref="U532">
    <cfRule type="expression" dxfId="7" priority="7">
      <formula>AND(T532=0,(U532&gt;0))</formula>
    </cfRule>
    <cfRule type="expression" dxfId="6" priority="8">
      <formula>((U532-T532)/T532)&gt;0.05</formula>
    </cfRule>
  </conditionalFormatting>
  <conditionalFormatting sqref="AQ532">
    <cfRule type="expression" dxfId="5" priority="5">
      <formula>AND(AP532=0,(AQ532&gt;0))</formula>
    </cfRule>
    <cfRule type="expression" dxfId="4" priority="6">
      <formula>((AQ532-AP532)/AP532)&gt;0.05</formula>
    </cfRule>
  </conditionalFormatting>
  <conditionalFormatting sqref="AS532">
    <cfRule type="expression" dxfId="3" priority="3">
      <formula>AND(AR532=0,(AS532&gt;0))</formula>
    </cfRule>
    <cfRule type="expression" dxfId="2" priority="4">
      <formula>((AS532-AR532)/AR532)&gt;0.05</formula>
    </cfRule>
  </conditionalFormatting>
  <conditionalFormatting sqref="AU532">
    <cfRule type="expression" dxfId="1" priority="1">
      <formula>AND(AT532=0,(AU532&gt;0))</formula>
    </cfRule>
    <cfRule type="expression" dxfId="0" priority="2">
      <formula>((AU532-AT532)/AT532)&gt;0.05</formula>
    </cfRule>
  </conditionalFormatting>
  <pageMargins left="0.75" right="0.75" top="1" bottom="1" header="0.5" footer="0.5"/>
  <pageSetup paperSize="5"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220"/>
  <sheetViews>
    <sheetView workbookViewId="0">
      <selection sqref="A1:XFD1048576"/>
    </sheetView>
  </sheetViews>
  <sheetFormatPr defaultRowHeight="12.75"/>
  <cols>
    <col min="1" max="1" width="7.5" style="343" customWidth="1"/>
    <col min="2" max="2" width="46.6640625" style="209" customWidth="1"/>
    <col min="3" max="8" width="16.1640625" style="209" customWidth="1"/>
    <col min="9" max="9" width="17.5" style="209" customWidth="1"/>
    <col min="10" max="13" width="14.33203125" style="209" customWidth="1"/>
    <col min="14" max="14" width="17" style="209" customWidth="1"/>
    <col min="15" max="15" width="13.83203125" style="209" customWidth="1"/>
    <col min="16" max="16" width="13.83203125" style="209" hidden="1" customWidth="1"/>
    <col min="17" max="18" width="14.5" style="209" customWidth="1"/>
    <col min="19" max="19" width="11.6640625" style="209" customWidth="1"/>
    <col min="20" max="20" width="8.5" style="209" customWidth="1"/>
    <col min="21" max="21" width="10.83203125" style="209" customWidth="1"/>
    <col min="22" max="22" width="9.83203125" style="209" customWidth="1"/>
    <col min="23" max="23" width="12.1640625" style="209" customWidth="1"/>
    <col min="24" max="24" width="9.83203125" style="209" customWidth="1"/>
    <col min="25" max="25" width="12.1640625" style="209" customWidth="1"/>
    <col min="26" max="26" width="8.6640625" style="209" customWidth="1"/>
    <col min="27" max="27" width="12.1640625" style="209" customWidth="1"/>
    <col min="28" max="29" width="1.5" style="209" customWidth="1"/>
    <col min="30" max="30" width="2.1640625" style="209" customWidth="1"/>
    <col min="31" max="31" width="14.5" style="209" customWidth="1"/>
    <col min="32" max="32" width="13.6640625" style="209" customWidth="1"/>
    <col min="33" max="33" width="12.6640625" style="209" customWidth="1"/>
    <col min="34" max="34" width="16" style="209" customWidth="1"/>
    <col min="35" max="35" width="16.5" style="209" customWidth="1"/>
    <col min="36" max="36" width="14.6640625" style="209" customWidth="1"/>
    <col min="37" max="37" width="14" style="209" customWidth="1"/>
    <col min="38" max="16384" width="9.33203125" style="209"/>
  </cols>
  <sheetData>
    <row r="1" spans="1:31" s="73" customFormat="1">
      <c r="A1" s="209"/>
      <c r="B1" s="209"/>
      <c r="C1" s="209"/>
      <c r="D1" s="209"/>
      <c r="E1" s="4"/>
      <c r="F1" s="4"/>
      <c r="G1" s="4"/>
      <c r="H1" s="4"/>
      <c r="I1" s="4"/>
      <c r="J1" s="4"/>
      <c r="K1" s="4"/>
      <c r="L1" s="4"/>
      <c r="M1" s="82"/>
      <c r="N1" s="4"/>
      <c r="T1" s="241"/>
      <c r="U1" s="241"/>
      <c r="V1" s="241"/>
      <c r="W1" s="241"/>
      <c r="X1" s="241"/>
      <c r="Y1" s="241"/>
      <c r="Z1" s="241"/>
      <c r="AA1" s="241"/>
    </row>
    <row r="2" spans="1:31">
      <c r="A2" s="209"/>
      <c r="E2" s="320"/>
      <c r="F2" s="320"/>
      <c r="G2" s="320"/>
      <c r="H2" s="320"/>
      <c r="I2" s="320"/>
      <c r="J2" s="325"/>
      <c r="K2" s="320"/>
      <c r="L2" s="320"/>
      <c r="M2" s="321"/>
      <c r="N2" s="323"/>
      <c r="O2" s="325"/>
      <c r="P2" s="320"/>
      <c r="Q2" s="320"/>
      <c r="R2" s="320"/>
      <c r="S2" s="320"/>
      <c r="T2" s="332"/>
      <c r="U2" s="332"/>
      <c r="V2" s="332"/>
      <c r="W2" s="332"/>
      <c r="X2" s="332"/>
      <c r="Y2" s="332"/>
      <c r="Z2" s="332"/>
      <c r="AA2" s="334"/>
      <c r="AB2" s="495"/>
      <c r="AC2" s="496"/>
      <c r="AD2" s="416"/>
      <c r="AE2" s="316"/>
    </row>
    <row r="3" spans="1:31" s="73" customFormat="1">
      <c r="A3" s="317"/>
      <c r="B3" s="318"/>
      <c r="C3" s="319"/>
      <c r="D3" s="320"/>
      <c r="E3" s="320"/>
      <c r="F3" s="320"/>
      <c r="G3" s="320"/>
      <c r="H3" s="320"/>
      <c r="I3" s="330"/>
      <c r="J3" s="319"/>
      <c r="K3" s="320"/>
      <c r="L3" s="320"/>
      <c r="M3" s="320"/>
      <c r="N3" s="330"/>
      <c r="O3" s="319"/>
      <c r="P3" s="320"/>
      <c r="Q3" s="330"/>
      <c r="R3" s="319"/>
      <c r="S3" s="319"/>
      <c r="T3" s="331"/>
      <c r="U3" s="331"/>
      <c r="V3" s="331"/>
      <c r="W3" s="331"/>
      <c r="X3" s="331"/>
      <c r="Y3" s="331"/>
      <c r="Z3" s="331"/>
      <c r="AA3" s="335"/>
      <c r="AB3" s="494"/>
      <c r="AC3" s="497"/>
      <c r="AD3" s="416"/>
      <c r="AE3" s="316"/>
    </row>
    <row r="4" spans="1:31">
      <c r="A4" s="317"/>
      <c r="B4" s="322"/>
      <c r="C4" s="326"/>
      <c r="D4" s="327"/>
      <c r="E4" s="327"/>
      <c r="F4" s="327"/>
      <c r="G4" s="327"/>
      <c r="H4" s="327"/>
      <c r="I4" s="242"/>
      <c r="J4" s="328"/>
      <c r="K4" s="329"/>
      <c r="L4" s="329"/>
      <c r="M4" s="329"/>
      <c r="N4" s="242"/>
      <c r="O4" s="328"/>
      <c r="P4" s="329"/>
      <c r="Q4" s="242"/>
      <c r="R4" s="319"/>
      <c r="S4" s="415"/>
      <c r="T4" s="331"/>
      <c r="U4" s="244"/>
      <c r="V4" s="333"/>
      <c r="W4" s="243"/>
      <c r="X4" s="333"/>
      <c r="Y4" s="243"/>
      <c r="Z4" s="331"/>
      <c r="AA4" s="245"/>
      <c r="AB4" s="494"/>
      <c r="AC4" s="498"/>
      <c r="AD4" s="416"/>
      <c r="AE4" s="316"/>
    </row>
    <row r="5" spans="1:31">
      <c r="A5" s="324"/>
      <c r="B5" s="322"/>
      <c r="C5" s="319"/>
      <c r="D5" s="323"/>
      <c r="E5" s="323"/>
      <c r="F5" s="323"/>
      <c r="G5" s="323"/>
      <c r="H5" s="323"/>
      <c r="I5" s="319"/>
      <c r="J5" s="319"/>
      <c r="K5" s="323"/>
      <c r="L5" s="323"/>
      <c r="M5" s="323"/>
      <c r="N5" s="319"/>
      <c r="O5" s="319"/>
      <c r="P5" s="323"/>
      <c r="Q5" s="319"/>
      <c r="R5" s="319"/>
      <c r="S5" s="319"/>
      <c r="T5" s="331"/>
      <c r="U5" s="331"/>
      <c r="V5" s="331"/>
      <c r="W5" s="331"/>
      <c r="X5" s="331"/>
      <c r="Y5" s="331"/>
      <c r="Z5" s="331"/>
      <c r="AA5" s="339"/>
      <c r="AB5" s="494"/>
      <c r="AC5" s="497"/>
      <c r="AD5" s="416"/>
      <c r="AE5" s="316"/>
    </row>
    <row r="6" spans="1:31">
      <c r="A6" s="235"/>
      <c r="B6" s="236"/>
      <c r="C6" s="237"/>
      <c r="D6" s="238"/>
      <c r="E6" s="238"/>
      <c r="F6" s="238"/>
      <c r="G6" s="238"/>
      <c r="H6" s="238"/>
      <c r="I6" s="237"/>
      <c r="J6" s="237"/>
      <c r="K6" s="238"/>
      <c r="L6" s="238"/>
      <c r="M6" s="238"/>
      <c r="N6" s="237"/>
      <c r="O6" s="237"/>
      <c r="P6" s="238"/>
      <c r="Q6" s="237"/>
      <c r="R6" s="237"/>
      <c r="S6" s="237"/>
      <c r="T6" s="297"/>
      <c r="U6" s="297"/>
      <c r="V6" s="297"/>
      <c r="W6" s="297"/>
      <c r="X6" s="297"/>
      <c r="Y6" s="297"/>
      <c r="Z6" s="297"/>
      <c r="AA6" s="340"/>
      <c r="AB6" s="499"/>
      <c r="AC6" s="500"/>
      <c r="AD6" s="416"/>
      <c r="AE6" s="316"/>
    </row>
    <row r="7" spans="1:31" s="73" customFormat="1">
      <c r="A7" s="235"/>
      <c r="B7" s="239"/>
      <c r="C7" s="246"/>
      <c r="D7" s="247"/>
      <c r="E7" s="247"/>
      <c r="F7" s="247"/>
      <c r="G7" s="247"/>
      <c r="H7" s="247"/>
      <c r="I7" s="246"/>
      <c r="J7" s="246"/>
      <c r="K7" s="247"/>
      <c r="L7" s="247"/>
      <c r="M7" s="247"/>
      <c r="N7" s="246"/>
      <c r="O7" s="338"/>
      <c r="P7" s="247"/>
      <c r="Q7" s="246"/>
      <c r="R7" s="246"/>
      <c r="S7" s="246"/>
      <c r="T7" s="298"/>
      <c r="U7" s="298"/>
      <c r="V7" s="298"/>
      <c r="W7" s="298"/>
      <c r="X7" s="298"/>
      <c r="Y7" s="298"/>
      <c r="Z7" s="298"/>
      <c r="AA7" s="341"/>
      <c r="AB7" s="501"/>
      <c r="AC7" s="502"/>
      <c r="AD7" s="417"/>
      <c r="AE7" s="316"/>
    </row>
    <row r="8" spans="1:31" s="73" customFormat="1">
      <c r="A8" s="235"/>
      <c r="B8" s="236"/>
      <c r="C8" s="237"/>
      <c r="D8" s="238"/>
      <c r="E8" s="238"/>
      <c r="F8" s="238"/>
      <c r="G8" s="238"/>
      <c r="H8" s="238"/>
      <c r="I8" s="237"/>
      <c r="J8" s="237"/>
      <c r="K8" s="238"/>
      <c r="L8" s="238"/>
      <c r="M8" s="238"/>
      <c r="N8" s="237"/>
      <c r="O8" s="299"/>
      <c r="P8" s="238"/>
      <c r="Q8" s="237"/>
      <c r="R8" s="237"/>
      <c r="S8" s="237"/>
      <c r="T8" s="297"/>
      <c r="U8" s="297"/>
      <c r="V8" s="297"/>
      <c r="W8" s="297"/>
      <c r="X8" s="297"/>
      <c r="Y8" s="297"/>
      <c r="Z8" s="297"/>
      <c r="AA8" s="342"/>
      <c r="AB8" s="499"/>
      <c r="AC8" s="500"/>
      <c r="AD8" s="416"/>
      <c r="AE8" s="316"/>
    </row>
    <row r="9" spans="1:31" s="73" customFormat="1">
      <c r="A9" s="235"/>
      <c r="B9" s="236"/>
      <c r="C9" s="237"/>
      <c r="D9" s="238"/>
      <c r="E9" s="238"/>
      <c r="F9" s="238"/>
      <c r="G9" s="238"/>
      <c r="H9" s="238"/>
      <c r="I9" s="237"/>
      <c r="J9" s="237"/>
      <c r="K9" s="238"/>
      <c r="L9" s="238"/>
      <c r="M9" s="238"/>
      <c r="N9" s="237"/>
      <c r="O9" s="299"/>
      <c r="P9" s="238"/>
      <c r="Q9" s="237"/>
      <c r="R9" s="237"/>
      <c r="S9" s="237"/>
      <c r="T9" s="297"/>
      <c r="U9" s="297"/>
      <c r="V9" s="297"/>
      <c r="W9" s="297"/>
      <c r="X9" s="297"/>
      <c r="Y9" s="297"/>
      <c r="Z9" s="297"/>
      <c r="AA9" s="342"/>
      <c r="AB9" s="499"/>
      <c r="AC9" s="500"/>
      <c r="AD9" s="416"/>
      <c r="AE9" s="316"/>
    </row>
    <row r="10" spans="1:31" s="73" customFormat="1">
      <c r="A10" s="235"/>
      <c r="B10" s="239"/>
      <c r="C10" s="246"/>
      <c r="D10" s="247"/>
      <c r="E10" s="247"/>
      <c r="F10" s="247"/>
      <c r="G10" s="247"/>
      <c r="H10" s="247"/>
      <c r="I10" s="246"/>
      <c r="J10" s="246"/>
      <c r="K10" s="247"/>
      <c r="L10" s="247"/>
      <c r="M10" s="247"/>
      <c r="N10" s="246"/>
      <c r="O10" s="338"/>
      <c r="P10" s="247"/>
      <c r="Q10" s="246"/>
      <c r="R10" s="246"/>
      <c r="S10" s="246"/>
      <c r="T10" s="298"/>
      <c r="U10" s="298"/>
      <c r="V10" s="298"/>
      <c r="W10" s="298"/>
      <c r="X10" s="298"/>
      <c r="Y10" s="298"/>
      <c r="Z10" s="298"/>
      <c r="AA10" s="341"/>
      <c r="AB10" s="501"/>
      <c r="AC10" s="502"/>
      <c r="AD10" s="417"/>
      <c r="AE10" s="316"/>
    </row>
    <row r="11" spans="1:31" s="73" customFormat="1">
      <c r="A11" s="235"/>
      <c r="B11" s="236"/>
      <c r="C11" s="237"/>
      <c r="D11" s="238"/>
      <c r="E11" s="238"/>
      <c r="F11" s="238"/>
      <c r="G11" s="238"/>
      <c r="H11" s="238"/>
      <c r="I11" s="237"/>
      <c r="J11" s="237"/>
      <c r="K11" s="238"/>
      <c r="L11" s="238"/>
      <c r="M11" s="238"/>
      <c r="N11" s="237"/>
      <c r="O11" s="299"/>
      <c r="P11" s="238"/>
      <c r="Q11" s="237"/>
      <c r="R11" s="237"/>
      <c r="S11" s="237"/>
      <c r="T11" s="297"/>
      <c r="U11" s="297"/>
      <c r="V11" s="297"/>
      <c r="W11" s="297"/>
      <c r="X11" s="297"/>
      <c r="Y11" s="297"/>
      <c r="Z11" s="297"/>
      <c r="AA11" s="342"/>
      <c r="AB11" s="499"/>
      <c r="AC11" s="500"/>
      <c r="AD11" s="416"/>
      <c r="AE11" s="316"/>
    </row>
    <row r="12" spans="1:31" s="73" customFormat="1">
      <c r="A12" s="235"/>
      <c r="B12" s="236"/>
      <c r="C12" s="237"/>
      <c r="D12" s="238"/>
      <c r="E12" s="238"/>
      <c r="F12" s="238"/>
      <c r="G12" s="238"/>
      <c r="H12" s="238"/>
      <c r="I12" s="237"/>
      <c r="J12" s="237"/>
      <c r="K12" s="238"/>
      <c r="L12" s="238"/>
      <c r="M12" s="238"/>
      <c r="N12" s="237"/>
      <c r="O12" s="299"/>
      <c r="P12" s="238"/>
      <c r="Q12" s="237"/>
      <c r="R12" s="237"/>
      <c r="S12" s="237"/>
      <c r="T12" s="297"/>
      <c r="U12" s="297"/>
      <c r="V12" s="297"/>
      <c r="W12" s="297"/>
      <c r="X12" s="297"/>
      <c r="Y12" s="297"/>
      <c r="Z12" s="297"/>
      <c r="AA12" s="342"/>
      <c r="AB12" s="499"/>
      <c r="AC12" s="500"/>
      <c r="AD12" s="416"/>
      <c r="AE12" s="316"/>
    </row>
    <row r="13" spans="1:31" s="73" customFormat="1">
      <c r="A13" s="235"/>
      <c r="B13" s="239"/>
      <c r="C13" s="246"/>
      <c r="D13" s="247"/>
      <c r="E13" s="247"/>
      <c r="F13" s="247"/>
      <c r="G13" s="247"/>
      <c r="H13" s="247"/>
      <c r="I13" s="246"/>
      <c r="J13" s="246"/>
      <c r="K13" s="247"/>
      <c r="L13" s="247"/>
      <c r="M13" s="247"/>
      <c r="N13" s="246"/>
      <c r="O13" s="338"/>
      <c r="P13" s="247"/>
      <c r="Q13" s="246"/>
      <c r="R13" s="246"/>
      <c r="S13" s="246"/>
      <c r="T13" s="298"/>
      <c r="U13" s="298"/>
      <c r="V13" s="298"/>
      <c r="W13" s="298"/>
      <c r="X13" s="298"/>
      <c r="Y13" s="298"/>
      <c r="Z13" s="298"/>
      <c r="AA13" s="341"/>
      <c r="AB13" s="501"/>
      <c r="AC13" s="502"/>
      <c r="AD13" s="417"/>
      <c r="AE13" s="316"/>
    </row>
    <row r="14" spans="1:31" s="73" customFormat="1">
      <c r="A14" s="235"/>
      <c r="B14" s="236"/>
      <c r="C14" s="237"/>
      <c r="D14" s="238"/>
      <c r="E14" s="238"/>
      <c r="F14" s="238"/>
      <c r="G14" s="238"/>
      <c r="H14" s="238"/>
      <c r="I14" s="237"/>
      <c r="J14" s="237"/>
      <c r="K14" s="238"/>
      <c r="L14" s="238"/>
      <c r="M14" s="238"/>
      <c r="N14" s="237"/>
      <c r="O14" s="299"/>
      <c r="P14" s="238"/>
      <c r="Q14" s="237"/>
      <c r="R14" s="237"/>
      <c r="S14" s="237"/>
      <c r="T14" s="297"/>
      <c r="U14" s="297"/>
      <c r="V14" s="297"/>
      <c r="W14" s="297"/>
      <c r="X14" s="297"/>
      <c r="Y14" s="297"/>
      <c r="Z14" s="297"/>
      <c r="AA14" s="342"/>
      <c r="AB14" s="499"/>
      <c r="AC14" s="500"/>
      <c r="AD14" s="416"/>
      <c r="AE14" s="316"/>
    </row>
    <row r="15" spans="1:31" s="73" customFormat="1">
      <c r="A15" s="235"/>
      <c r="B15" s="236"/>
      <c r="C15" s="237"/>
      <c r="D15" s="238"/>
      <c r="E15" s="238"/>
      <c r="F15" s="238"/>
      <c r="G15" s="238"/>
      <c r="H15" s="238"/>
      <c r="I15" s="237"/>
      <c r="J15" s="237"/>
      <c r="K15" s="238"/>
      <c r="L15" s="238"/>
      <c r="M15" s="238"/>
      <c r="N15" s="237"/>
      <c r="O15" s="299"/>
      <c r="P15" s="238"/>
      <c r="Q15" s="237"/>
      <c r="R15" s="237"/>
      <c r="S15" s="237"/>
      <c r="T15" s="297"/>
      <c r="U15" s="297"/>
      <c r="V15" s="297"/>
      <c r="W15" s="297"/>
      <c r="X15" s="297"/>
      <c r="Y15" s="297"/>
      <c r="Z15" s="297"/>
      <c r="AA15" s="342"/>
      <c r="AB15" s="499"/>
      <c r="AC15" s="500"/>
      <c r="AD15" s="416"/>
      <c r="AE15" s="316"/>
    </row>
    <row r="16" spans="1:31" s="73" customFormat="1">
      <c r="A16" s="240"/>
      <c r="B16" s="296"/>
      <c r="C16" s="246"/>
      <c r="D16" s="247"/>
      <c r="E16" s="247"/>
      <c r="F16" s="247"/>
      <c r="G16" s="247"/>
      <c r="H16" s="247"/>
      <c r="I16" s="246"/>
      <c r="J16" s="246"/>
      <c r="K16" s="247"/>
      <c r="L16" s="247"/>
      <c r="M16" s="247"/>
      <c r="N16" s="246"/>
      <c r="O16" s="338"/>
      <c r="P16" s="247"/>
      <c r="Q16" s="246"/>
      <c r="R16" s="246"/>
      <c r="S16" s="246"/>
      <c r="T16" s="298"/>
      <c r="U16" s="298"/>
      <c r="V16" s="298"/>
      <c r="W16" s="298"/>
      <c r="X16" s="298"/>
      <c r="Y16" s="298"/>
      <c r="Z16" s="298"/>
      <c r="AA16" s="341"/>
      <c r="AB16" s="499"/>
      <c r="AC16" s="500"/>
      <c r="AD16" s="417"/>
      <c r="AE16" s="316"/>
    </row>
    <row r="17" spans="1:31" s="73" customFormat="1">
      <c r="A17" s="324"/>
      <c r="B17" s="322"/>
      <c r="C17" s="319"/>
      <c r="D17" s="323"/>
      <c r="E17" s="323"/>
      <c r="F17" s="323"/>
      <c r="G17" s="323"/>
      <c r="H17" s="323"/>
      <c r="I17" s="319"/>
      <c r="J17" s="319"/>
      <c r="K17" s="323"/>
      <c r="L17" s="323"/>
      <c r="M17" s="323"/>
      <c r="N17" s="319"/>
      <c r="O17" s="319"/>
      <c r="P17" s="323"/>
      <c r="Q17" s="319"/>
      <c r="R17" s="319"/>
      <c r="S17" s="319"/>
      <c r="T17" s="331"/>
      <c r="U17" s="331"/>
      <c r="V17" s="331"/>
      <c r="W17" s="331"/>
      <c r="X17" s="331"/>
      <c r="Y17" s="331"/>
      <c r="Z17" s="331"/>
      <c r="AA17" s="339"/>
      <c r="AB17" s="494"/>
      <c r="AC17" s="497"/>
      <c r="AD17" s="416"/>
      <c r="AE17" s="316"/>
    </row>
    <row r="18" spans="1:31" s="73" customFormat="1">
      <c r="A18" s="235"/>
      <c r="B18" s="236"/>
      <c r="C18" s="237"/>
      <c r="D18" s="238"/>
      <c r="E18" s="238"/>
      <c r="F18" s="238"/>
      <c r="G18" s="238"/>
      <c r="H18" s="238"/>
      <c r="I18" s="237"/>
      <c r="J18" s="237"/>
      <c r="K18" s="238"/>
      <c r="L18" s="238"/>
      <c r="M18" s="238"/>
      <c r="N18" s="237"/>
      <c r="O18" s="237"/>
      <c r="P18" s="238"/>
      <c r="Q18" s="237"/>
      <c r="R18" s="237"/>
      <c r="S18" s="237"/>
      <c r="T18" s="297"/>
      <c r="U18" s="297"/>
      <c r="V18" s="297"/>
      <c r="W18" s="297"/>
      <c r="X18" s="297"/>
      <c r="Y18" s="297"/>
      <c r="Z18" s="297"/>
      <c r="AA18" s="340"/>
      <c r="AB18" s="499"/>
      <c r="AC18" s="500"/>
      <c r="AD18" s="416"/>
      <c r="AE18" s="316"/>
    </row>
    <row r="19" spans="1:31" s="73" customFormat="1">
      <c r="A19" s="235"/>
      <c r="B19" s="239"/>
      <c r="C19" s="246"/>
      <c r="D19" s="247"/>
      <c r="E19" s="247"/>
      <c r="F19" s="247"/>
      <c r="G19" s="247"/>
      <c r="H19" s="247"/>
      <c r="I19" s="246"/>
      <c r="J19" s="246"/>
      <c r="K19" s="458"/>
      <c r="L19" s="247"/>
      <c r="M19" s="247"/>
      <c r="N19" s="246"/>
      <c r="O19" s="338"/>
      <c r="P19" s="247"/>
      <c r="Q19" s="246"/>
      <c r="R19" s="246"/>
      <c r="S19" s="246"/>
      <c r="T19" s="298"/>
      <c r="U19" s="298"/>
      <c r="V19" s="298"/>
      <c r="W19" s="298"/>
      <c r="X19" s="298"/>
      <c r="Y19" s="298"/>
      <c r="Z19" s="298"/>
      <c r="AA19" s="341"/>
      <c r="AB19" s="501"/>
      <c r="AC19" s="502"/>
      <c r="AD19" s="417"/>
      <c r="AE19" s="316"/>
    </row>
    <row r="20" spans="1:31" s="73" customFormat="1">
      <c r="A20" s="235"/>
      <c r="B20" s="236"/>
      <c r="C20" s="237"/>
      <c r="D20" s="238"/>
      <c r="E20" s="238"/>
      <c r="F20" s="238"/>
      <c r="G20" s="238"/>
      <c r="H20" s="238"/>
      <c r="I20" s="237"/>
      <c r="J20" s="237"/>
      <c r="K20" s="238"/>
      <c r="L20" s="238"/>
      <c r="M20" s="238"/>
      <c r="N20" s="237"/>
      <c r="O20" s="299"/>
      <c r="P20" s="238"/>
      <c r="Q20" s="237"/>
      <c r="R20" s="237"/>
      <c r="S20" s="237"/>
      <c r="T20" s="297"/>
      <c r="U20" s="297"/>
      <c r="V20" s="297"/>
      <c r="W20" s="297"/>
      <c r="X20" s="297"/>
      <c r="Y20" s="297"/>
      <c r="Z20" s="297"/>
      <c r="AA20" s="342"/>
      <c r="AB20" s="499"/>
      <c r="AC20" s="500"/>
      <c r="AD20" s="416"/>
      <c r="AE20" s="316"/>
    </row>
    <row r="21" spans="1:31" s="73" customFormat="1">
      <c r="A21" s="235"/>
      <c r="B21" s="236"/>
      <c r="C21" s="237"/>
      <c r="D21" s="238"/>
      <c r="E21" s="238"/>
      <c r="F21" s="238"/>
      <c r="G21" s="238"/>
      <c r="H21" s="238"/>
      <c r="I21" s="237"/>
      <c r="J21" s="237"/>
      <c r="K21" s="238"/>
      <c r="L21" s="238"/>
      <c r="M21" s="238"/>
      <c r="N21" s="237"/>
      <c r="O21" s="299"/>
      <c r="P21" s="238"/>
      <c r="Q21" s="237"/>
      <c r="R21" s="237"/>
      <c r="S21" s="237"/>
      <c r="T21" s="297"/>
      <c r="U21" s="297"/>
      <c r="V21" s="297"/>
      <c r="W21" s="297"/>
      <c r="X21" s="297"/>
      <c r="Y21" s="297"/>
      <c r="Z21" s="297"/>
      <c r="AA21" s="342"/>
      <c r="AB21" s="499"/>
      <c r="AC21" s="500"/>
      <c r="AD21" s="416"/>
      <c r="AE21" s="316"/>
    </row>
    <row r="22" spans="1:31" s="73" customFormat="1">
      <c r="A22" s="235"/>
      <c r="B22" s="239"/>
      <c r="C22" s="246"/>
      <c r="D22" s="247"/>
      <c r="E22" s="247"/>
      <c r="F22" s="247"/>
      <c r="G22" s="247"/>
      <c r="H22" s="247"/>
      <c r="I22" s="246"/>
      <c r="J22" s="246"/>
      <c r="K22" s="247"/>
      <c r="L22" s="247"/>
      <c r="M22" s="247"/>
      <c r="N22" s="246"/>
      <c r="O22" s="338"/>
      <c r="P22" s="247"/>
      <c r="Q22" s="246"/>
      <c r="R22" s="246"/>
      <c r="S22" s="246"/>
      <c r="T22" s="298"/>
      <c r="U22" s="298"/>
      <c r="V22" s="298"/>
      <c r="W22" s="298"/>
      <c r="X22" s="298"/>
      <c r="Y22" s="298"/>
      <c r="Z22" s="298"/>
      <c r="AA22" s="341"/>
      <c r="AB22" s="501"/>
      <c r="AC22" s="502"/>
      <c r="AD22" s="417"/>
      <c r="AE22" s="316"/>
    </row>
    <row r="23" spans="1:31" s="73" customFormat="1">
      <c r="A23" s="235"/>
      <c r="B23" s="236"/>
      <c r="C23" s="237"/>
      <c r="D23" s="238"/>
      <c r="E23" s="238"/>
      <c r="F23" s="238"/>
      <c r="G23" s="238"/>
      <c r="H23" s="238"/>
      <c r="I23" s="237"/>
      <c r="J23" s="237"/>
      <c r="K23" s="238"/>
      <c r="L23" s="238"/>
      <c r="M23" s="238"/>
      <c r="N23" s="237"/>
      <c r="O23" s="299"/>
      <c r="P23" s="238"/>
      <c r="Q23" s="237"/>
      <c r="R23" s="237"/>
      <c r="S23" s="237"/>
      <c r="T23" s="297"/>
      <c r="U23" s="297"/>
      <c r="V23" s="297"/>
      <c r="W23" s="297"/>
      <c r="X23" s="297"/>
      <c r="Y23" s="297"/>
      <c r="Z23" s="297"/>
      <c r="AA23" s="342"/>
      <c r="AB23" s="499"/>
      <c r="AC23" s="500"/>
      <c r="AD23" s="416"/>
      <c r="AE23" s="316"/>
    </row>
    <row r="24" spans="1:31" s="73" customFormat="1">
      <c r="A24" s="235"/>
      <c r="B24" s="236"/>
      <c r="C24" s="237"/>
      <c r="D24" s="238"/>
      <c r="E24" s="238"/>
      <c r="F24" s="238"/>
      <c r="G24" s="238"/>
      <c r="H24" s="238"/>
      <c r="I24" s="237"/>
      <c r="J24" s="237"/>
      <c r="K24" s="238"/>
      <c r="L24" s="238"/>
      <c r="M24" s="238"/>
      <c r="N24" s="237"/>
      <c r="O24" s="299"/>
      <c r="P24" s="238"/>
      <c r="Q24" s="237"/>
      <c r="R24" s="237"/>
      <c r="S24" s="237"/>
      <c r="T24" s="297"/>
      <c r="U24" s="297"/>
      <c r="V24" s="297"/>
      <c r="W24" s="297"/>
      <c r="X24" s="297"/>
      <c r="Y24" s="297"/>
      <c r="Z24" s="297"/>
      <c r="AA24" s="342"/>
      <c r="AB24" s="499"/>
      <c r="AC24" s="500"/>
      <c r="AD24" s="416"/>
      <c r="AE24" s="316"/>
    </row>
    <row r="25" spans="1:31" s="73" customFormat="1">
      <c r="A25" s="235"/>
      <c r="B25" s="239"/>
      <c r="C25" s="246"/>
      <c r="D25" s="247"/>
      <c r="E25" s="247"/>
      <c r="F25" s="458"/>
      <c r="G25" s="247"/>
      <c r="H25" s="458"/>
      <c r="I25" s="246"/>
      <c r="J25" s="246"/>
      <c r="K25" s="247"/>
      <c r="L25" s="247"/>
      <c r="M25" s="247"/>
      <c r="N25" s="246"/>
      <c r="O25" s="338"/>
      <c r="P25" s="247"/>
      <c r="Q25" s="246"/>
      <c r="R25" s="246"/>
      <c r="S25" s="246"/>
      <c r="T25" s="298"/>
      <c r="U25" s="298"/>
      <c r="V25" s="298"/>
      <c r="W25" s="298"/>
      <c r="X25" s="298"/>
      <c r="Y25" s="298"/>
      <c r="Z25" s="298"/>
      <c r="AA25" s="341"/>
      <c r="AB25" s="501"/>
      <c r="AC25" s="502"/>
      <c r="AD25" s="417"/>
      <c r="AE25" s="316"/>
    </row>
    <row r="26" spans="1:31" s="73" customFormat="1">
      <c r="A26" s="235"/>
      <c r="B26" s="236"/>
      <c r="C26" s="237"/>
      <c r="D26" s="238"/>
      <c r="E26" s="238"/>
      <c r="F26" s="238"/>
      <c r="G26" s="238"/>
      <c r="H26" s="238"/>
      <c r="I26" s="237"/>
      <c r="J26" s="237"/>
      <c r="K26" s="238"/>
      <c r="L26" s="238"/>
      <c r="M26" s="238"/>
      <c r="N26" s="237"/>
      <c r="O26" s="299"/>
      <c r="P26" s="238"/>
      <c r="Q26" s="237"/>
      <c r="R26" s="237"/>
      <c r="S26" s="237"/>
      <c r="T26" s="297"/>
      <c r="U26" s="297"/>
      <c r="V26" s="297"/>
      <c r="W26" s="297"/>
      <c r="X26" s="297"/>
      <c r="Y26" s="297"/>
      <c r="Z26" s="297"/>
      <c r="AA26" s="342"/>
      <c r="AB26" s="499"/>
      <c r="AC26" s="500"/>
      <c r="AD26" s="416"/>
      <c r="AE26" s="316"/>
    </row>
    <row r="27" spans="1:31" s="73" customFormat="1">
      <c r="A27" s="235"/>
      <c r="B27" s="236"/>
      <c r="C27" s="237"/>
      <c r="D27" s="238"/>
      <c r="E27" s="238"/>
      <c r="F27" s="238"/>
      <c r="G27" s="238"/>
      <c r="H27" s="238"/>
      <c r="I27" s="237"/>
      <c r="J27" s="237"/>
      <c r="K27" s="238"/>
      <c r="L27" s="238"/>
      <c r="M27" s="238"/>
      <c r="N27" s="237"/>
      <c r="O27" s="299"/>
      <c r="P27" s="238"/>
      <c r="Q27" s="237"/>
      <c r="R27" s="237"/>
      <c r="S27" s="237"/>
      <c r="T27" s="297"/>
      <c r="U27" s="297"/>
      <c r="V27" s="297"/>
      <c r="W27" s="297"/>
      <c r="X27" s="297"/>
      <c r="Y27" s="297"/>
      <c r="Z27" s="297"/>
      <c r="AA27" s="342"/>
      <c r="AB27" s="499"/>
      <c r="AC27" s="500"/>
      <c r="AD27" s="416"/>
      <c r="AE27" s="316"/>
    </row>
    <row r="28" spans="1:31" s="73" customFormat="1">
      <c r="A28" s="240"/>
      <c r="B28" s="296"/>
      <c r="C28" s="246"/>
      <c r="D28" s="247"/>
      <c r="E28" s="247"/>
      <c r="F28" s="247"/>
      <c r="G28" s="247"/>
      <c r="H28" s="247"/>
      <c r="I28" s="246"/>
      <c r="J28" s="246"/>
      <c r="K28" s="458"/>
      <c r="L28" s="247"/>
      <c r="M28" s="247"/>
      <c r="N28" s="246"/>
      <c r="O28" s="338"/>
      <c r="P28" s="247"/>
      <c r="Q28" s="246"/>
      <c r="R28" s="246"/>
      <c r="S28" s="246"/>
      <c r="T28" s="298"/>
      <c r="U28" s="298"/>
      <c r="V28" s="298"/>
      <c r="W28" s="298"/>
      <c r="X28" s="298"/>
      <c r="Y28" s="298"/>
      <c r="Z28" s="298"/>
      <c r="AA28" s="341"/>
      <c r="AB28" s="499"/>
      <c r="AC28" s="500"/>
      <c r="AD28" s="417"/>
      <c r="AE28" s="316"/>
    </row>
    <row r="29" spans="1:31" s="73" customFormat="1">
      <c r="A29" s="324"/>
      <c r="B29" s="322"/>
      <c r="C29" s="319"/>
      <c r="D29" s="323"/>
      <c r="E29" s="323"/>
      <c r="F29" s="323"/>
      <c r="G29" s="323"/>
      <c r="H29" s="323"/>
      <c r="I29" s="319"/>
      <c r="J29" s="319"/>
      <c r="K29" s="323"/>
      <c r="L29" s="323"/>
      <c r="M29" s="323"/>
      <c r="N29" s="319"/>
      <c r="O29" s="319"/>
      <c r="P29" s="323"/>
      <c r="Q29" s="319"/>
      <c r="R29" s="319"/>
      <c r="S29" s="319"/>
      <c r="T29" s="331"/>
      <c r="U29" s="331"/>
      <c r="V29" s="331"/>
      <c r="W29" s="331"/>
      <c r="X29" s="331"/>
      <c r="Y29" s="331"/>
      <c r="Z29" s="331"/>
      <c r="AA29" s="339"/>
      <c r="AB29" s="494"/>
      <c r="AC29" s="497"/>
      <c r="AD29" s="416"/>
      <c r="AE29" s="316"/>
    </row>
    <row r="30" spans="1:31" s="73" customFormat="1">
      <c r="A30" s="235"/>
      <c r="B30" s="236"/>
      <c r="C30" s="237"/>
      <c r="D30" s="238"/>
      <c r="E30" s="238"/>
      <c r="F30" s="238"/>
      <c r="G30" s="238"/>
      <c r="H30" s="238"/>
      <c r="I30" s="237"/>
      <c r="J30" s="237"/>
      <c r="K30" s="238"/>
      <c r="L30" s="238"/>
      <c r="M30" s="238"/>
      <c r="N30" s="237"/>
      <c r="O30" s="237"/>
      <c r="P30" s="238"/>
      <c r="Q30" s="237"/>
      <c r="R30" s="237"/>
      <c r="S30" s="237"/>
      <c r="T30" s="297"/>
      <c r="U30" s="297"/>
      <c r="V30" s="297"/>
      <c r="W30" s="297"/>
      <c r="X30" s="297"/>
      <c r="Y30" s="297"/>
      <c r="Z30" s="297"/>
      <c r="AA30" s="340"/>
      <c r="AB30" s="499"/>
      <c r="AC30" s="500"/>
      <c r="AD30" s="416"/>
      <c r="AE30" s="316"/>
    </row>
    <row r="31" spans="1:31" s="73" customFormat="1">
      <c r="A31" s="235"/>
      <c r="B31" s="239"/>
      <c r="C31" s="246"/>
      <c r="D31" s="247"/>
      <c r="E31" s="247"/>
      <c r="F31" s="247"/>
      <c r="G31" s="247"/>
      <c r="H31" s="247"/>
      <c r="I31" s="246"/>
      <c r="J31" s="246"/>
      <c r="K31" s="247"/>
      <c r="L31" s="458"/>
      <c r="M31" s="247"/>
      <c r="N31" s="457"/>
      <c r="O31" s="338"/>
      <c r="P31" s="247"/>
      <c r="Q31" s="246"/>
      <c r="R31" s="246"/>
      <c r="S31" s="246"/>
      <c r="T31" s="298"/>
      <c r="U31" s="298"/>
      <c r="V31" s="298"/>
      <c r="W31" s="298"/>
      <c r="X31" s="298"/>
      <c r="Y31" s="298"/>
      <c r="Z31" s="298"/>
      <c r="AA31" s="341"/>
      <c r="AB31" s="501"/>
      <c r="AC31" s="502"/>
      <c r="AD31" s="417"/>
      <c r="AE31" s="316"/>
    </row>
    <row r="32" spans="1:31" s="73" customFormat="1">
      <c r="A32" s="235"/>
      <c r="B32" s="236"/>
      <c r="C32" s="237"/>
      <c r="D32" s="238"/>
      <c r="E32" s="238"/>
      <c r="F32" s="238"/>
      <c r="G32" s="238"/>
      <c r="H32" s="238"/>
      <c r="I32" s="237"/>
      <c r="J32" s="237"/>
      <c r="K32" s="238"/>
      <c r="L32" s="238"/>
      <c r="M32" s="238"/>
      <c r="N32" s="237"/>
      <c r="O32" s="299"/>
      <c r="P32" s="238"/>
      <c r="Q32" s="237"/>
      <c r="R32" s="237"/>
      <c r="S32" s="237"/>
      <c r="T32" s="297"/>
      <c r="U32" s="297"/>
      <c r="V32" s="297"/>
      <c r="W32" s="297"/>
      <c r="X32" s="297"/>
      <c r="Y32" s="297"/>
      <c r="Z32" s="297"/>
      <c r="AA32" s="342"/>
      <c r="AB32" s="499"/>
      <c r="AC32" s="500"/>
      <c r="AD32" s="416"/>
      <c r="AE32" s="316"/>
    </row>
    <row r="33" spans="1:31" s="73" customFormat="1">
      <c r="A33" s="235"/>
      <c r="B33" s="236"/>
      <c r="C33" s="237"/>
      <c r="D33" s="238"/>
      <c r="E33" s="238"/>
      <c r="F33" s="238"/>
      <c r="G33" s="238"/>
      <c r="H33" s="238"/>
      <c r="I33" s="237"/>
      <c r="J33" s="237"/>
      <c r="K33" s="238"/>
      <c r="L33" s="238"/>
      <c r="M33" s="238"/>
      <c r="N33" s="237"/>
      <c r="O33" s="299"/>
      <c r="P33" s="238"/>
      <c r="Q33" s="237"/>
      <c r="R33" s="237"/>
      <c r="S33" s="237"/>
      <c r="T33" s="297"/>
      <c r="U33" s="297"/>
      <c r="V33" s="297"/>
      <c r="W33" s="297"/>
      <c r="X33" s="297"/>
      <c r="Y33" s="297"/>
      <c r="Z33" s="297"/>
      <c r="AA33" s="342"/>
      <c r="AB33" s="499"/>
      <c r="AC33" s="500"/>
      <c r="AD33" s="416"/>
      <c r="AE33" s="316"/>
    </row>
    <row r="34" spans="1:31" s="73" customFormat="1">
      <c r="A34" s="235"/>
      <c r="B34" s="239"/>
      <c r="C34" s="246"/>
      <c r="D34" s="247"/>
      <c r="E34" s="247"/>
      <c r="F34" s="247"/>
      <c r="G34" s="247"/>
      <c r="H34" s="247"/>
      <c r="I34" s="246"/>
      <c r="J34" s="246"/>
      <c r="K34" s="247"/>
      <c r="L34" s="247"/>
      <c r="M34" s="247"/>
      <c r="N34" s="246"/>
      <c r="O34" s="338"/>
      <c r="P34" s="247"/>
      <c r="Q34" s="246"/>
      <c r="R34" s="246"/>
      <c r="S34" s="246"/>
      <c r="T34" s="298"/>
      <c r="U34" s="298"/>
      <c r="V34" s="298"/>
      <c r="W34" s="298"/>
      <c r="X34" s="298"/>
      <c r="Y34" s="298"/>
      <c r="Z34" s="298"/>
      <c r="AA34" s="341"/>
      <c r="AB34" s="501"/>
      <c r="AC34" s="502"/>
      <c r="AD34" s="417"/>
      <c r="AE34" s="316"/>
    </row>
    <row r="35" spans="1:31" s="73" customFormat="1">
      <c r="A35" s="235"/>
      <c r="B35" s="236"/>
      <c r="C35" s="237"/>
      <c r="D35" s="238"/>
      <c r="E35" s="238"/>
      <c r="F35" s="238"/>
      <c r="G35" s="238"/>
      <c r="H35" s="238"/>
      <c r="I35" s="237"/>
      <c r="J35" s="237"/>
      <c r="K35" s="238"/>
      <c r="L35" s="238"/>
      <c r="M35" s="238"/>
      <c r="N35" s="237"/>
      <c r="O35" s="299"/>
      <c r="P35" s="238"/>
      <c r="Q35" s="237"/>
      <c r="R35" s="237"/>
      <c r="S35" s="237"/>
      <c r="T35" s="297"/>
      <c r="U35" s="297"/>
      <c r="V35" s="297"/>
      <c r="W35" s="297"/>
      <c r="X35" s="297"/>
      <c r="Y35" s="297"/>
      <c r="Z35" s="297"/>
      <c r="AA35" s="342"/>
      <c r="AB35" s="499"/>
      <c r="AC35" s="500"/>
      <c r="AD35" s="416"/>
      <c r="AE35" s="316"/>
    </row>
    <row r="36" spans="1:31" s="73" customFormat="1">
      <c r="A36" s="235"/>
      <c r="B36" s="236"/>
      <c r="C36" s="237"/>
      <c r="D36" s="238"/>
      <c r="E36" s="238"/>
      <c r="F36" s="238"/>
      <c r="G36" s="238"/>
      <c r="H36" s="238"/>
      <c r="I36" s="237"/>
      <c r="J36" s="237"/>
      <c r="K36" s="238"/>
      <c r="L36" s="238"/>
      <c r="M36" s="238"/>
      <c r="N36" s="237"/>
      <c r="O36" s="299"/>
      <c r="P36" s="238"/>
      <c r="Q36" s="237"/>
      <c r="R36" s="237"/>
      <c r="S36" s="237"/>
      <c r="T36" s="297"/>
      <c r="U36" s="297"/>
      <c r="V36" s="297"/>
      <c r="W36" s="297"/>
      <c r="X36" s="297"/>
      <c r="Y36" s="297"/>
      <c r="Z36" s="297"/>
      <c r="AA36" s="342"/>
      <c r="AB36" s="499"/>
      <c r="AC36" s="500"/>
      <c r="AD36" s="416"/>
      <c r="AE36" s="316"/>
    </row>
    <row r="37" spans="1:31" s="73" customFormat="1">
      <c r="A37" s="235"/>
      <c r="B37" s="239"/>
      <c r="C37" s="457"/>
      <c r="D37" s="247"/>
      <c r="E37" s="458"/>
      <c r="F37" s="247"/>
      <c r="G37" s="247"/>
      <c r="H37" s="247"/>
      <c r="I37" s="457"/>
      <c r="J37" s="246"/>
      <c r="K37" s="247"/>
      <c r="L37" s="247"/>
      <c r="M37" s="247"/>
      <c r="N37" s="246"/>
      <c r="O37" s="338"/>
      <c r="P37" s="247"/>
      <c r="Q37" s="246"/>
      <c r="R37" s="246"/>
      <c r="S37" s="246"/>
      <c r="T37" s="298"/>
      <c r="U37" s="298"/>
      <c r="V37" s="298"/>
      <c r="W37" s="298"/>
      <c r="X37" s="298"/>
      <c r="Y37" s="298"/>
      <c r="Z37" s="298"/>
      <c r="AA37" s="341"/>
      <c r="AB37" s="501"/>
      <c r="AC37" s="502"/>
      <c r="AD37" s="417"/>
      <c r="AE37" s="316"/>
    </row>
    <row r="38" spans="1:31" s="73" customFormat="1">
      <c r="A38" s="235"/>
      <c r="B38" s="236"/>
      <c r="C38" s="237"/>
      <c r="D38" s="238"/>
      <c r="E38" s="238"/>
      <c r="F38" s="238"/>
      <c r="G38" s="238"/>
      <c r="H38" s="238"/>
      <c r="I38" s="237"/>
      <c r="J38" s="237"/>
      <c r="K38" s="238"/>
      <c r="L38" s="238"/>
      <c r="M38" s="238"/>
      <c r="N38" s="237"/>
      <c r="O38" s="299"/>
      <c r="P38" s="238"/>
      <c r="Q38" s="237"/>
      <c r="R38" s="237"/>
      <c r="S38" s="237"/>
      <c r="T38" s="297"/>
      <c r="U38" s="297"/>
      <c r="V38" s="297"/>
      <c r="W38" s="297"/>
      <c r="X38" s="297"/>
      <c r="Y38" s="297"/>
      <c r="Z38" s="297"/>
      <c r="AA38" s="342"/>
      <c r="AB38" s="499"/>
      <c r="AC38" s="500"/>
      <c r="AD38" s="416"/>
      <c r="AE38" s="316"/>
    </row>
    <row r="39" spans="1:31" s="73" customFormat="1">
      <c r="A39" s="235"/>
      <c r="B39" s="236"/>
      <c r="C39" s="237"/>
      <c r="D39" s="238"/>
      <c r="E39" s="238"/>
      <c r="F39" s="238"/>
      <c r="G39" s="238"/>
      <c r="H39" s="238"/>
      <c r="I39" s="237"/>
      <c r="J39" s="237"/>
      <c r="K39" s="238"/>
      <c r="L39" s="238"/>
      <c r="M39" s="238"/>
      <c r="N39" s="237"/>
      <c r="O39" s="299"/>
      <c r="P39" s="238"/>
      <c r="Q39" s="237"/>
      <c r="R39" s="237"/>
      <c r="S39" s="237"/>
      <c r="T39" s="297"/>
      <c r="U39" s="297"/>
      <c r="V39" s="297"/>
      <c r="W39" s="297"/>
      <c r="X39" s="297"/>
      <c r="Y39" s="297"/>
      <c r="Z39" s="297"/>
      <c r="AA39" s="342"/>
      <c r="AB39" s="499"/>
      <c r="AC39" s="500"/>
      <c r="AD39" s="416"/>
      <c r="AE39" s="316"/>
    </row>
    <row r="40" spans="1:31" s="73" customFormat="1">
      <c r="A40" s="240"/>
      <c r="B40" s="296"/>
      <c r="C40" s="246"/>
      <c r="D40" s="247"/>
      <c r="E40" s="247"/>
      <c r="F40" s="247"/>
      <c r="G40" s="247"/>
      <c r="H40" s="247"/>
      <c r="I40" s="246"/>
      <c r="J40" s="246"/>
      <c r="K40" s="247"/>
      <c r="L40" s="458"/>
      <c r="M40" s="247"/>
      <c r="N40" s="457"/>
      <c r="O40" s="338"/>
      <c r="P40" s="247"/>
      <c r="Q40" s="246"/>
      <c r="R40" s="246"/>
      <c r="S40" s="246"/>
      <c r="T40" s="298"/>
      <c r="U40" s="298"/>
      <c r="V40" s="298"/>
      <c r="W40" s="298"/>
      <c r="X40" s="298"/>
      <c r="Y40" s="298"/>
      <c r="Z40" s="298"/>
      <c r="AA40" s="341"/>
      <c r="AB40" s="499"/>
      <c r="AC40" s="500"/>
      <c r="AD40" s="417"/>
      <c r="AE40" s="316"/>
    </row>
    <row r="41" spans="1:31" s="73" customFormat="1">
      <c r="A41" s="324"/>
      <c r="B41" s="322"/>
      <c r="C41" s="319"/>
      <c r="D41" s="323"/>
      <c r="E41" s="323"/>
      <c r="F41" s="323"/>
      <c r="G41" s="323"/>
      <c r="H41" s="323"/>
      <c r="I41" s="319"/>
      <c r="J41" s="319"/>
      <c r="K41" s="323"/>
      <c r="L41" s="323"/>
      <c r="M41" s="323"/>
      <c r="N41" s="319"/>
      <c r="O41" s="319"/>
      <c r="P41" s="323"/>
      <c r="Q41" s="319"/>
      <c r="R41" s="319"/>
      <c r="S41" s="319"/>
      <c r="T41" s="331"/>
      <c r="U41" s="331"/>
      <c r="V41" s="331"/>
      <c r="W41" s="331"/>
      <c r="X41" s="331"/>
      <c r="Y41" s="331"/>
      <c r="Z41" s="331"/>
      <c r="AA41" s="339"/>
      <c r="AB41" s="494"/>
      <c r="AC41" s="497"/>
      <c r="AD41" s="416"/>
      <c r="AE41" s="316"/>
    </row>
    <row r="42" spans="1:31" s="73" customFormat="1">
      <c r="A42" s="235"/>
      <c r="B42" s="236"/>
      <c r="C42" s="237"/>
      <c r="D42" s="238"/>
      <c r="E42" s="238"/>
      <c r="F42" s="238"/>
      <c r="G42" s="238"/>
      <c r="H42" s="238"/>
      <c r="I42" s="237"/>
      <c r="J42" s="237"/>
      <c r="K42" s="238"/>
      <c r="L42" s="238"/>
      <c r="M42" s="238"/>
      <c r="N42" s="237"/>
      <c r="O42" s="237"/>
      <c r="P42" s="238"/>
      <c r="Q42" s="237"/>
      <c r="R42" s="237"/>
      <c r="S42" s="237"/>
      <c r="T42" s="297"/>
      <c r="U42" s="297"/>
      <c r="V42" s="297"/>
      <c r="W42" s="297"/>
      <c r="X42" s="297"/>
      <c r="Y42" s="297"/>
      <c r="Z42" s="297"/>
      <c r="AA42" s="340"/>
      <c r="AB42" s="499"/>
      <c r="AC42" s="500"/>
      <c r="AD42" s="416"/>
      <c r="AE42" s="316"/>
    </row>
    <row r="43" spans="1:31" s="73" customFormat="1">
      <c r="A43" s="235"/>
      <c r="B43" s="239"/>
      <c r="C43" s="246"/>
      <c r="D43" s="247"/>
      <c r="E43" s="247"/>
      <c r="F43" s="247"/>
      <c r="G43" s="247"/>
      <c r="H43" s="247"/>
      <c r="I43" s="246"/>
      <c r="J43" s="246"/>
      <c r="K43" s="247"/>
      <c r="L43" s="247"/>
      <c r="M43" s="247"/>
      <c r="N43" s="246"/>
      <c r="O43" s="338"/>
      <c r="P43" s="247"/>
      <c r="Q43" s="246"/>
      <c r="R43" s="246"/>
      <c r="S43" s="246"/>
      <c r="T43" s="298"/>
      <c r="U43" s="298"/>
      <c r="V43" s="298"/>
      <c r="W43" s="298"/>
      <c r="X43" s="298"/>
      <c r="Y43" s="298"/>
      <c r="Z43" s="298"/>
      <c r="AA43" s="341"/>
      <c r="AB43" s="501"/>
      <c r="AC43" s="502"/>
      <c r="AD43" s="417"/>
      <c r="AE43" s="316"/>
    </row>
    <row r="44" spans="1:31" s="73" customFormat="1">
      <c r="A44" s="235"/>
      <c r="B44" s="236"/>
      <c r="C44" s="237"/>
      <c r="D44" s="238"/>
      <c r="E44" s="238"/>
      <c r="F44" s="238"/>
      <c r="G44" s="238"/>
      <c r="H44" s="238"/>
      <c r="I44" s="237"/>
      <c r="J44" s="237"/>
      <c r="K44" s="238"/>
      <c r="L44" s="238"/>
      <c r="M44" s="238"/>
      <c r="N44" s="237"/>
      <c r="O44" s="299"/>
      <c r="P44" s="238"/>
      <c r="Q44" s="237"/>
      <c r="R44" s="237"/>
      <c r="S44" s="237"/>
      <c r="T44" s="297"/>
      <c r="U44" s="297"/>
      <c r="V44" s="297"/>
      <c r="W44" s="297"/>
      <c r="X44" s="297"/>
      <c r="Y44" s="297"/>
      <c r="Z44" s="297"/>
      <c r="AA44" s="342"/>
      <c r="AB44" s="499"/>
      <c r="AC44" s="500"/>
      <c r="AD44" s="416"/>
      <c r="AE44" s="316"/>
    </row>
    <row r="45" spans="1:31" s="73" customFormat="1">
      <c r="A45" s="235"/>
      <c r="B45" s="236"/>
      <c r="C45" s="237"/>
      <c r="D45" s="238"/>
      <c r="E45" s="238"/>
      <c r="F45" s="238"/>
      <c r="G45" s="238"/>
      <c r="H45" s="238"/>
      <c r="I45" s="237"/>
      <c r="J45" s="237"/>
      <c r="K45" s="238"/>
      <c r="L45" s="238"/>
      <c r="M45" s="238"/>
      <c r="N45" s="237"/>
      <c r="O45" s="299"/>
      <c r="P45" s="238"/>
      <c r="Q45" s="237"/>
      <c r="R45" s="237"/>
      <c r="S45" s="237"/>
      <c r="T45" s="297"/>
      <c r="U45" s="297"/>
      <c r="V45" s="297"/>
      <c r="W45" s="297"/>
      <c r="X45" s="297"/>
      <c r="Y45" s="297"/>
      <c r="Z45" s="297"/>
      <c r="AA45" s="342"/>
      <c r="AB45" s="499"/>
      <c r="AC45" s="500"/>
      <c r="AD45" s="416"/>
      <c r="AE45" s="316"/>
    </row>
    <row r="46" spans="1:31" s="73" customFormat="1">
      <c r="A46" s="235"/>
      <c r="B46" s="239"/>
      <c r="C46" s="246"/>
      <c r="D46" s="247"/>
      <c r="E46" s="247"/>
      <c r="F46" s="247"/>
      <c r="G46" s="247"/>
      <c r="H46" s="247"/>
      <c r="I46" s="246"/>
      <c r="J46" s="246"/>
      <c r="K46" s="247"/>
      <c r="L46" s="247"/>
      <c r="M46" s="458"/>
      <c r="N46" s="246"/>
      <c r="O46" s="338"/>
      <c r="P46" s="247"/>
      <c r="Q46" s="246"/>
      <c r="R46" s="246"/>
      <c r="S46" s="246"/>
      <c r="T46" s="298"/>
      <c r="U46" s="298"/>
      <c r="V46" s="298"/>
      <c r="W46" s="298"/>
      <c r="X46" s="298"/>
      <c r="Y46" s="298"/>
      <c r="Z46" s="298"/>
      <c r="AA46" s="341"/>
      <c r="AB46" s="501"/>
      <c r="AC46" s="502"/>
      <c r="AD46" s="417"/>
      <c r="AE46" s="316"/>
    </row>
    <row r="47" spans="1:31" s="73" customFormat="1">
      <c r="A47" s="235"/>
      <c r="B47" s="236"/>
      <c r="C47" s="237"/>
      <c r="D47" s="238"/>
      <c r="E47" s="238"/>
      <c r="F47" s="238"/>
      <c r="G47" s="238"/>
      <c r="H47" s="238"/>
      <c r="I47" s="237"/>
      <c r="J47" s="237"/>
      <c r="K47" s="238"/>
      <c r="L47" s="238"/>
      <c r="M47" s="238"/>
      <c r="N47" s="237"/>
      <c r="O47" s="299"/>
      <c r="P47" s="238"/>
      <c r="Q47" s="237"/>
      <c r="R47" s="237"/>
      <c r="S47" s="237"/>
      <c r="T47" s="297"/>
      <c r="U47" s="297"/>
      <c r="V47" s="297"/>
      <c r="W47" s="297"/>
      <c r="X47" s="297"/>
      <c r="Y47" s="297"/>
      <c r="Z47" s="297"/>
      <c r="AA47" s="342"/>
      <c r="AB47" s="499"/>
      <c r="AC47" s="500"/>
      <c r="AD47" s="416"/>
      <c r="AE47" s="316"/>
    </row>
    <row r="48" spans="1:31" s="73" customFormat="1">
      <c r="A48" s="235"/>
      <c r="B48" s="236"/>
      <c r="C48" s="237"/>
      <c r="D48" s="238"/>
      <c r="E48" s="238"/>
      <c r="F48" s="238"/>
      <c r="G48" s="238"/>
      <c r="H48" s="238"/>
      <c r="I48" s="237"/>
      <c r="J48" s="237"/>
      <c r="K48" s="238"/>
      <c r="L48" s="238"/>
      <c r="M48" s="238"/>
      <c r="N48" s="237"/>
      <c r="O48" s="299"/>
      <c r="P48" s="238"/>
      <c r="Q48" s="237"/>
      <c r="R48" s="237"/>
      <c r="S48" s="237"/>
      <c r="T48" s="297"/>
      <c r="U48" s="297"/>
      <c r="V48" s="297"/>
      <c r="W48" s="297"/>
      <c r="X48" s="297"/>
      <c r="Y48" s="297"/>
      <c r="Z48" s="297"/>
      <c r="AA48" s="342"/>
      <c r="AB48" s="499"/>
      <c r="AC48" s="500"/>
      <c r="AD48" s="416"/>
      <c r="AE48" s="316"/>
    </row>
    <row r="49" spans="1:31" s="73" customFormat="1">
      <c r="A49" s="235"/>
      <c r="B49" s="239"/>
      <c r="C49" s="457"/>
      <c r="D49" s="247"/>
      <c r="E49" s="247"/>
      <c r="F49" s="247"/>
      <c r="G49" s="247"/>
      <c r="H49" s="247"/>
      <c r="I49" s="457"/>
      <c r="J49" s="246"/>
      <c r="K49" s="247"/>
      <c r="L49" s="247"/>
      <c r="M49" s="247"/>
      <c r="N49" s="246"/>
      <c r="O49" s="338"/>
      <c r="P49" s="247"/>
      <c r="Q49" s="246"/>
      <c r="R49" s="246"/>
      <c r="S49" s="246"/>
      <c r="T49" s="298"/>
      <c r="U49" s="298"/>
      <c r="V49" s="298"/>
      <c r="W49" s="298"/>
      <c r="X49" s="298"/>
      <c r="Y49" s="298"/>
      <c r="Z49" s="298"/>
      <c r="AA49" s="341"/>
      <c r="AB49" s="501"/>
      <c r="AC49" s="502"/>
      <c r="AD49" s="417"/>
      <c r="AE49" s="316"/>
    </row>
    <row r="50" spans="1:31" s="73" customFormat="1">
      <c r="A50" s="235"/>
      <c r="B50" s="236"/>
      <c r="C50" s="237"/>
      <c r="D50" s="238"/>
      <c r="E50" s="238"/>
      <c r="F50" s="238"/>
      <c r="G50" s="238"/>
      <c r="H50" s="238"/>
      <c r="I50" s="237"/>
      <c r="J50" s="237"/>
      <c r="K50" s="238"/>
      <c r="L50" s="238"/>
      <c r="M50" s="238"/>
      <c r="N50" s="237"/>
      <c r="O50" s="299"/>
      <c r="P50" s="238"/>
      <c r="Q50" s="237"/>
      <c r="R50" s="237"/>
      <c r="S50" s="237"/>
      <c r="T50" s="297"/>
      <c r="U50" s="297"/>
      <c r="V50" s="297"/>
      <c r="W50" s="297"/>
      <c r="X50" s="297"/>
      <c r="Y50" s="297"/>
      <c r="Z50" s="297"/>
      <c r="AA50" s="342"/>
      <c r="AB50" s="499"/>
      <c r="AC50" s="500"/>
      <c r="AD50" s="416"/>
      <c r="AE50" s="316"/>
    </row>
    <row r="51" spans="1:31" s="73" customFormat="1">
      <c r="A51" s="235"/>
      <c r="B51" s="236"/>
      <c r="C51" s="237"/>
      <c r="D51" s="238"/>
      <c r="E51" s="238"/>
      <c r="F51" s="238"/>
      <c r="G51" s="238"/>
      <c r="H51" s="238"/>
      <c r="I51" s="237"/>
      <c r="J51" s="237"/>
      <c r="K51" s="238"/>
      <c r="L51" s="238"/>
      <c r="M51" s="238"/>
      <c r="N51" s="237"/>
      <c r="O51" s="299"/>
      <c r="P51" s="238"/>
      <c r="Q51" s="237"/>
      <c r="R51" s="237"/>
      <c r="S51" s="237"/>
      <c r="T51" s="297"/>
      <c r="U51" s="297"/>
      <c r="V51" s="297"/>
      <c r="W51" s="297"/>
      <c r="X51" s="297"/>
      <c r="Y51" s="297"/>
      <c r="Z51" s="297"/>
      <c r="AA51" s="342"/>
      <c r="AB51" s="499"/>
      <c r="AC51" s="500"/>
      <c r="AD51" s="416"/>
      <c r="AE51" s="316"/>
    </row>
    <row r="52" spans="1:31" s="73" customFormat="1">
      <c r="A52" s="240"/>
      <c r="B52" s="296"/>
      <c r="C52" s="246"/>
      <c r="D52" s="247"/>
      <c r="E52" s="247"/>
      <c r="F52" s="247"/>
      <c r="G52" s="247"/>
      <c r="H52" s="247"/>
      <c r="I52" s="246"/>
      <c r="J52" s="246"/>
      <c r="K52" s="247"/>
      <c r="L52" s="247"/>
      <c r="M52" s="247"/>
      <c r="N52" s="246"/>
      <c r="O52" s="338"/>
      <c r="P52" s="247"/>
      <c r="Q52" s="246"/>
      <c r="R52" s="246"/>
      <c r="S52" s="246"/>
      <c r="T52" s="298"/>
      <c r="U52" s="298"/>
      <c r="V52" s="298"/>
      <c r="W52" s="298"/>
      <c r="X52" s="298"/>
      <c r="Y52" s="298"/>
      <c r="Z52" s="298"/>
      <c r="AA52" s="341"/>
      <c r="AB52" s="499"/>
      <c r="AC52" s="500"/>
      <c r="AD52" s="417"/>
      <c r="AE52" s="316"/>
    </row>
    <row r="53" spans="1:31" s="73" customFormat="1">
      <c r="A53" s="324"/>
      <c r="B53" s="322"/>
      <c r="C53" s="319"/>
      <c r="D53" s="323"/>
      <c r="E53" s="323"/>
      <c r="F53" s="323"/>
      <c r="G53" s="323"/>
      <c r="H53" s="323"/>
      <c r="I53" s="319"/>
      <c r="J53" s="319"/>
      <c r="K53" s="323"/>
      <c r="L53" s="323"/>
      <c r="M53" s="323"/>
      <c r="N53" s="319"/>
      <c r="O53" s="319"/>
      <c r="P53" s="323"/>
      <c r="Q53" s="319"/>
      <c r="R53" s="319"/>
      <c r="S53" s="319"/>
      <c r="T53" s="331"/>
      <c r="U53" s="331"/>
      <c r="V53" s="331"/>
      <c r="W53" s="331"/>
      <c r="X53" s="331"/>
      <c r="Y53" s="331"/>
      <c r="Z53" s="331"/>
      <c r="AA53" s="339"/>
      <c r="AB53" s="494"/>
      <c r="AC53" s="497"/>
      <c r="AD53" s="416"/>
      <c r="AE53" s="316"/>
    </row>
    <row r="54" spans="1:31" s="73" customFormat="1">
      <c r="A54" s="235"/>
      <c r="B54" s="236"/>
      <c r="C54" s="237"/>
      <c r="D54" s="238"/>
      <c r="E54" s="238"/>
      <c r="F54" s="238"/>
      <c r="G54" s="238"/>
      <c r="H54" s="238"/>
      <c r="I54" s="237"/>
      <c r="J54" s="237"/>
      <c r="K54" s="238"/>
      <c r="L54" s="238"/>
      <c r="M54" s="238"/>
      <c r="N54" s="237"/>
      <c r="O54" s="237"/>
      <c r="P54" s="238"/>
      <c r="Q54" s="237"/>
      <c r="R54" s="237"/>
      <c r="S54" s="237"/>
      <c r="T54" s="297"/>
      <c r="U54" s="297"/>
      <c r="V54" s="297"/>
      <c r="W54" s="297"/>
      <c r="X54" s="297"/>
      <c r="Y54" s="297"/>
      <c r="Z54" s="297"/>
      <c r="AA54" s="340"/>
      <c r="AB54" s="499"/>
      <c r="AC54" s="500"/>
      <c r="AD54" s="416"/>
      <c r="AE54" s="316"/>
    </row>
    <row r="55" spans="1:31" s="73" customFormat="1">
      <c r="A55" s="235"/>
      <c r="B55" s="239"/>
      <c r="C55" s="246"/>
      <c r="D55" s="247"/>
      <c r="E55" s="247"/>
      <c r="F55" s="247"/>
      <c r="G55" s="247"/>
      <c r="H55" s="247"/>
      <c r="I55" s="246"/>
      <c r="J55" s="246"/>
      <c r="K55" s="247"/>
      <c r="L55" s="247"/>
      <c r="M55" s="247"/>
      <c r="N55" s="246"/>
      <c r="O55" s="338"/>
      <c r="P55" s="247"/>
      <c r="Q55" s="246"/>
      <c r="R55" s="246"/>
      <c r="S55" s="246"/>
      <c r="T55" s="298"/>
      <c r="U55" s="298"/>
      <c r="V55" s="298"/>
      <c r="W55" s="298"/>
      <c r="X55" s="298"/>
      <c r="Y55" s="298"/>
      <c r="Z55" s="298"/>
      <c r="AA55" s="341"/>
      <c r="AB55" s="501"/>
      <c r="AC55" s="502"/>
      <c r="AD55" s="417"/>
      <c r="AE55" s="316"/>
    </row>
    <row r="56" spans="1:31" s="73" customFormat="1">
      <c r="A56" s="235"/>
      <c r="B56" s="236"/>
      <c r="C56" s="237"/>
      <c r="D56" s="238"/>
      <c r="E56" s="238"/>
      <c r="F56" s="238"/>
      <c r="G56" s="238"/>
      <c r="H56" s="238"/>
      <c r="I56" s="237"/>
      <c r="J56" s="237"/>
      <c r="K56" s="238"/>
      <c r="L56" s="238"/>
      <c r="M56" s="238"/>
      <c r="N56" s="237"/>
      <c r="O56" s="299"/>
      <c r="P56" s="238"/>
      <c r="Q56" s="237"/>
      <c r="R56" s="237"/>
      <c r="S56" s="237"/>
      <c r="T56" s="297"/>
      <c r="U56" s="297"/>
      <c r="V56" s="297"/>
      <c r="W56" s="297"/>
      <c r="X56" s="297"/>
      <c r="Y56" s="297"/>
      <c r="Z56" s="297"/>
      <c r="AA56" s="342"/>
      <c r="AB56" s="499"/>
      <c r="AC56" s="500"/>
      <c r="AD56" s="416"/>
      <c r="AE56" s="316"/>
    </row>
    <row r="57" spans="1:31" s="73" customFormat="1">
      <c r="A57" s="235"/>
      <c r="B57" s="236"/>
      <c r="C57" s="237"/>
      <c r="D57" s="238"/>
      <c r="E57" s="238"/>
      <c r="F57" s="238"/>
      <c r="G57" s="238"/>
      <c r="H57" s="238"/>
      <c r="I57" s="237"/>
      <c r="J57" s="237"/>
      <c r="K57" s="238"/>
      <c r="L57" s="238"/>
      <c r="M57" s="238"/>
      <c r="N57" s="237"/>
      <c r="O57" s="299"/>
      <c r="P57" s="238"/>
      <c r="Q57" s="237"/>
      <c r="R57" s="237"/>
      <c r="S57" s="237"/>
      <c r="T57" s="297"/>
      <c r="U57" s="297"/>
      <c r="V57" s="297"/>
      <c r="W57" s="297"/>
      <c r="X57" s="297"/>
      <c r="Y57" s="297"/>
      <c r="Z57" s="297"/>
      <c r="AA57" s="342"/>
      <c r="AB57" s="499"/>
      <c r="AC57" s="500"/>
      <c r="AD57" s="416"/>
      <c r="AE57" s="316"/>
    </row>
    <row r="58" spans="1:31" s="73" customFormat="1">
      <c r="A58" s="235"/>
      <c r="B58" s="239"/>
      <c r="C58" s="246"/>
      <c r="D58" s="247"/>
      <c r="E58" s="247"/>
      <c r="F58" s="247"/>
      <c r="G58" s="247"/>
      <c r="H58" s="247"/>
      <c r="I58" s="246"/>
      <c r="J58" s="246"/>
      <c r="K58" s="247"/>
      <c r="L58" s="247"/>
      <c r="M58" s="247"/>
      <c r="N58" s="246"/>
      <c r="O58" s="338"/>
      <c r="P58" s="247"/>
      <c r="Q58" s="246"/>
      <c r="R58" s="246"/>
      <c r="S58" s="246"/>
      <c r="T58" s="298"/>
      <c r="U58" s="298"/>
      <c r="V58" s="298"/>
      <c r="W58" s="298"/>
      <c r="X58" s="298"/>
      <c r="Y58" s="298"/>
      <c r="Z58" s="298"/>
      <c r="AA58" s="341"/>
      <c r="AB58" s="501"/>
      <c r="AC58" s="502"/>
      <c r="AD58" s="417"/>
      <c r="AE58" s="316"/>
    </row>
    <row r="59" spans="1:31" s="73" customFormat="1">
      <c r="A59" s="235"/>
      <c r="B59" s="236"/>
      <c r="C59" s="237"/>
      <c r="D59" s="238"/>
      <c r="E59" s="238"/>
      <c r="F59" s="238"/>
      <c r="G59" s="238"/>
      <c r="H59" s="238"/>
      <c r="I59" s="237"/>
      <c r="J59" s="237"/>
      <c r="K59" s="238"/>
      <c r="L59" s="238"/>
      <c r="M59" s="238"/>
      <c r="N59" s="237"/>
      <c r="O59" s="299"/>
      <c r="P59" s="238"/>
      <c r="Q59" s="237"/>
      <c r="R59" s="237"/>
      <c r="S59" s="237"/>
      <c r="T59" s="297"/>
      <c r="U59" s="297"/>
      <c r="V59" s="297"/>
      <c r="W59" s="297"/>
      <c r="X59" s="297"/>
      <c r="Y59" s="297"/>
      <c r="Z59" s="297"/>
      <c r="AA59" s="342"/>
      <c r="AB59" s="499"/>
      <c r="AC59" s="500"/>
      <c r="AD59" s="416"/>
      <c r="AE59" s="316"/>
    </row>
    <row r="60" spans="1:31" s="73" customFormat="1">
      <c r="A60" s="235"/>
      <c r="B60" s="236"/>
      <c r="C60" s="237"/>
      <c r="D60" s="238"/>
      <c r="E60" s="238"/>
      <c r="F60" s="238"/>
      <c r="G60" s="238"/>
      <c r="H60" s="238"/>
      <c r="I60" s="237"/>
      <c r="J60" s="237"/>
      <c r="K60" s="238"/>
      <c r="L60" s="238"/>
      <c r="M60" s="238"/>
      <c r="N60" s="237"/>
      <c r="O60" s="299"/>
      <c r="P60" s="238"/>
      <c r="Q60" s="237"/>
      <c r="R60" s="237"/>
      <c r="S60" s="237"/>
      <c r="T60" s="297"/>
      <c r="U60" s="297"/>
      <c r="V60" s="297"/>
      <c r="W60" s="297"/>
      <c r="X60" s="297"/>
      <c r="Y60" s="297"/>
      <c r="Z60" s="297"/>
      <c r="AA60" s="342"/>
      <c r="AB60" s="499"/>
      <c r="AC60" s="500"/>
      <c r="AD60" s="416"/>
      <c r="AE60" s="316"/>
    </row>
    <row r="61" spans="1:31" s="73" customFormat="1">
      <c r="A61" s="235"/>
      <c r="B61" s="239"/>
      <c r="C61" s="246"/>
      <c r="D61" s="458"/>
      <c r="E61" s="247"/>
      <c r="F61" s="247"/>
      <c r="G61" s="458"/>
      <c r="H61" s="247"/>
      <c r="I61" s="246"/>
      <c r="J61" s="246"/>
      <c r="K61" s="247"/>
      <c r="L61" s="247"/>
      <c r="M61" s="247"/>
      <c r="N61" s="246"/>
      <c r="O61" s="338"/>
      <c r="P61" s="247"/>
      <c r="Q61" s="246"/>
      <c r="R61" s="246"/>
      <c r="S61" s="246"/>
      <c r="T61" s="298"/>
      <c r="U61" s="298"/>
      <c r="V61" s="298"/>
      <c r="W61" s="298"/>
      <c r="X61" s="298"/>
      <c r="Y61" s="298"/>
      <c r="Z61" s="298"/>
      <c r="AA61" s="341"/>
      <c r="AB61" s="501"/>
      <c r="AC61" s="502"/>
      <c r="AD61" s="417"/>
      <c r="AE61" s="316"/>
    </row>
    <row r="62" spans="1:31" s="73" customFormat="1">
      <c r="A62" s="235"/>
      <c r="B62" s="236"/>
      <c r="C62" s="237"/>
      <c r="D62" s="238"/>
      <c r="E62" s="238"/>
      <c r="F62" s="238"/>
      <c r="G62" s="238"/>
      <c r="H62" s="238"/>
      <c r="I62" s="237"/>
      <c r="J62" s="237"/>
      <c r="K62" s="238"/>
      <c r="L62" s="238"/>
      <c r="M62" s="238"/>
      <c r="N62" s="237"/>
      <c r="O62" s="299"/>
      <c r="P62" s="238"/>
      <c r="Q62" s="237"/>
      <c r="R62" s="237"/>
      <c r="S62" s="237"/>
      <c r="T62" s="297"/>
      <c r="U62" s="297"/>
      <c r="V62" s="297"/>
      <c r="W62" s="297"/>
      <c r="X62" s="297"/>
      <c r="Y62" s="297"/>
      <c r="Z62" s="297"/>
      <c r="AA62" s="342"/>
      <c r="AB62" s="499"/>
      <c r="AC62" s="500"/>
      <c r="AD62" s="416"/>
      <c r="AE62" s="316"/>
    </row>
    <row r="63" spans="1:31" s="73" customFormat="1">
      <c r="A63" s="235"/>
      <c r="B63" s="236"/>
      <c r="C63" s="237"/>
      <c r="D63" s="238"/>
      <c r="E63" s="238"/>
      <c r="F63" s="238"/>
      <c r="G63" s="238"/>
      <c r="H63" s="238"/>
      <c r="I63" s="237"/>
      <c r="J63" s="237"/>
      <c r="K63" s="238"/>
      <c r="L63" s="238"/>
      <c r="M63" s="238"/>
      <c r="N63" s="237"/>
      <c r="O63" s="299"/>
      <c r="P63" s="238"/>
      <c r="Q63" s="237"/>
      <c r="R63" s="237"/>
      <c r="S63" s="237"/>
      <c r="T63" s="297"/>
      <c r="U63" s="297"/>
      <c r="V63" s="297"/>
      <c r="W63" s="297"/>
      <c r="X63" s="297"/>
      <c r="Y63" s="297"/>
      <c r="Z63" s="297"/>
      <c r="AA63" s="342"/>
      <c r="AB63" s="499"/>
      <c r="AC63" s="500"/>
      <c r="AD63" s="416"/>
      <c r="AE63" s="316"/>
    </row>
    <row r="64" spans="1:31" s="73" customFormat="1">
      <c r="A64" s="240"/>
      <c r="B64" s="296"/>
      <c r="C64" s="246"/>
      <c r="D64" s="247"/>
      <c r="E64" s="247"/>
      <c r="F64" s="247"/>
      <c r="G64" s="247"/>
      <c r="H64" s="247"/>
      <c r="I64" s="246"/>
      <c r="J64" s="246"/>
      <c r="K64" s="247"/>
      <c r="L64" s="247"/>
      <c r="M64" s="247"/>
      <c r="N64" s="246"/>
      <c r="O64" s="338"/>
      <c r="P64" s="247"/>
      <c r="Q64" s="246"/>
      <c r="R64" s="246"/>
      <c r="S64" s="246"/>
      <c r="T64" s="298"/>
      <c r="U64" s="298"/>
      <c r="V64" s="298"/>
      <c r="W64" s="298"/>
      <c r="X64" s="298"/>
      <c r="Y64" s="298"/>
      <c r="Z64" s="298"/>
      <c r="AA64" s="341"/>
      <c r="AB64" s="499"/>
      <c r="AC64" s="500"/>
      <c r="AD64" s="417"/>
      <c r="AE64" s="316"/>
    </row>
    <row r="65" spans="1:31" s="73" customFormat="1">
      <c r="A65" s="324"/>
      <c r="B65" s="322"/>
      <c r="C65" s="319"/>
      <c r="D65" s="323"/>
      <c r="E65" s="323"/>
      <c r="F65" s="323"/>
      <c r="G65" s="323"/>
      <c r="H65" s="323"/>
      <c r="I65" s="319"/>
      <c r="J65" s="319"/>
      <c r="K65" s="323"/>
      <c r="L65" s="323"/>
      <c r="M65" s="323"/>
      <c r="N65" s="319"/>
      <c r="O65" s="319"/>
      <c r="P65" s="323"/>
      <c r="Q65" s="319"/>
      <c r="R65" s="319"/>
      <c r="S65" s="319"/>
      <c r="T65" s="331"/>
      <c r="U65" s="331"/>
      <c r="V65" s="331"/>
      <c r="W65" s="331"/>
      <c r="X65" s="331"/>
      <c r="Y65" s="331"/>
      <c r="Z65" s="331"/>
      <c r="AA65" s="339"/>
      <c r="AB65" s="494"/>
      <c r="AC65" s="497"/>
      <c r="AD65" s="416"/>
      <c r="AE65" s="316"/>
    </row>
    <row r="66" spans="1:31" s="73" customFormat="1">
      <c r="A66" s="235"/>
      <c r="B66" s="236"/>
      <c r="C66" s="237"/>
      <c r="D66" s="238"/>
      <c r="E66" s="238"/>
      <c r="F66" s="238"/>
      <c r="G66" s="238"/>
      <c r="H66" s="238"/>
      <c r="I66" s="237"/>
      <c r="J66" s="237"/>
      <c r="K66" s="238"/>
      <c r="L66" s="238"/>
      <c r="M66" s="238"/>
      <c r="N66" s="237"/>
      <c r="O66" s="237"/>
      <c r="P66" s="238"/>
      <c r="Q66" s="237"/>
      <c r="R66" s="237"/>
      <c r="S66" s="237"/>
      <c r="T66" s="297"/>
      <c r="U66" s="297"/>
      <c r="V66" s="297"/>
      <c r="W66" s="297"/>
      <c r="X66" s="297"/>
      <c r="Y66" s="297"/>
      <c r="Z66" s="297"/>
      <c r="AA66" s="340"/>
      <c r="AB66" s="499"/>
      <c r="AC66" s="500"/>
      <c r="AD66" s="416"/>
      <c r="AE66" s="316"/>
    </row>
    <row r="67" spans="1:31" s="73" customFormat="1">
      <c r="A67" s="235"/>
      <c r="B67" s="239"/>
      <c r="C67" s="246"/>
      <c r="D67" s="247"/>
      <c r="E67" s="247"/>
      <c r="F67" s="458"/>
      <c r="G67" s="247"/>
      <c r="H67" s="247"/>
      <c r="I67" s="246"/>
      <c r="J67" s="246"/>
      <c r="K67" s="458"/>
      <c r="L67" s="458"/>
      <c r="M67" s="458"/>
      <c r="N67" s="457"/>
      <c r="O67" s="338"/>
      <c r="P67" s="247"/>
      <c r="Q67" s="246"/>
      <c r="R67" s="246"/>
      <c r="S67" s="246"/>
      <c r="T67" s="298"/>
      <c r="U67" s="298"/>
      <c r="V67" s="298"/>
      <c r="W67" s="298"/>
      <c r="X67" s="298"/>
      <c r="Y67" s="298"/>
      <c r="Z67" s="298"/>
      <c r="AA67" s="341"/>
      <c r="AB67" s="501"/>
      <c r="AC67" s="502"/>
      <c r="AD67" s="417"/>
      <c r="AE67" s="316"/>
    </row>
    <row r="68" spans="1:31" s="73" customFormat="1">
      <c r="A68" s="235"/>
      <c r="B68" s="236"/>
      <c r="C68" s="237"/>
      <c r="D68" s="238"/>
      <c r="E68" s="238"/>
      <c r="F68" s="238"/>
      <c r="G68" s="238"/>
      <c r="H68" s="238"/>
      <c r="I68" s="237"/>
      <c r="J68" s="237"/>
      <c r="K68" s="238"/>
      <c r="L68" s="238"/>
      <c r="M68" s="238"/>
      <c r="N68" s="237"/>
      <c r="O68" s="299"/>
      <c r="P68" s="238"/>
      <c r="Q68" s="237"/>
      <c r="R68" s="237"/>
      <c r="S68" s="237"/>
      <c r="T68" s="297"/>
      <c r="U68" s="297"/>
      <c r="V68" s="297"/>
      <c r="W68" s="297"/>
      <c r="X68" s="297"/>
      <c r="Y68" s="297"/>
      <c r="Z68" s="297"/>
      <c r="AA68" s="342"/>
      <c r="AB68" s="499"/>
      <c r="AC68" s="500"/>
      <c r="AD68" s="416"/>
      <c r="AE68" s="316"/>
    </row>
    <row r="69" spans="1:31" s="73" customFormat="1">
      <c r="A69" s="235"/>
      <c r="B69" s="236"/>
      <c r="C69" s="237"/>
      <c r="D69" s="238"/>
      <c r="E69" s="238"/>
      <c r="F69" s="238"/>
      <c r="G69" s="238"/>
      <c r="H69" s="238"/>
      <c r="I69" s="237"/>
      <c r="J69" s="237"/>
      <c r="K69" s="238"/>
      <c r="L69" s="238"/>
      <c r="M69" s="238"/>
      <c r="N69" s="237"/>
      <c r="O69" s="299"/>
      <c r="P69" s="238"/>
      <c r="Q69" s="237"/>
      <c r="R69" s="237"/>
      <c r="S69" s="237"/>
      <c r="T69" s="297"/>
      <c r="U69" s="297"/>
      <c r="V69" s="297"/>
      <c r="W69" s="297"/>
      <c r="X69" s="297"/>
      <c r="Y69" s="297"/>
      <c r="Z69" s="297"/>
      <c r="AA69" s="342"/>
      <c r="AB69" s="499"/>
      <c r="AC69" s="500"/>
      <c r="AD69" s="416"/>
      <c r="AE69" s="316"/>
    </row>
    <row r="70" spans="1:31" s="73" customFormat="1">
      <c r="A70" s="235"/>
      <c r="B70" s="239"/>
      <c r="C70" s="246"/>
      <c r="D70" s="247"/>
      <c r="E70" s="247"/>
      <c r="F70" s="247"/>
      <c r="G70" s="247"/>
      <c r="H70" s="247"/>
      <c r="I70" s="246"/>
      <c r="J70" s="246"/>
      <c r="K70" s="247"/>
      <c r="L70" s="247"/>
      <c r="M70" s="247"/>
      <c r="N70" s="246"/>
      <c r="O70" s="338"/>
      <c r="P70" s="247"/>
      <c r="Q70" s="246"/>
      <c r="R70" s="246"/>
      <c r="S70" s="246"/>
      <c r="T70" s="298"/>
      <c r="U70" s="298"/>
      <c r="V70" s="298"/>
      <c r="W70" s="298"/>
      <c r="X70" s="298"/>
      <c r="Y70" s="298"/>
      <c r="Z70" s="298"/>
      <c r="AA70" s="341"/>
      <c r="AB70" s="501"/>
      <c r="AC70" s="502"/>
      <c r="AD70" s="417"/>
      <c r="AE70" s="316"/>
    </row>
    <row r="71" spans="1:31" s="73" customFormat="1">
      <c r="A71" s="235"/>
      <c r="B71" s="236"/>
      <c r="C71" s="237"/>
      <c r="D71" s="238"/>
      <c r="E71" s="238"/>
      <c r="F71" s="238"/>
      <c r="G71" s="238"/>
      <c r="H71" s="238"/>
      <c r="I71" s="237"/>
      <c r="J71" s="237"/>
      <c r="K71" s="238"/>
      <c r="L71" s="238"/>
      <c r="M71" s="238"/>
      <c r="N71" s="237"/>
      <c r="O71" s="299"/>
      <c r="P71" s="238"/>
      <c r="Q71" s="237"/>
      <c r="R71" s="237"/>
      <c r="S71" s="237"/>
      <c r="T71" s="297"/>
      <c r="U71" s="297"/>
      <c r="V71" s="297"/>
      <c r="W71" s="297"/>
      <c r="X71" s="297"/>
      <c r="Y71" s="297"/>
      <c r="Z71" s="297"/>
      <c r="AA71" s="342"/>
      <c r="AB71" s="499"/>
      <c r="AC71" s="500"/>
      <c r="AD71" s="416"/>
      <c r="AE71" s="316"/>
    </row>
    <row r="72" spans="1:31" s="73" customFormat="1">
      <c r="A72" s="235"/>
      <c r="B72" s="236"/>
      <c r="C72" s="237"/>
      <c r="D72" s="238"/>
      <c r="E72" s="238"/>
      <c r="F72" s="238"/>
      <c r="G72" s="238"/>
      <c r="H72" s="238"/>
      <c r="I72" s="237"/>
      <c r="J72" s="237"/>
      <c r="K72" s="238"/>
      <c r="L72" s="238"/>
      <c r="M72" s="238"/>
      <c r="N72" s="237"/>
      <c r="O72" s="299"/>
      <c r="P72" s="238"/>
      <c r="Q72" s="237"/>
      <c r="R72" s="237"/>
      <c r="S72" s="237"/>
      <c r="T72" s="297"/>
      <c r="U72" s="297"/>
      <c r="V72" s="297"/>
      <c r="W72" s="297"/>
      <c r="X72" s="297"/>
      <c r="Y72" s="297"/>
      <c r="Z72" s="297"/>
      <c r="AA72" s="342"/>
      <c r="AB72" s="499"/>
      <c r="AC72" s="500"/>
      <c r="AD72" s="416"/>
      <c r="AE72" s="316"/>
    </row>
    <row r="73" spans="1:31" s="73" customFormat="1">
      <c r="A73" s="235"/>
      <c r="B73" s="239"/>
      <c r="C73" s="246"/>
      <c r="D73" s="247"/>
      <c r="E73" s="247"/>
      <c r="F73" s="458"/>
      <c r="G73" s="247"/>
      <c r="H73" s="247"/>
      <c r="I73" s="246"/>
      <c r="J73" s="246"/>
      <c r="K73" s="247"/>
      <c r="L73" s="247"/>
      <c r="M73" s="247"/>
      <c r="N73" s="246"/>
      <c r="O73" s="338"/>
      <c r="P73" s="247"/>
      <c r="Q73" s="246"/>
      <c r="R73" s="246"/>
      <c r="S73" s="246"/>
      <c r="T73" s="298"/>
      <c r="U73" s="298"/>
      <c r="V73" s="298"/>
      <c r="W73" s="298"/>
      <c r="X73" s="298"/>
      <c r="Y73" s="298"/>
      <c r="Z73" s="298"/>
      <c r="AA73" s="341"/>
      <c r="AB73" s="501"/>
      <c r="AC73" s="502"/>
      <c r="AD73" s="417"/>
      <c r="AE73" s="316"/>
    </row>
    <row r="74" spans="1:31" s="73" customFormat="1">
      <c r="A74" s="235"/>
      <c r="B74" s="236"/>
      <c r="C74" s="237"/>
      <c r="D74" s="238"/>
      <c r="E74" s="238"/>
      <c r="F74" s="238"/>
      <c r="G74" s="238"/>
      <c r="H74" s="238"/>
      <c r="I74" s="237"/>
      <c r="J74" s="237"/>
      <c r="K74" s="238"/>
      <c r="L74" s="238"/>
      <c r="M74" s="238"/>
      <c r="N74" s="237"/>
      <c r="O74" s="299"/>
      <c r="P74" s="238"/>
      <c r="Q74" s="237"/>
      <c r="R74" s="237"/>
      <c r="S74" s="237"/>
      <c r="T74" s="297"/>
      <c r="U74" s="297"/>
      <c r="V74" s="297"/>
      <c r="W74" s="297"/>
      <c r="X74" s="297"/>
      <c r="Y74" s="297"/>
      <c r="Z74" s="297"/>
      <c r="AA74" s="342"/>
      <c r="AB74" s="499"/>
      <c r="AC74" s="500"/>
      <c r="AD74" s="416"/>
      <c r="AE74" s="316"/>
    </row>
    <row r="75" spans="1:31" s="73" customFormat="1">
      <c r="A75" s="235"/>
      <c r="B75" s="236"/>
      <c r="C75" s="237"/>
      <c r="D75" s="238"/>
      <c r="E75" s="238"/>
      <c r="F75" s="238"/>
      <c r="G75" s="238"/>
      <c r="H75" s="238"/>
      <c r="I75" s="237"/>
      <c r="J75" s="237"/>
      <c r="K75" s="238"/>
      <c r="L75" s="238"/>
      <c r="M75" s="238"/>
      <c r="N75" s="237"/>
      <c r="O75" s="299"/>
      <c r="P75" s="238"/>
      <c r="Q75" s="237"/>
      <c r="R75" s="237"/>
      <c r="S75" s="237"/>
      <c r="T75" s="297"/>
      <c r="U75" s="297"/>
      <c r="V75" s="297"/>
      <c r="W75" s="297"/>
      <c r="X75" s="297"/>
      <c r="Y75" s="297"/>
      <c r="Z75" s="297"/>
      <c r="AA75" s="342"/>
      <c r="AB75" s="499"/>
      <c r="AC75" s="500"/>
      <c r="AD75" s="416"/>
      <c r="AE75" s="316"/>
    </row>
    <row r="76" spans="1:31" s="73" customFormat="1">
      <c r="A76" s="240"/>
      <c r="B76" s="296"/>
      <c r="C76" s="246"/>
      <c r="D76" s="247"/>
      <c r="E76" s="247"/>
      <c r="F76" s="458"/>
      <c r="G76" s="247"/>
      <c r="H76" s="247"/>
      <c r="I76" s="246"/>
      <c r="J76" s="246"/>
      <c r="K76" s="247"/>
      <c r="L76" s="247"/>
      <c r="M76" s="247"/>
      <c r="N76" s="246"/>
      <c r="O76" s="338"/>
      <c r="P76" s="247"/>
      <c r="Q76" s="246"/>
      <c r="R76" s="246"/>
      <c r="S76" s="246"/>
      <c r="T76" s="298"/>
      <c r="U76" s="298"/>
      <c r="V76" s="298"/>
      <c r="W76" s="298"/>
      <c r="X76" s="298"/>
      <c r="Y76" s="298"/>
      <c r="Z76" s="298"/>
      <c r="AA76" s="341"/>
      <c r="AB76" s="499"/>
      <c r="AC76" s="500"/>
      <c r="AD76" s="417"/>
      <c r="AE76" s="316"/>
    </row>
    <row r="77" spans="1:31" s="73" customFormat="1">
      <c r="A77" s="324"/>
      <c r="B77" s="322"/>
      <c r="C77" s="319"/>
      <c r="D77" s="323"/>
      <c r="E77" s="323"/>
      <c r="F77" s="323"/>
      <c r="G77" s="323"/>
      <c r="H77" s="323"/>
      <c r="I77" s="319"/>
      <c r="J77" s="319"/>
      <c r="K77" s="323"/>
      <c r="L77" s="323"/>
      <c r="M77" s="323"/>
      <c r="N77" s="319"/>
      <c r="O77" s="319"/>
      <c r="P77" s="323"/>
      <c r="Q77" s="319"/>
      <c r="R77" s="319"/>
      <c r="S77" s="319"/>
      <c r="T77" s="331"/>
      <c r="U77" s="331"/>
      <c r="V77" s="331"/>
      <c r="W77" s="331"/>
      <c r="X77" s="331"/>
      <c r="Y77" s="331"/>
      <c r="Z77" s="331"/>
      <c r="AA77" s="339"/>
      <c r="AB77" s="494"/>
      <c r="AC77" s="497"/>
      <c r="AD77" s="416"/>
      <c r="AE77" s="316"/>
    </row>
    <row r="78" spans="1:31" s="73" customFormat="1">
      <c r="A78" s="235"/>
      <c r="B78" s="236"/>
      <c r="C78" s="237"/>
      <c r="D78" s="238"/>
      <c r="E78" s="238"/>
      <c r="F78" s="238"/>
      <c r="G78" s="238"/>
      <c r="H78" s="238"/>
      <c r="I78" s="237"/>
      <c r="J78" s="237"/>
      <c r="K78" s="238"/>
      <c r="L78" s="238"/>
      <c r="M78" s="238"/>
      <c r="N78" s="237"/>
      <c r="O78" s="237"/>
      <c r="P78" s="238"/>
      <c r="Q78" s="237"/>
      <c r="R78" s="237"/>
      <c r="S78" s="237"/>
      <c r="T78" s="297"/>
      <c r="U78" s="297"/>
      <c r="V78" s="297"/>
      <c r="W78" s="297"/>
      <c r="X78" s="297"/>
      <c r="Y78" s="297"/>
      <c r="Z78" s="297"/>
      <c r="AA78" s="340"/>
      <c r="AB78" s="499"/>
      <c r="AC78" s="500"/>
      <c r="AD78" s="416"/>
      <c r="AE78" s="316"/>
    </row>
    <row r="79" spans="1:31" s="73" customFormat="1">
      <c r="A79" s="235"/>
      <c r="B79" s="239"/>
      <c r="C79" s="246"/>
      <c r="D79" s="247"/>
      <c r="E79" s="247"/>
      <c r="F79" s="247"/>
      <c r="G79" s="458"/>
      <c r="H79" s="458"/>
      <c r="I79" s="246"/>
      <c r="J79" s="246"/>
      <c r="K79" s="458"/>
      <c r="L79" s="247"/>
      <c r="M79" s="247"/>
      <c r="N79" s="246"/>
      <c r="O79" s="338"/>
      <c r="P79" s="247"/>
      <c r="Q79" s="246"/>
      <c r="R79" s="246"/>
      <c r="S79" s="246"/>
      <c r="T79" s="298"/>
      <c r="U79" s="298"/>
      <c r="V79" s="298"/>
      <c r="W79" s="298"/>
      <c r="X79" s="298"/>
      <c r="Y79" s="298"/>
      <c r="Z79" s="298"/>
      <c r="AA79" s="341"/>
      <c r="AB79" s="501"/>
      <c r="AC79" s="502"/>
      <c r="AD79" s="417"/>
      <c r="AE79" s="316"/>
    </row>
    <row r="80" spans="1:31" s="73" customFormat="1">
      <c r="A80" s="235"/>
      <c r="B80" s="236"/>
      <c r="C80" s="237"/>
      <c r="D80" s="238"/>
      <c r="E80" s="238"/>
      <c r="F80" s="238"/>
      <c r="G80" s="238"/>
      <c r="H80" s="238"/>
      <c r="I80" s="237"/>
      <c r="J80" s="237"/>
      <c r="K80" s="238"/>
      <c r="L80" s="474"/>
      <c r="M80" s="238"/>
      <c r="N80" s="475"/>
      <c r="O80" s="299"/>
      <c r="P80" s="238"/>
      <c r="Q80" s="237"/>
      <c r="R80" s="237"/>
      <c r="S80" s="237"/>
      <c r="T80" s="297"/>
      <c r="U80" s="297"/>
      <c r="V80" s="297"/>
      <c r="W80" s="297"/>
      <c r="X80" s="297"/>
      <c r="Y80" s="297"/>
      <c r="Z80" s="297"/>
      <c r="AA80" s="342"/>
      <c r="AB80" s="499"/>
      <c r="AC80" s="500"/>
      <c r="AD80" s="416"/>
      <c r="AE80" s="316"/>
    </row>
    <row r="81" spans="1:31" s="73" customFormat="1">
      <c r="A81" s="235"/>
      <c r="B81" s="236"/>
      <c r="C81" s="237"/>
      <c r="D81" s="238"/>
      <c r="E81" s="238"/>
      <c r="F81" s="238"/>
      <c r="G81" s="238"/>
      <c r="H81" s="238"/>
      <c r="I81" s="237"/>
      <c r="J81" s="237"/>
      <c r="K81" s="238"/>
      <c r="L81" s="238"/>
      <c r="M81" s="238"/>
      <c r="N81" s="237"/>
      <c r="O81" s="299"/>
      <c r="P81" s="238"/>
      <c r="Q81" s="237"/>
      <c r="R81" s="237"/>
      <c r="S81" s="237"/>
      <c r="T81" s="297"/>
      <c r="U81" s="297"/>
      <c r="V81" s="297"/>
      <c r="W81" s="297"/>
      <c r="X81" s="297"/>
      <c r="Y81" s="297"/>
      <c r="Z81" s="297"/>
      <c r="AA81" s="342"/>
      <c r="AB81" s="499"/>
      <c r="AC81" s="500"/>
      <c r="AD81" s="416"/>
      <c r="AE81" s="316"/>
    </row>
    <row r="82" spans="1:31" s="73" customFormat="1">
      <c r="A82" s="235"/>
      <c r="B82" s="239"/>
      <c r="C82" s="246"/>
      <c r="D82" s="247"/>
      <c r="E82" s="247"/>
      <c r="F82" s="247"/>
      <c r="G82" s="247"/>
      <c r="H82" s="247"/>
      <c r="I82" s="246"/>
      <c r="J82" s="246"/>
      <c r="K82" s="247"/>
      <c r="L82" s="247"/>
      <c r="M82" s="247"/>
      <c r="N82" s="246"/>
      <c r="O82" s="338"/>
      <c r="P82" s="247"/>
      <c r="Q82" s="246"/>
      <c r="R82" s="246"/>
      <c r="S82" s="246"/>
      <c r="T82" s="298"/>
      <c r="U82" s="298"/>
      <c r="V82" s="298"/>
      <c r="W82" s="298"/>
      <c r="X82" s="298"/>
      <c r="Y82" s="298"/>
      <c r="Z82" s="298"/>
      <c r="AA82" s="341"/>
      <c r="AB82" s="501"/>
      <c r="AC82" s="502"/>
      <c r="AD82" s="417"/>
      <c r="AE82" s="316"/>
    </row>
    <row r="83" spans="1:31" s="73" customFormat="1">
      <c r="A83" s="235"/>
      <c r="B83" s="236"/>
      <c r="C83" s="237"/>
      <c r="D83" s="238"/>
      <c r="E83" s="238"/>
      <c r="F83" s="238"/>
      <c r="G83" s="238"/>
      <c r="H83" s="238"/>
      <c r="I83" s="237"/>
      <c r="J83" s="237"/>
      <c r="K83" s="238"/>
      <c r="L83" s="238"/>
      <c r="M83" s="238"/>
      <c r="N83" s="237"/>
      <c r="O83" s="299"/>
      <c r="P83" s="238"/>
      <c r="Q83" s="237"/>
      <c r="R83" s="237"/>
      <c r="S83" s="237"/>
      <c r="T83" s="297"/>
      <c r="U83" s="297"/>
      <c r="V83" s="297"/>
      <c r="W83" s="297"/>
      <c r="X83" s="297"/>
      <c r="Y83" s="297"/>
      <c r="Z83" s="297"/>
      <c r="AA83" s="342"/>
      <c r="AB83" s="499"/>
      <c r="AC83" s="500"/>
      <c r="AD83" s="416"/>
      <c r="AE83" s="316"/>
    </row>
    <row r="84" spans="1:31" s="73" customFormat="1">
      <c r="A84" s="235"/>
      <c r="B84" s="236"/>
      <c r="C84" s="237"/>
      <c r="D84" s="238"/>
      <c r="E84" s="238"/>
      <c r="F84" s="238"/>
      <c r="G84" s="238"/>
      <c r="H84" s="238"/>
      <c r="I84" s="237"/>
      <c r="J84" s="237"/>
      <c r="K84" s="238"/>
      <c r="L84" s="238"/>
      <c r="M84" s="238"/>
      <c r="N84" s="237"/>
      <c r="O84" s="299"/>
      <c r="P84" s="238"/>
      <c r="Q84" s="237"/>
      <c r="R84" s="237"/>
      <c r="S84" s="237"/>
      <c r="T84" s="297"/>
      <c r="U84" s="297"/>
      <c r="V84" s="297"/>
      <c r="W84" s="297"/>
      <c r="X84" s="297"/>
      <c r="Y84" s="297"/>
      <c r="Z84" s="297"/>
      <c r="AA84" s="342"/>
      <c r="AB84" s="499"/>
      <c r="AC84" s="500"/>
      <c r="AD84" s="416"/>
      <c r="AE84" s="316"/>
    </row>
    <row r="85" spans="1:31" s="73" customFormat="1">
      <c r="A85" s="235"/>
      <c r="B85" s="239"/>
      <c r="C85" s="246"/>
      <c r="D85" s="247"/>
      <c r="E85" s="247"/>
      <c r="F85" s="458"/>
      <c r="G85" s="458"/>
      <c r="H85" s="247"/>
      <c r="I85" s="246"/>
      <c r="J85" s="246"/>
      <c r="K85" s="247"/>
      <c r="L85" s="247"/>
      <c r="M85" s="247"/>
      <c r="N85" s="246"/>
      <c r="O85" s="338"/>
      <c r="P85" s="247"/>
      <c r="Q85" s="246"/>
      <c r="R85" s="246"/>
      <c r="S85" s="246"/>
      <c r="T85" s="298"/>
      <c r="U85" s="298"/>
      <c r="V85" s="298"/>
      <c r="W85" s="298"/>
      <c r="X85" s="298"/>
      <c r="Y85" s="298"/>
      <c r="Z85" s="298"/>
      <c r="AA85" s="341"/>
      <c r="AB85" s="501"/>
      <c r="AC85" s="502"/>
      <c r="AD85" s="417"/>
      <c r="AE85" s="316"/>
    </row>
    <row r="86" spans="1:31" s="73" customFormat="1">
      <c r="A86" s="235"/>
      <c r="B86" s="236"/>
      <c r="C86" s="237"/>
      <c r="D86" s="238"/>
      <c r="E86" s="238"/>
      <c r="F86" s="238"/>
      <c r="G86" s="238"/>
      <c r="H86" s="238"/>
      <c r="I86" s="237"/>
      <c r="J86" s="237"/>
      <c r="K86" s="238"/>
      <c r="L86" s="238"/>
      <c r="M86" s="238"/>
      <c r="N86" s="237"/>
      <c r="O86" s="299"/>
      <c r="P86" s="238"/>
      <c r="Q86" s="237"/>
      <c r="R86" s="237"/>
      <c r="S86" s="237"/>
      <c r="T86" s="297"/>
      <c r="U86" s="297"/>
      <c r="V86" s="297"/>
      <c r="W86" s="297"/>
      <c r="X86" s="297"/>
      <c r="Y86" s="297"/>
      <c r="Z86" s="297"/>
      <c r="AA86" s="342"/>
      <c r="AB86" s="499"/>
      <c r="AC86" s="500"/>
      <c r="AD86" s="416"/>
      <c r="AE86" s="316"/>
    </row>
    <row r="87" spans="1:31" s="73" customFormat="1">
      <c r="A87" s="235"/>
      <c r="B87" s="236"/>
      <c r="C87" s="237"/>
      <c r="D87" s="238"/>
      <c r="E87" s="238"/>
      <c r="F87" s="238"/>
      <c r="G87" s="238"/>
      <c r="H87" s="238"/>
      <c r="I87" s="237"/>
      <c r="J87" s="237"/>
      <c r="K87" s="238"/>
      <c r="L87" s="238"/>
      <c r="M87" s="238"/>
      <c r="N87" s="237"/>
      <c r="O87" s="299"/>
      <c r="P87" s="238"/>
      <c r="Q87" s="237"/>
      <c r="R87" s="237"/>
      <c r="S87" s="237"/>
      <c r="T87" s="297"/>
      <c r="U87" s="297"/>
      <c r="V87" s="297"/>
      <c r="W87" s="297"/>
      <c r="X87" s="297"/>
      <c r="Y87" s="297"/>
      <c r="Z87" s="297"/>
      <c r="AA87" s="342"/>
      <c r="AB87" s="499"/>
      <c r="AC87" s="500"/>
      <c r="AD87" s="416"/>
      <c r="AE87" s="316"/>
    </row>
    <row r="88" spans="1:31" s="73" customFormat="1">
      <c r="A88" s="240"/>
      <c r="B88" s="296"/>
      <c r="C88" s="246"/>
      <c r="D88" s="247"/>
      <c r="E88" s="247"/>
      <c r="F88" s="247"/>
      <c r="G88" s="458"/>
      <c r="H88" s="458"/>
      <c r="I88" s="246"/>
      <c r="J88" s="246"/>
      <c r="K88" s="247"/>
      <c r="L88" s="247"/>
      <c r="M88" s="247"/>
      <c r="N88" s="246"/>
      <c r="O88" s="338"/>
      <c r="P88" s="247"/>
      <c r="Q88" s="246"/>
      <c r="R88" s="246"/>
      <c r="S88" s="246"/>
      <c r="T88" s="298"/>
      <c r="U88" s="298"/>
      <c r="V88" s="298"/>
      <c r="W88" s="298"/>
      <c r="X88" s="298"/>
      <c r="Y88" s="298"/>
      <c r="Z88" s="298"/>
      <c r="AA88" s="341"/>
      <c r="AB88" s="499"/>
      <c r="AC88" s="500"/>
      <c r="AD88" s="417"/>
      <c r="AE88" s="316"/>
    </row>
    <row r="89" spans="1:31" s="73" customFormat="1">
      <c r="A89" s="324"/>
      <c r="B89" s="322"/>
      <c r="C89" s="319"/>
      <c r="D89" s="323"/>
      <c r="E89" s="323"/>
      <c r="F89" s="323"/>
      <c r="G89" s="323"/>
      <c r="H89" s="323"/>
      <c r="I89" s="319"/>
      <c r="J89" s="319"/>
      <c r="K89" s="323"/>
      <c r="L89" s="323"/>
      <c r="M89" s="323"/>
      <c r="N89" s="319"/>
      <c r="O89" s="319"/>
      <c r="P89" s="323"/>
      <c r="Q89" s="319"/>
      <c r="R89" s="319"/>
      <c r="S89" s="319"/>
      <c r="T89" s="331"/>
      <c r="U89" s="331"/>
      <c r="V89" s="331"/>
      <c r="W89" s="331"/>
      <c r="X89" s="331"/>
      <c r="Y89" s="331"/>
      <c r="Z89" s="331"/>
      <c r="AA89" s="339"/>
      <c r="AB89" s="494"/>
      <c r="AC89" s="497"/>
      <c r="AD89" s="416"/>
      <c r="AE89" s="316"/>
    </row>
    <row r="90" spans="1:31" s="73" customFormat="1">
      <c r="A90" s="235"/>
      <c r="B90" s="236"/>
      <c r="C90" s="237"/>
      <c r="D90" s="238"/>
      <c r="E90" s="238"/>
      <c r="F90" s="238"/>
      <c r="G90" s="238"/>
      <c r="H90" s="238"/>
      <c r="I90" s="237"/>
      <c r="J90" s="237"/>
      <c r="K90" s="238"/>
      <c r="L90" s="238"/>
      <c r="M90" s="238"/>
      <c r="N90" s="237"/>
      <c r="O90" s="237"/>
      <c r="P90" s="238"/>
      <c r="Q90" s="237"/>
      <c r="R90" s="237"/>
      <c r="S90" s="237"/>
      <c r="T90" s="297"/>
      <c r="U90" s="297"/>
      <c r="V90" s="297"/>
      <c r="W90" s="297"/>
      <c r="X90" s="297"/>
      <c r="Y90" s="297"/>
      <c r="Z90" s="297"/>
      <c r="AA90" s="340"/>
      <c r="AB90" s="499"/>
      <c r="AC90" s="500"/>
      <c r="AD90" s="416"/>
      <c r="AE90" s="316"/>
    </row>
    <row r="91" spans="1:31" s="73" customFormat="1">
      <c r="A91" s="235"/>
      <c r="B91" s="239"/>
      <c r="C91" s="246"/>
      <c r="D91" s="247"/>
      <c r="E91" s="247"/>
      <c r="F91" s="247"/>
      <c r="G91" s="247"/>
      <c r="H91" s="247"/>
      <c r="I91" s="246"/>
      <c r="J91" s="246"/>
      <c r="K91" s="247"/>
      <c r="L91" s="458"/>
      <c r="M91" s="247"/>
      <c r="N91" s="246"/>
      <c r="O91" s="338"/>
      <c r="P91" s="247"/>
      <c r="Q91" s="246"/>
      <c r="R91" s="246"/>
      <c r="S91" s="246"/>
      <c r="T91" s="298"/>
      <c r="U91" s="298"/>
      <c r="V91" s="298"/>
      <c r="W91" s="298"/>
      <c r="X91" s="298"/>
      <c r="Y91" s="298"/>
      <c r="Z91" s="298"/>
      <c r="AA91" s="341"/>
      <c r="AB91" s="501"/>
      <c r="AC91" s="502"/>
      <c r="AD91" s="417"/>
      <c r="AE91" s="316"/>
    </row>
    <row r="92" spans="1:31" s="73" customFormat="1">
      <c r="A92" s="235"/>
      <c r="B92" s="236"/>
      <c r="C92" s="237"/>
      <c r="D92" s="238"/>
      <c r="E92" s="238"/>
      <c r="F92" s="238"/>
      <c r="G92" s="238"/>
      <c r="H92" s="238"/>
      <c r="I92" s="237"/>
      <c r="J92" s="237"/>
      <c r="K92" s="238"/>
      <c r="L92" s="238"/>
      <c r="M92" s="238"/>
      <c r="N92" s="237"/>
      <c r="O92" s="299"/>
      <c r="P92" s="238"/>
      <c r="Q92" s="237"/>
      <c r="R92" s="237"/>
      <c r="S92" s="237"/>
      <c r="T92" s="297"/>
      <c r="U92" s="297"/>
      <c r="V92" s="297"/>
      <c r="W92" s="297"/>
      <c r="X92" s="297"/>
      <c r="Y92" s="297"/>
      <c r="Z92" s="297"/>
      <c r="AA92" s="342"/>
      <c r="AB92" s="499"/>
      <c r="AC92" s="500"/>
      <c r="AD92" s="416"/>
      <c r="AE92" s="316"/>
    </row>
    <row r="93" spans="1:31" s="73" customFormat="1">
      <c r="A93" s="235"/>
      <c r="B93" s="236"/>
      <c r="C93" s="237"/>
      <c r="D93" s="238"/>
      <c r="E93" s="238"/>
      <c r="F93" s="238"/>
      <c r="G93" s="238"/>
      <c r="H93" s="238"/>
      <c r="I93" s="237"/>
      <c r="J93" s="237"/>
      <c r="K93" s="238"/>
      <c r="L93" s="238"/>
      <c r="M93" s="238"/>
      <c r="N93" s="237"/>
      <c r="O93" s="299"/>
      <c r="P93" s="238"/>
      <c r="Q93" s="237"/>
      <c r="R93" s="237"/>
      <c r="S93" s="237"/>
      <c r="T93" s="297"/>
      <c r="U93" s="297"/>
      <c r="V93" s="297"/>
      <c r="W93" s="297"/>
      <c r="X93" s="297"/>
      <c r="Y93" s="297"/>
      <c r="Z93" s="297"/>
      <c r="AA93" s="342"/>
      <c r="AB93" s="499"/>
      <c r="AC93" s="500"/>
      <c r="AD93" s="416"/>
      <c r="AE93" s="316"/>
    </row>
    <row r="94" spans="1:31" s="73" customFormat="1">
      <c r="A94" s="235"/>
      <c r="B94" s="239"/>
      <c r="C94" s="246"/>
      <c r="D94" s="247"/>
      <c r="E94" s="247"/>
      <c r="F94" s="247"/>
      <c r="G94" s="247"/>
      <c r="H94" s="247"/>
      <c r="I94" s="246"/>
      <c r="J94" s="246"/>
      <c r="K94" s="247"/>
      <c r="L94" s="247"/>
      <c r="M94" s="247"/>
      <c r="N94" s="246"/>
      <c r="O94" s="338"/>
      <c r="P94" s="247"/>
      <c r="Q94" s="246"/>
      <c r="R94" s="246"/>
      <c r="S94" s="246"/>
      <c r="T94" s="298"/>
      <c r="U94" s="298"/>
      <c r="V94" s="298"/>
      <c r="W94" s="298"/>
      <c r="X94" s="298"/>
      <c r="Y94" s="298"/>
      <c r="Z94" s="298"/>
      <c r="AA94" s="341"/>
      <c r="AB94" s="501"/>
      <c r="AC94" s="502"/>
      <c r="AD94" s="417"/>
      <c r="AE94" s="316"/>
    </row>
    <row r="95" spans="1:31" s="73" customFormat="1">
      <c r="A95" s="235"/>
      <c r="B95" s="236"/>
      <c r="C95" s="237"/>
      <c r="D95" s="238"/>
      <c r="E95" s="238"/>
      <c r="F95" s="238"/>
      <c r="G95" s="238"/>
      <c r="H95" s="238"/>
      <c r="I95" s="237"/>
      <c r="J95" s="237"/>
      <c r="K95" s="238"/>
      <c r="L95" s="238"/>
      <c r="M95" s="238"/>
      <c r="N95" s="237"/>
      <c r="O95" s="299"/>
      <c r="P95" s="238"/>
      <c r="Q95" s="237"/>
      <c r="R95" s="237"/>
      <c r="S95" s="237"/>
      <c r="T95" s="297"/>
      <c r="U95" s="297"/>
      <c r="V95" s="297"/>
      <c r="W95" s="297"/>
      <c r="X95" s="297"/>
      <c r="Y95" s="297"/>
      <c r="Z95" s="297"/>
      <c r="AA95" s="342"/>
      <c r="AB95" s="499"/>
      <c r="AC95" s="500"/>
      <c r="AD95" s="416"/>
      <c r="AE95" s="316"/>
    </row>
    <row r="96" spans="1:31" s="73" customFormat="1">
      <c r="A96" s="235"/>
      <c r="B96" s="236"/>
      <c r="C96" s="237"/>
      <c r="D96" s="238"/>
      <c r="E96" s="238"/>
      <c r="F96" s="238"/>
      <c r="G96" s="238"/>
      <c r="H96" s="238"/>
      <c r="I96" s="237"/>
      <c r="J96" s="237"/>
      <c r="K96" s="238"/>
      <c r="L96" s="238"/>
      <c r="M96" s="238"/>
      <c r="N96" s="237"/>
      <c r="O96" s="299"/>
      <c r="P96" s="238"/>
      <c r="Q96" s="237"/>
      <c r="R96" s="237"/>
      <c r="S96" s="237"/>
      <c r="T96" s="297"/>
      <c r="U96" s="297"/>
      <c r="V96" s="297"/>
      <c r="W96" s="297"/>
      <c r="X96" s="297"/>
      <c r="Y96" s="297"/>
      <c r="Z96" s="297"/>
      <c r="AA96" s="342"/>
      <c r="AB96" s="499"/>
      <c r="AC96" s="500"/>
      <c r="AD96" s="416"/>
      <c r="AE96" s="316"/>
    </row>
    <row r="97" spans="1:31" s="73" customFormat="1">
      <c r="A97" s="235"/>
      <c r="B97" s="239"/>
      <c r="C97" s="246"/>
      <c r="D97" s="247"/>
      <c r="E97" s="458"/>
      <c r="F97" s="247"/>
      <c r="G97" s="247"/>
      <c r="H97" s="247"/>
      <c r="I97" s="246"/>
      <c r="J97" s="246"/>
      <c r="K97" s="247"/>
      <c r="L97" s="247"/>
      <c r="M97" s="247"/>
      <c r="N97" s="246"/>
      <c r="O97" s="338"/>
      <c r="P97" s="247"/>
      <c r="Q97" s="246"/>
      <c r="R97" s="246"/>
      <c r="S97" s="246"/>
      <c r="T97" s="298"/>
      <c r="U97" s="298"/>
      <c r="V97" s="298"/>
      <c r="W97" s="298"/>
      <c r="X97" s="298"/>
      <c r="Y97" s="298"/>
      <c r="Z97" s="298"/>
      <c r="AA97" s="341"/>
      <c r="AB97" s="501"/>
      <c r="AC97" s="502"/>
      <c r="AD97" s="417"/>
      <c r="AE97" s="316"/>
    </row>
    <row r="98" spans="1:31" s="73" customFormat="1">
      <c r="A98" s="235"/>
      <c r="B98" s="236"/>
      <c r="C98" s="237"/>
      <c r="D98" s="238"/>
      <c r="E98" s="238"/>
      <c r="F98" s="238"/>
      <c r="G98" s="238"/>
      <c r="H98" s="238"/>
      <c r="I98" s="237"/>
      <c r="J98" s="237"/>
      <c r="K98" s="238"/>
      <c r="L98" s="238"/>
      <c r="M98" s="238"/>
      <c r="N98" s="237"/>
      <c r="O98" s="299"/>
      <c r="P98" s="238"/>
      <c r="Q98" s="237"/>
      <c r="R98" s="237"/>
      <c r="S98" s="237"/>
      <c r="T98" s="297"/>
      <c r="U98" s="297"/>
      <c r="V98" s="297"/>
      <c r="W98" s="297"/>
      <c r="X98" s="297"/>
      <c r="Y98" s="297"/>
      <c r="Z98" s="297"/>
      <c r="AA98" s="342"/>
      <c r="AB98" s="499"/>
      <c r="AC98" s="500"/>
      <c r="AD98" s="416"/>
      <c r="AE98" s="316"/>
    </row>
    <row r="99" spans="1:31" s="73" customFormat="1">
      <c r="A99" s="235"/>
      <c r="B99" s="236"/>
      <c r="C99" s="237"/>
      <c r="D99" s="238"/>
      <c r="E99" s="238"/>
      <c r="F99" s="238"/>
      <c r="G99" s="238"/>
      <c r="H99" s="238"/>
      <c r="I99" s="237"/>
      <c r="J99" s="237"/>
      <c r="K99" s="238"/>
      <c r="L99" s="238"/>
      <c r="M99" s="238"/>
      <c r="N99" s="237"/>
      <c r="O99" s="299"/>
      <c r="P99" s="238"/>
      <c r="Q99" s="237"/>
      <c r="R99" s="237"/>
      <c r="S99" s="237"/>
      <c r="T99" s="297"/>
      <c r="U99" s="297"/>
      <c r="V99" s="297"/>
      <c r="W99" s="297"/>
      <c r="X99" s="297"/>
      <c r="Y99" s="297"/>
      <c r="Z99" s="297"/>
      <c r="AA99" s="342"/>
      <c r="AB99" s="499"/>
      <c r="AC99" s="500"/>
      <c r="AD99" s="416"/>
      <c r="AE99" s="316"/>
    </row>
    <row r="100" spans="1:31" s="73" customFormat="1">
      <c r="A100" s="240"/>
      <c r="B100" s="296"/>
      <c r="C100" s="246"/>
      <c r="D100" s="247"/>
      <c r="E100" s="247"/>
      <c r="F100" s="247"/>
      <c r="G100" s="247"/>
      <c r="H100" s="247"/>
      <c r="I100" s="246"/>
      <c r="J100" s="246"/>
      <c r="K100" s="247"/>
      <c r="L100" s="247"/>
      <c r="M100" s="247"/>
      <c r="N100" s="246"/>
      <c r="O100" s="338"/>
      <c r="P100" s="247"/>
      <c r="Q100" s="246"/>
      <c r="R100" s="246"/>
      <c r="S100" s="246"/>
      <c r="T100" s="298"/>
      <c r="U100" s="298"/>
      <c r="V100" s="298"/>
      <c r="W100" s="298"/>
      <c r="X100" s="298"/>
      <c r="Y100" s="298"/>
      <c r="Z100" s="298"/>
      <c r="AA100" s="341"/>
      <c r="AB100" s="499"/>
      <c r="AC100" s="500"/>
      <c r="AD100" s="417"/>
      <c r="AE100" s="316"/>
    </row>
    <row r="101" spans="1:31" s="73" customFormat="1">
      <c r="A101" s="324"/>
      <c r="B101" s="322"/>
      <c r="C101" s="319"/>
      <c r="D101" s="323"/>
      <c r="E101" s="323"/>
      <c r="F101" s="323"/>
      <c r="G101" s="323"/>
      <c r="H101" s="323"/>
      <c r="I101" s="319"/>
      <c r="J101" s="319"/>
      <c r="K101" s="323"/>
      <c r="L101" s="323"/>
      <c r="M101" s="323"/>
      <c r="N101" s="319"/>
      <c r="O101" s="319"/>
      <c r="P101" s="323"/>
      <c r="Q101" s="319"/>
      <c r="R101" s="319"/>
      <c r="S101" s="319"/>
      <c r="T101" s="331"/>
      <c r="U101" s="331"/>
      <c r="V101" s="331"/>
      <c r="W101" s="331"/>
      <c r="X101" s="331"/>
      <c r="Y101" s="331"/>
      <c r="Z101" s="331"/>
      <c r="AA101" s="339"/>
      <c r="AB101" s="494"/>
      <c r="AC101" s="497"/>
      <c r="AD101" s="416"/>
      <c r="AE101" s="316"/>
    </row>
    <row r="102" spans="1:31" s="73" customFormat="1">
      <c r="A102" s="235"/>
      <c r="B102" s="236"/>
      <c r="C102" s="237"/>
      <c r="D102" s="238"/>
      <c r="E102" s="238"/>
      <c r="F102" s="238"/>
      <c r="G102" s="238"/>
      <c r="H102" s="238"/>
      <c r="I102" s="237"/>
      <c r="J102" s="237"/>
      <c r="K102" s="238"/>
      <c r="L102" s="238"/>
      <c r="M102" s="238"/>
      <c r="N102" s="237"/>
      <c r="O102" s="237"/>
      <c r="P102" s="238"/>
      <c r="Q102" s="237"/>
      <c r="R102" s="237"/>
      <c r="S102" s="237"/>
      <c r="T102" s="297"/>
      <c r="U102" s="297"/>
      <c r="V102" s="297"/>
      <c r="W102" s="297"/>
      <c r="X102" s="297"/>
      <c r="Y102" s="297"/>
      <c r="Z102" s="297"/>
      <c r="AA102" s="340"/>
      <c r="AB102" s="499"/>
      <c r="AC102" s="500"/>
      <c r="AD102" s="416"/>
      <c r="AE102" s="316"/>
    </row>
    <row r="103" spans="1:31" s="73" customFormat="1">
      <c r="A103" s="235"/>
      <c r="B103" s="239"/>
      <c r="C103" s="246"/>
      <c r="D103" s="247"/>
      <c r="E103" s="247"/>
      <c r="F103" s="247"/>
      <c r="G103" s="247"/>
      <c r="H103" s="247"/>
      <c r="I103" s="246"/>
      <c r="J103" s="246"/>
      <c r="K103" s="247"/>
      <c r="L103" s="247"/>
      <c r="M103" s="247"/>
      <c r="N103" s="246"/>
      <c r="O103" s="338"/>
      <c r="P103" s="247"/>
      <c r="Q103" s="246"/>
      <c r="R103" s="246"/>
      <c r="S103" s="246"/>
      <c r="T103" s="298"/>
      <c r="U103" s="298"/>
      <c r="V103" s="298"/>
      <c r="W103" s="298"/>
      <c r="X103" s="298"/>
      <c r="Y103" s="298"/>
      <c r="Z103" s="298"/>
      <c r="AA103" s="341"/>
      <c r="AB103" s="501"/>
      <c r="AC103" s="502"/>
      <c r="AD103" s="417"/>
      <c r="AE103" s="316"/>
    </row>
    <row r="104" spans="1:31" s="73" customFormat="1">
      <c r="A104" s="235"/>
      <c r="B104" s="236"/>
      <c r="C104" s="237"/>
      <c r="D104" s="238"/>
      <c r="E104" s="238"/>
      <c r="F104" s="238"/>
      <c r="G104" s="238"/>
      <c r="H104" s="238"/>
      <c r="I104" s="237"/>
      <c r="J104" s="237"/>
      <c r="K104" s="238"/>
      <c r="L104" s="238"/>
      <c r="M104" s="238"/>
      <c r="N104" s="237"/>
      <c r="O104" s="299"/>
      <c r="P104" s="238"/>
      <c r="Q104" s="237"/>
      <c r="R104" s="237"/>
      <c r="S104" s="237"/>
      <c r="T104" s="297"/>
      <c r="U104" s="297"/>
      <c r="V104" s="297"/>
      <c r="W104" s="297"/>
      <c r="X104" s="297"/>
      <c r="Y104" s="297"/>
      <c r="Z104" s="297"/>
      <c r="AA104" s="342"/>
      <c r="AB104" s="499"/>
      <c r="AC104" s="500"/>
      <c r="AD104" s="416"/>
      <c r="AE104" s="316"/>
    </row>
    <row r="105" spans="1:31" s="73" customFormat="1">
      <c r="A105" s="235"/>
      <c r="B105" s="236"/>
      <c r="C105" s="237"/>
      <c r="D105" s="238"/>
      <c r="E105" s="238"/>
      <c r="F105" s="238"/>
      <c r="G105" s="238"/>
      <c r="H105" s="238"/>
      <c r="I105" s="237"/>
      <c r="J105" s="237"/>
      <c r="K105" s="238"/>
      <c r="L105" s="238"/>
      <c r="M105" s="238"/>
      <c r="N105" s="237"/>
      <c r="O105" s="299"/>
      <c r="P105" s="238"/>
      <c r="Q105" s="237"/>
      <c r="R105" s="237"/>
      <c r="S105" s="237"/>
      <c r="T105" s="297"/>
      <c r="U105" s="297"/>
      <c r="V105" s="297"/>
      <c r="W105" s="297"/>
      <c r="X105" s="297"/>
      <c r="Y105" s="297"/>
      <c r="Z105" s="297"/>
      <c r="AA105" s="342"/>
      <c r="AB105" s="499"/>
      <c r="AC105" s="500"/>
      <c r="AD105" s="416"/>
      <c r="AE105" s="316"/>
    </row>
    <row r="106" spans="1:31" s="73" customFormat="1">
      <c r="A106" s="235"/>
      <c r="B106" s="239"/>
      <c r="C106" s="246"/>
      <c r="D106" s="247"/>
      <c r="E106" s="247"/>
      <c r="F106" s="247"/>
      <c r="G106" s="247"/>
      <c r="H106" s="247"/>
      <c r="I106" s="246"/>
      <c r="J106" s="246"/>
      <c r="K106" s="247"/>
      <c r="L106" s="247"/>
      <c r="M106" s="247"/>
      <c r="N106" s="246"/>
      <c r="O106" s="338"/>
      <c r="P106" s="247"/>
      <c r="Q106" s="246"/>
      <c r="R106" s="246"/>
      <c r="S106" s="246"/>
      <c r="T106" s="298"/>
      <c r="U106" s="298"/>
      <c r="V106" s="298"/>
      <c r="W106" s="298"/>
      <c r="X106" s="298"/>
      <c r="Y106" s="298"/>
      <c r="Z106" s="298"/>
      <c r="AA106" s="341"/>
      <c r="AB106" s="501"/>
      <c r="AC106" s="502"/>
      <c r="AD106" s="417"/>
      <c r="AE106" s="316"/>
    </row>
    <row r="107" spans="1:31" s="73" customFormat="1">
      <c r="A107" s="235"/>
      <c r="B107" s="236"/>
      <c r="C107" s="237"/>
      <c r="D107" s="238"/>
      <c r="E107" s="238"/>
      <c r="F107" s="238"/>
      <c r="G107" s="238"/>
      <c r="H107" s="238"/>
      <c r="I107" s="237"/>
      <c r="J107" s="237"/>
      <c r="K107" s="238"/>
      <c r="L107" s="238"/>
      <c r="M107" s="238"/>
      <c r="N107" s="237"/>
      <c r="O107" s="299"/>
      <c r="P107" s="238"/>
      <c r="Q107" s="237"/>
      <c r="R107" s="237"/>
      <c r="S107" s="237"/>
      <c r="T107" s="297"/>
      <c r="U107" s="297"/>
      <c r="V107" s="297"/>
      <c r="W107" s="297"/>
      <c r="X107" s="297"/>
      <c r="Y107" s="297"/>
      <c r="Z107" s="297"/>
      <c r="AA107" s="342"/>
      <c r="AB107" s="499"/>
      <c r="AC107" s="500"/>
      <c r="AD107" s="416"/>
      <c r="AE107" s="316"/>
    </row>
    <row r="108" spans="1:31" s="73" customFormat="1">
      <c r="A108" s="235"/>
      <c r="B108" s="236"/>
      <c r="C108" s="237"/>
      <c r="D108" s="238"/>
      <c r="E108" s="238"/>
      <c r="F108" s="238"/>
      <c r="G108" s="238"/>
      <c r="H108" s="238"/>
      <c r="I108" s="237"/>
      <c r="J108" s="237"/>
      <c r="K108" s="238"/>
      <c r="L108" s="238"/>
      <c r="M108" s="238"/>
      <c r="N108" s="237"/>
      <c r="O108" s="299"/>
      <c r="P108" s="238"/>
      <c r="Q108" s="237"/>
      <c r="R108" s="237"/>
      <c r="S108" s="237"/>
      <c r="T108" s="297"/>
      <c r="U108" s="297"/>
      <c r="V108" s="297"/>
      <c r="W108" s="297"/>
      <c r="X108" s="297"/>
      <c r="Y108" s="297"/>
      <c r="Z108" s="297"/>
      <c r="AA108" s="342"/>
      <c r="AB108" s="499"/>
      <c r="AC108" s="500"/>
      <c r="AD108" s="416"/>
      <c r="AE108" s="316"/>
    </row>
    <row r="109" spans="1:31" s="73" customFormat="1">
      <c r="A109" s="235"/>
      <c r="B109" s="239"/>
      <c r="C109" s="246"/>
      <c r="D109" s="247"/>
      <c r="E109" s="247"/>
      <c r="F109" s="247"/>
      <c r="G109" s="247"/>
      <c r="H109" s="247"/>
      <c r="I109" s="246"/>
      <c r="J109" s="246"/>
      <c r="K109" s="247"/>
      <c r="L109" s="247"/>
      <c r="M109" s="247"/>
      <c r="N109" s="246"/>
      <c r="O109" s="338"/>
      <c r="P109" s="247"/>
      <c r="Q109" s="246"/>
      <c r="R109" s="246"/>
      <c r="S109" s="246"/>
      <c r="T109" s="298"/>
      <c r="U109" s="298"/>
      <c r="V109" s="298"/>
      <c r="W109" s="298"/>
      <c r="X109" s="298"/>
      <c r="Y109" s="298"/>
      <c r="Z109" s="298"/>
      <c r="AA109" s="341"/>
      <c r="AB109" s="501"/>
      <c r="AC109" s="502"/>
      <c r="AD109" s="417"/>
      <c r="AE109" s="316"/>
    </row>
    <row r="110" spans="1:31" s="73" customFormat="1">
      <c r="A110" s="235"/>
      <c r="B110" s="236"/>
      <c r="C110" s="237"/>
      <c r="D110" s="238"/>
      <c r="E110" s="238"/>
      <c r="F110" s="238"/>
      <c r="G110" s="238"/>
      <c r="H110" s="238"/>
      <c r="I110" s="237"/>
      <c r="J110" s="237"/>
      <c r="K110" s="238"/>
      <c r="L110" s="238"/>
      <c r="M110" s="238"/>
      <c r="N110" s="237"/>
      <c r="O110" s="299"/>
      <c r="P110" s="238"/>
      <c r="Q110" s="237"/>
      <c r="R110" s="237"/>
      <c r="S110" s="237"/>
      <c r="T110" s="297"/>
      <c r="U110" s="297"/>
      <c r="V110" s="297"/>
      <c r="W110" s="297"/>
      <c r="X110" s="297"/>
      <c r="Y110" s="297"/>
      <c r="Z110" s="297"/>
      <c r="AA110" s="342"/>
      <c r="AB110" s="499"/>
      <c r="AC110" s="500"/>
      <c r="AD110" s="416"/>
      <c r="AE110" s="316"/>
    </row>
    <row r="111" spans="1:31" s="73" customFormat="1">
      <c r="A111" s="235"/>
      <c r="B111" s="236"/>
      <c r="C111" s="237"/>
      <c r="D111" s="238"/>
      <c r="E111" s="238"/>
      <c r="F111" s="238"/>
      <c r="G111" s="238"/>
      <c r="H111" s="238"/>
      <c r="I111" s="237"/>
      <c r="J111" s="237"/>
      <c r="K111" s="238"/>
      <c r="L111" s="238"/>
      <c r="M111" s="238"/>
      <c r="N111" s="237"/>
      <c r="O111" s="299"/>
      <c r="P111" s="238"/>
      <c r="Q111" s="237"/>
      <c r="R111" s="237"/>
      <c r="S111" s="237"/>
      <c r="T111" s="297"/>
      <c r="U111" s="297"/>
      <c r="V111" s="297"/>
      <c r="W111" s="297"/>
      <c r="X111" s="297"/>
      <c r="Y111" s="297"/>
      <c r="Z111" s="297"/>
      <c r="AA111" s="342"/>
      <c r="AB111" s="499"/>
      <c r="AC111" s="500"/>
      <c r="AD111" s="416"/>
      <c r="AE111" s="316"/>
    </row>
    <row r="112" spans="1:31" s="73" customFormat="1">
      <c r="A112" s="240"/>
      <c r="B112" s="296"/>
      <c r="C112" s="246"/>
      <c r="D112" s="247"/>
      <c r="E112" s="247"/>
      <c r="F112" s="247"/>
      <c r="G112" s="247"/>
      <c r="H112" s="247"/>
      <c r="I112" s="246"/>
      <c r="J112" s="246"/>
      <c r="K112" s="247"/>
      <c r="L112" s="247"/>
      <c r="M112" s="247"/>
      <c r="N112" s="246"/>
      <c r="O112" s="338"/>
      <c r="P112" s="247"/>
      <c r="Q112" s="246"/>
      <c r="R112" s="246"/>
      <c r="S112" s="246"/>
      <c r="T112" s="298"/>
      <c r="U112" s="298"/>
      <c r="V112" s="298"/>
      <c r="W112" s="298"/>
      <c r="X112" s="298"/>
      <c r="Y112" s="298"/>
      <c r="Z112" s="298"/>
      <c r="AA112" s="341"/>
      <c r="AB112" s="499"/>
      <c r="AC112" s="500"/>
      <c r="AD112" s="417"/>
      <c r="AE112" s="316"/>
    </row>
    <row r="113" spans="1:31" s="73" customFormat="1">
      <c r="A113" s="324"/>
      <c r="B113" s="322"/>
      <c r="C113" s="319"/>
      <c r="D113" s="323"/>
      <c r="E113" s="323"/>
      <c r="F113" s="323"/>
      <c r="G113" s="323"/>
      <c r="H113" s="323"/>
      <c r="I113" s="319"/>
      <c r="J113" s="319"/>
      <c r="K113" s="323"/>
      <c r="L113" s="323"/>
      <c r="M113" s="323"/>
      <c r="N113" s="319"/>
      <c r="O113" s="319"/>
      <c r="P113" s="323"/>
      <c r="Q113" s="319"/>
      <c r="R113" s="319"/>
      <c r="S113" s="319"/>
      <c r="T113" s="331"/>
      <c r="U113" s="331"/>
      <c r="V113" s="331"/>
      <c r="W113" s="331"/>
      <c r="X113" s="331"/>
      <c r="Y113" s="331"/>
      <c r="Z113" s="331"/>
      <c r="AA113" s="339"/>
      <c r="AB113" s="494"/>
      <c r="AC113" s="497"/>
      <c r="AD113" s="416"/>
      <c r="AE113" s="316"/>
    </row>
    <row r="114" spans="1:31" s="73" customFormat="1">
      <c r="A114" s="235"/>
      <c r="B114" s="236"/>
      <c r="C114" s="237"/>
      <c r="D114" s="238"/>
      <c r="E114" s="238"/>
      <c r="F114" s="238"/>
      <c r="G114" s="238"/>
      <c r="H114" s="238"/>
      <c r="I114" s="237"/>
      <c r="J114" s="237"/>
      <c r="K114" s="238"/>
      <c r="L114" s="238"/>
      <c r="M114" s="238"/>
      <c r="N114" s="237"/>
      <c r="O114" s="237"/>
      <c r="P114" s="238"/>
      <c r="Q114" s="237"/>
      <c r="R114" s="237"/>
      <c r="S114" s="237"/>
      <c r="T114" s="297"/>
      <c r="U114" s="297"/>
      <c r="V114" s="297"/>
      <c r="W114" s="297"/>
      <c r="X114" s="297"/>
      <c r="Y114" s="297"/>
      <c r="Z114" s="297"/>
      <c r="AA114" s="340"/>
      <c r="AB114" s="499"/>
      <c r="AC114" s="500"/>
      <c r="AD114" s="416"/>
      <c r="AE114" s="316"/>
    </row>
    <row r="115" spans="1:31" s="73" customFormat="1">
      <c r="A115" s="235"/>
      <c r="B115" s="239"/>
      <c r="C115" s="246"/>
      <c r="D115" s="247"/>
      <c r="E115" s="247"/>
      <c r="F115" s="247"/>
      <c r="G115" s="247"/>
      <c r="H115" s="458"/>
      <c r="I115" s="246"/>
      <c r="J115" s="246"/>
      <c r="K115" s="247"/>
      <c r="L115" s="247"/>
      <c r="M115" s="247"/>
      <c r="N115" s="246"/>
      <c r="O115" s="338"/>
      <c r="P115" s="247"/>
      <c r="Q115" s="246"/>
      <c r="R115" s="246"/>
      <c r="S115" s="246"/>
      <c r="T115" s="298"/>
      <c r="U115" s="298"/>
      <c r="V115" s="298"/>
      <c r="W115" s="298"/>
      <c r="X115" s="298"/>
      <c r="Y115" s="298"/>
      <c r="Z115" s="298"/>
      <c r="AA115" s="341"/>
      <c r="AB115" s="501"/>
      <c r="AC115" s="502"/>
      <c r="AD115" s="417"/>
      <c r="AE115" s="316"/>
    </row>
    <row r="116" spans="1:31" s="73" customFormat="1">
      <c r="A116" s="235"/>
      <c r="B116" s="236"/>
      <c r="C116" s="237"/>
      <c r="D116" s="238"/>
      <c r="E116" s="238"/>
      <c r="F116" s="238"/>
      <c r="G116" s="238"/>
      <c r="H116" s="238"/>
      <c r="I116" s="237"/>
      <c r="J116" s="237"/>
      <c r="K116" s="238"/>
      <c r="L116" s="238"/>
      <c r="M116" s="238"/>
      <c r="N116" s="237"/>
      <c r="O116" s="299"/>
      <c r="P116" s="238"/>
      <c r="Q116" s="237"/>
      <c r="R116" s="237"/>
      <c r="S116" s="237"/>
      <c r="T116" s="297"/>
      <c r="U116" s="297"/>
      <c r="V116" s="297"/>
      <c r="W116" s="297"/>
      <c r="X116" s="297"/>
      <c r="Y116" s="297"/>
      <c r="Z116" s="297"/>
      <c r="AA116" s="342"/>
      <c r="AB116" s="499"/>
      <c r="AC116" s="500"/>
      <c r="AD116" s="416"/>
      <c r="AE116" s="316"/>
    </row>
    <row r="117" spans="1:31" s="73" customFormat="1">
      <c r="A117" s="235"/>
      <c r="B117" s="236"/>
      <c r="C117" s="237"/>
      <c r="D117" s="238"/>
      <c r="E117" s="238"/>
      <c r="F117" s="238"/>
      <c r="G117" s="238"/>
      <c r="H117" s="238"/>
      <c r="I117" s="237"/>
      <c r="J117" s="237"/>
      <c r="K117" s="238"/>
      <c r="L117" s="238"/>
      <c r="M117" s="238"/>
      <c r="N117" s="237"/>
      <c r="O117" s="299"/>
      <c r="P117" s="238"/>
      <c r="Q117" s="237"/>
      <c r="R117" s="237"/>
      <c r="S117" s="237"/>
      <c r="T117" s="297"/>
      <c r="U117" s="297"/>
      <c r="V117" s="297"/>
      <c r="W117" s="297"/>
      <c r="X117" s="297"/>
      <c r="Y117" s="297"/>
      <c r="Z117" s="297"/>
      <c r="AA117" s="342"/>
      <c r="AB117" s="499"/>
      <c r="AC117" s="500"/>
      <c r="AD117" s="416"/>
      <c r="AE117" s="316"/>
    </row>
    <row r="118" spans="1:31" s="73" customFormat="1">
      <c r="A118" s="235"/>
      <c r="B118" s="239"/>
      <c r="C118" s="246"/>
      <c r="D118" s="247"/>
      <c r="E118" s="247"/>
      <c r="F118" s="247"/>
      <c r="G118" s="247"/>
      <c r="H118" s="247"/>
      <c r="I118" s="246"/>
      <c r="J118" s="246"/>
      <c r="K118" s="247"/>
      <c r="L118" s="247"/>
      <c r="M118" s="247"/>
      <c r="N118" s="246"/>
      <c r="O118" s="338"/>
      <c r="P118" s="247"/>
      <c r="Q118" s="246"/>
      <c r="R118" s="246"/>
      <c r="S118" s="246"/>
      <c r="T118" s="298"/>
      <c r="U118" s="298"/>
      <c r="V118" s="298"/>
      <c r="W118" s="298"/>
      <c r="X118" s="298"/>
      <c r="Y118" s="298"/>
      <c r="Z118" s="298"/>
      <c r="AA118" s="341"/>
      <c r="AB118" s="501"/>
      <c r="AC118" s="502"/>
      <c r="AD118" s="417"/>
      <c r="AE118" s="316"/>
    </row>
    <row r="119" spans="1:31" s="73" customFormat="1">
      <c r="A119" s="235"/>
      <c r="B119" s="236"/>
      <c r="C119" s="237"/>
      <c r="D119" s="238"/>
      <c r="E119" s="238"/>
      <c r="F119" s="238"/>
      <c r="G119" s="238"/>
      <c r="H119" s="238"/>
      <c r="I119" s="237"/>
      <c r="J119" s="237"/>
      <c r="K119" s="238"/>
      <c r="L119" s="238"/>
      <c r="M119" s="238"/>
      <c r="N119" s="237"/>
      <c r="O119" s="299"/>
      <c r="P119" s="238"/>
      <c r="Q119" s="237"/>
      <c r="R119" s="237"/>
      <c r="S119" s="237"/>
      <c r="T119" s="297"/>
      <c r="U119" s="297"/>
      <c r="V119" s="297"/>
      <c r="W119" s="297"/>
      <c r="X119" s="297"/>
      <c r="Y119" s="297"/>
      <c r="Z119" s="297"/>
      <c r="AA119" s="342"/>
      <c r="AB119" s="499"/>
      <c r="AC119" s="500"/>
      <c r="AD119" s="416"/>
      <c r="AE119" s="316"/>
    </row>
    <row r="120" spans="1:31" s="73" customFormat="1">
      <c r="A120" s="235"/>
      <c r="B120" s="236"/>
      <c r="C120" s="237"/>
      <c r="D120" s="238"/>
      <c r="E120" s="238"/>
      <c r="F120" s="238"/>
      <c r="G120" s="238"/>
      <c r="H120" s="238"/>
      <c r="I120" s="237"/>
      <c r="J120" s="237"/>
      <c r="K120" s="238"/>
      <c r="L120" s="238"/>
      <c r="M120" s="238"/>
      <c r="N120" s="237"/>
      <c r="O120" s="299"/>
      <c r="P120" s="238"/>
      <c r="Q120" s="237"/>
      <c r="R120" s="237"/>
      <c r="S120" s="237"/>
      <c r="T120" s="297"/>
      <c r="U120" s="297"/>
      <c r="V120" s="297"/>
      <c r="W120" s="297"/>
      <c r="X120" s="297"/>
      <c r="Y120" s="297"/>
      <c r="Z120" s="297"/>
      <c r="AA120" s="342"/>
      <c r="AB120" s="499"/>
      <c r="AC120" s="500"/>
      <c r="AD120" s="416"/>
      <c r="AE120" s="316"/>
    </row>
    <row r="121" spans="1:31" s="73" customFormat="1">
      <c r="A121" s="235"/>
      <c r="B121" s="239"/>
      <c r="C121" s="246"/>
      <c r="D121" s="247"/>
      <c r="E121" s="247"/>
      <c r="F121" s="458"/>
      <c r="G121" s="247"/>
      <c r="H121" s="458"/>
      <c r="I121" s="246"/>
      <c r="J121" s="246"/>
      <c r="K121" s="247"/>
      <c r="L121" s="247"/>
      <c r="M121" s="247"/>
      <c r="N121" s="246"/>
      <c r="O121" s="338"/>
      <c r="P121" s="247"/>
      <c r="Q121" s="246"/>
      <c r="R121" s="246"/>
      <c r="S121" s="246"/>
      <c r="T121" s="298"/>
      <c r="U121" s="298"/>
      <c r="V121" s="298"/>
      <c r="W121" s="298"/>
      <c r="X121" s="298"/>
      <c r="Y121" s="298"/>
      <c r="Z121" s="298"/>
      <c r="AA121" s="341"/>
      <c r="AB121" s="501"/>
      <c r="AC121" s="502"/>
      <c r="AD121" s="417"/>
      <c r="AE121" s="316"/>
    </row>
    <row r="122" spans="1:31" s="73" customFormat="1">
      <c r="A122" s="235"/>
      <c r="B122" s="236"/>
      <c r="C122" s="237"/>
      <c r="D122" s="238"/>
      <c r="E122" s="238"/>
      <c r="F122" s="238"/>
      <c r="G122" s="238"/>
      <c r="H122" s="238"/>
      <c r="I122" s="237"/>
      <c r="J122" s="237"/>
      <c r="K122" s="238"/>
      <c r="L122" s="238"/>
      <c r="M122" s="238"/>
      <c r="N122" s="237"/>
      <c r="O122" s="299"/>
      <c r="P122" s="238"/>
      <c r="Q122" s="237"/>
      <c r="R122" s="237"/>
      <c r="S122" s="237"/>
      <c r="T122" s="297"/>
      <c r="U122" s="297"/>
      <c r="V122" s="297"/>
      <c r="W122" s="297"/>
      <c r="X122" s="297"/>
      <c r="Y122" s="297"/>
      <c r="Z122" s="297"/>
      <c r="AA122" s="342"/>
      <c r="AB122" s="499"/>
      <c r="AC122" s="500"/>
      <c r="AD122" s="416"/>
      <c r="AE122" s="316"/>
    </row>
    <row r="123" spans="1:31" s="73" customFormat="1">
      <c r="A123" s="235"/>
      <c r="B123" s="236"/>
      <c r="C123" s="237"/>
      <c r="D123" s="238"/>
      <c r="E123" s="238"/>
      <c r="F123" s="238"/>
      <c r="G123" s="238"/>
      <c r="H123" s="238"/>
      <c r="I123" s="237"/>
      <c r="J123" s="237"/>
      <c r="K123" s="238"/>
      <c r="L123" s="238"/>
      <c r="M123" s="238"/>
      <c r="N123" s="237"/>
      <c r="O123" s="299"/>
      <c r="P123" s="238"/>
      <c r="Q123" s="237"/>
      <c r="R123" s="237"/>
      <c r="S123" s="237"/>
      <c r="T123" s="297"/>
      <c r="U123" s="297"/>
      <c r="V123" s="297"/>
      <c r="W123" s="297"/>
      <c r="X123" s="297"/>
      <c r="Y123" s="297"/>
      <c r="Z123" s="297"/>
      <c r="AA123" s="342"/>
      <c r="AB123" s="499"/>
      <c r="AC123" s="500"/>
      <c r="AD123" s="416"/>
      <c r="AE123" s="316"/>
    </row>
    <row r="124" spans="1:31" s="73" customFormat="1">
      <c r="A124" s="240"/>
      <c r="B124" s="296"/>
      <c r="C124" s="246"/>
      <c r="D124" s="247"/>
      <c r="E124" s="247"/>
      <c r="F124" s="247"/>
      <c r="G124" s="247"/>
      <c r="H124" s="247"/>
      <c r="I124" s="246"/>
      <c r="J124" s="246"/>
      <c r="K124" s="247"/>
      <c r="L124" s="247"/>
      <c r="M124" s="247"/>
      <c r="N124" s="246"/>
      <c r="O124" s="338"/>
      <c r="P124" s="247"/>
      <c r="Q124" s="246"/>
      <c r="R124" s="246"/>
      <c r="S124" s="246"/>
      <c r="T124" s="298"/>
      <c r="U124" s="298"/>
      <c r="V124" s="298"/>
      <c r="W124" s="298"/>
      <c r="X124" s="298"/>
      <c r="Y124" s="298"/>
      <c r="Z124" s="298"/>
      <c r="AA124" s="341"/>
      <c r="AB124" s="499"/>
      <c r="AC124" s="500"/>
      <c r="AD124" s="417"/>
      <c r="AE124" s="316"/>
    </row>
    <row r="125" spans="1:31" s="73" customFormat="1">
      <c r="A125" s="324"/>
      <c r="B125" s="322"/>
      <c r="C125" s="319"/>
      <c r="D125" s="323"/>
      <c r="E125" s="323"/>
      <c r="F125" s="323"/>
      <c r="G125" s="323"/>
      <c r="H125" s="323"/>
      <c r="I125" s="319"/>
      <c r="J125" s="319"/>
      <c r="K125" s="323"/>
      <c r="L125" s="323"/>
      <c r="M125" s="323"/>
      <c r="N125" s="319"/>
      <c r="O125" s="319"/>
      <c r="P125" s="323"/>
      <c r="Q125" s="319"/>
      <c r="R125" s="319"/>
      <c r="S125" s="319"/>
      <c r="T125" s="331"/>
      <c r="U125" s="331"/>
      <c r="V125" s="331"/>
      <c r="W125" s="331"/>
      <c r="X125" s="331"/>
      <c r="Y125" s="331"/>
      <c r="Z125" s="331"/>
      <c r="AA125" s="339"/>
      <c r="AB125" s="494"/>
      <c r="AC125" s="497"/>
      <c r="AD125" s="416"/>
      <c r="AE125" s="316"/>
    </row>
    <row r="126" spans="1:31" s="73" customFormat="1">
      <c r="A126" s="235"/>
      <c r="B126" s="236"/>
      <c r="C126" s="237"/>
      <c r="D126" s="238"/>
      <c r="E126" s="238"/>
      <c r="F126" s="238"/>
      <c r="G126" s="238"/>
      <c r="H126" s="238"/>
      <c r="I126" s="237"/>
      <c r="J126" s="237"/>
      <c r="K126" s="238"/>
      <c r="L126" s="238"/>
      <c r="M126" s="238"/>
      <c r="N126" s="237"/>
      <c r="O126" s="237"/>
      <c r="P126" s="238"/>
      <c r="Q126" s="237"/>
      <c r="R126" s="237"/>
      <c r="S126" s="237"/>
      <c r="T126" s="297"/>
      <c r="U126" s="297"/>
      <c r="V126" s="297"/>
      <c r="W126" s="297"/>
      <c r="X126" s="297"/>
      <c r="Y126" s="297"/>
      <c r="Z126" s="297"/>
      <c r="AA126" s="340"/>
      <c r="AB126" s="499"/>
      <c r="AC126" s="500"/>
      <c r="AD126" s="416"/>
      <c r="AE126" s="316"/>
    </row>
    <row r="127" spans="1:31" s="73" customFormat="1">
      <c r="A127" s="235"/>
      <c r="B127" s="239"/>
      <c r="C127" s="246"/>
      <c r="D127" s="247"/>
      <c r="E127" s="247"/>
      <c r="F127" s="247"/>
      <c r="G127" s="247"/>
      <c r="H127" s="247"/>
      <c r="I127" s="246"/>
      <c r="J127" s="457"/>
      <c r="K127" s="247"/>
      <c r="L127" s="247"/>
      <c r="M127" s="247"/>
      <c r="N127" s="246"/>
      <c r="O127" s="338"/>
      <c r="P127" s="247"/>
      <c r="Q127" s="246"/>
      <c r="R127" s="246"/>
      <c r="S127" s="246"/>
      <c r="T127" s="298"/>
      <c r="U127" s="298"/>
      <c r="V127" s="298"/>
      <c r="W127" s="298"/>
      <c r="X127" s="298"/>
      <c r="Y127" s="298"/>
      <c r="Z127" s="298"/>
      <c r="AA127" s="341"/>
      <c r="AB127" s="501"/>
      <c r="AC127" s="502"/>
      <c r="AD127" s="417"/>
      <c r="AE127" s="316"/>
    </row>
    <row r="128" spans="1:31" s="73" customFormat="1">
      <c r="A128" s="235"/>
      <c r="B128" s="236"/>
      <c r="C128" s="237"/>
      <c r="D128" s="238"/>
      <c r="E128" s="238"/>
      <c r="F128" s="238"/>
      <c r="G128" s="238"/>
      <c r="H128" s="238"/>
      <c r="I128" s="237"/>
      <c r="J128" s="237"/>
      <c r="K128" s="238"/>
      <c r="L128" s="238"/>
      <c r="M128" s="238"/>
      <c r="N128" s="237"/>
      <c r="O128" s="299"/>
      <c r="P128" s="238"/>
      <c r="Q128" s="237"/>
      <c r="R128" s="237"/>
      <c r="S128" s="237"/>
      <c r="T128" s="297"/>
      <c r="U128" s="297"/>
      <c r="V128" s="297"/>
      <c r="W128" s="297"/>
      <c r="X128" s="297"/>
      <c r="Y128" s="297"/>
      <c r="Z128" s="297"/>
      <c r="AA128" s="342"/>
      <c r="AB128" s="499"/>
      <c r="AC128" s="500"/>
      <c r="AD128" s="416"/>
      <c r="AE128" s="316"/>
    </row>
    <row r="129" spans="1:31" s="73" customFormat="1">
      <c r="A129" s="235"/>
      <c r="B129" s="236"/>
      <c r="C129" s="237"/>
      <c r="D129" s="238"/>
      <c r="E129" s="238"/>
      <c r="F129" s="238"/>
      <c r="G129" s="238"/>
      <c r="H129" s="238"/>
      <c r="I129" s="237"/>
      <c r="J129" s="237"/>
      <c r="K129" s="238"/>
      <c r="L129" s="238"/>
      <c r="M129" s="238"/>
      <c r="N129" s="237"/>
      <c r="O129" s="299"/>
      <c r="P129" s="238"/>
      <c r="Q129" s="237"/>
      <c r="R129" s="237"/>
      <c r="S129" s="237"/>
      <c r="T129" s="297"/>
      <c r="U129" s="297"/>
      <c r="V129" s="297"/>
      <c r="W129" s="297"/>
      <c r="X129" s="297"/>
      <c r="Y129" s="297"/>
      <c r="Z129" s="297"/>
      <c r="AA129" s="342"/>
      <c r="AB129" s="499"/>
      <c r="AC129" s="500"/>
      <c r="AD129" s="416"/>
      <c r="AE129" s="316"/>
    </row>
    <row r="130" spans="1:31" s="73" customFormat="1">
      <c r="A130" s="235"/>
      <c r="B130" s="239"/>
      <c r="C130" s="246"/>
      <c r="D130" s="247"/>
      <c r="E130" s="247"/>
      <c r="F130" s="247"/>
      <c r="G130" s="247"/>
      <c r="H130" s="247"/>
      <c r="I130" s="246"/>
      <c r="J130" s="246"/>
      <c r="K130" s="247"/>
      <c r="L130" s="247"/>
      <c r="M130" s="247"/>
      <c r="N130" s="246"/>
      <c r="O130" s="338"/>
      <c r="P130" s="247"/>
      <c r="Q130" s="246"/>
      <c r="R130" s="246"/>
      <c r="S130" s="246"/>
      <c r="T130" s="298"/>
      <c r="U130" s="298"/>
      <c r="V130" s="298"/>
      <c r="W130" s="298"/>
      <c r="X130" s="298"/>
      <c r="Y130" s="298"/>
      <c r="Z130" s="298"/>
      <c r="AA130" s="341"/>
      <c r="AB130" s="501"/>
      <c r="AC130" s="502"/>
      <c r="AD130" s="417"/>
      <c r="AE130" s="316"/>
    </row>
    <row r="131" spans="1:31" s="73" customFormat="1">
      <c r="A131" s="235"/>
      <c r="B131" s="236"/>
      <c r="C131" s="237"/>
      <c r="D131" s="238"/>
      <c r="E131" s="238"/>
      <c r="F131" s="238"/>
      <c r="G131" s="238"/>
      <c r="H131" s="238"/>
      <c r="I131" s="237"/>
      <c r="J131" s="237"/>
      <c r="K131" s="238"/>
      <c r="L131" s="238"/>
      <c r="M131" s="238"/>
      <c r="N131" s="237"/>
      <c r="O131" s="299"/>
      <c r="P131" s="238"/>
      <c r="Q131" s="237"/>
      <c r="R131" s="237"/>
      <c r="S131" s="237"/>
      <c r="T131" s="297"/>
      <c r="U131" s="297"/>
      <c r="V131" s="297"/>
      <c r="W131" s="297"/>
      <c r="X131" s="297"/>
      <c r="Y131" s="297"/>
      <c r="Z131" s="297"/>
      <c r="AA131" s="342"/>
      <c r="AB131" s="499"/>
      <c r="AC131" s="500"/>
      <c r="AD131" s="416"/>
      <c r="AE131" s="316"/>
    </row>
    <row r="132" spans="1:31" s="73" customFormat="1">
      <c r="A132" s="235"/>
      <c r="B132" s="236"/>
      <c r="C132" s="237"/>
      <c r="D132" s="238"/>
      <c r="E132" s="238"/>
      <c r="F132" s="238"/>
      <c r="G132" s="238"/>
      <c r="H132" s="238"/>
      <c r="I132" s="237"/>
      <c r="J132" s="237"/>
      <c r="K132" s="238"/>
      <c r="L132" s="238"/>
      <c r="M132" s="238"/>
      <c r="N132" s="237"/>
      <c r="O132" s="299"/>
      <c r="P132" s="238"/>
      <c r="Q132" s="237"/>
      <c r="R132" s="237"/>
      <c r="S132" s="237"/>
      <c r="T132" s="297"/>
      <c r="U132" s="297"/>
      <c r="V132" s="297"/>
      <c r="W132" s="297"/>
      <c r="X132" s="297"/>
      <c r="Y132" s="297"/>
      <c r="Z132" s="297"/>
      <c r="AA132" s="342"/>
      <c r="AB132" s="499"/>
      <c r="AC132" s="500"/>
      <c r="AD132" s="416"/>
      <c r="AE132" s="316"/>
    </row>
    <row r="133" spans="1:31" s="73" customFormat="1">
      <c r="A133" s="235"/>
      <c r="B133" s="239"/>
      <c r="C133" s="246"/>
      <c r="D133" s="247"/>
      <c r="E133" s="247"/>
      <c r="F133" s="458"/>
      <c r="G133" s="247"/>
      <c r="H133" s="458"/>
      <c r="I133" s="246"/>
      <c r="J133" s="246"/>
      <c r="K133" s="247"/>
      <c r="L133" s="247"/>
      <c r="M133" s="247"/>
      <c r="N133" s="246"/>
      <c r="O133" s="338"/>
      <c r="P133" s="247"/>
      <c r="Q133" s="246"/>
      <c r="R133" s="246"/>
      <c r="S133" s="246"/>
      <c r="T133" s="298"/>
      <c r="U133" s="298"/>
      <c r="V133" s="298"/>
      <c r="W133" s="298"/>
      <c r="X133" s="298"/>
      <c r="Y133" s="298"/>
      <c r="Z133" s="298"/>
      <c r="AA133" s="341"/>
      <c r="AB133" s="501"/>
      <c r="AC133" s="502"/>
      <c r="AD133" s="417"/>
      <c r="AE133" s="316"/>
    </row>
    <row r="134" spans="1:31" s="73" customFormat="1">
      <c r="A134" s="235"/>
      <c r="B134" s="236"/>
      <c r="C134" s="237"/>
      <c r="D134" s="238"/>
      <c r="E134" s="238"/>
      <c r="F134" s="238"/>
      <c r="G134" s="238"/>
      <c r="H134" s="238"/>
      <c r="I134" s="237"/>
      <c r="J134" s="237"/>
      <c r="K134" s="238"/>
      <c r="L134" s="238"/>
      <c r="M134" s="238"/>
      <c r="N134" s="237"/>
      <c r="O134" s="299"/>
      <c r="P134" s="238"/>
      <c r="Q134" s="237"/>
      <c r="R134" s="237"/>
      <c r="S134" s="237"/>
      <c r="T134" s="297"/>
      <c r="U134" s="297"/>
      <c r="V134" s="297"/>
      <c r="W134" s="297"/>
      <c r="X134" s="297"/>
      <c r="Y134" s="297"/>
      <c r="Z134" s="297"/>
      <c r="AA134" s="342"/>
      <c r="AB134" s="499"/>
      <c r="AC134" s="500"/>
      <c r="AD134" s="416"/>
      <c r="AE134" s="316"/>
    </row>
    <row r="135" spans="1:31" s="73" customFormat="1">
      <c r="A135" s="235"/>
      <c r="B135" s="236"/>
      <c r="C135" s="237"/>
      <c r="D135" s="238"/>
      <c r="E135" s="238"/>
      <c r="F135" s="238"/>
      <c r="G135" s="238"/>
      <c r="H135" s="238"/>
      <c r="I135" s="237"/>
      <c r="J135" s="237"/>
      <c r="K135" s="238"/>
      <c r="L135" s="238"/>
      <c r="M135" s="238"/>
      <c r="N135" s="237"/>
      <c r="O135" s="299"/>
      <c r="P135" s="238"/>
      <c r="Q135" s="237"/>
      <c r="R135" s="237"/>
      <c r="S135" s="237"/>
      <c r="T135" s="297"/>
      <c r="U135" s="297"/>
      <c r="V135" s="297"/>
      <c r="W135" s="297"/>
      <c r="X135" s="297"/>
      <c r="Y135" s="297"/>
      <c r="Z135" s="297"/>
      <c r="AA135" s="342"/>
      <c r="AB135" s="499"/>
      <c r="AC135" s="500"/>
      <c r="AD135" s="416"/>
      <c r="AE135" s="316"/>
    </row>
    <row r="136" spans="1:31" s="73" customFormat="1">
      <c r="A136" s="240"/>
      <c r="B136" s="296"/>
      <c r="C136" s="246"/>
      <c r="D136" s="247"/>
      <c r="E136" s="247"/>
      <c r="F136" s="247"/>
      <c r="G136" s="247"/>
      <c r="H136" s="247"/>
      <c r="I136" s="246"/>
      <c r="J136" s="457"/>
      <c r="K136" s="247"/>
      <c r="L136" s="247"/>
      <c r="M136" s="247"/>
      <c r="N136" s="246"/>
      <c r="O136" s="338"/>
      <c r="P136" s="247"/>
      <c r="Q136" s="246"/>
      <c r="R136" s="246"/>
      <c r="S136" s="246"/>
      <c r="T136" s="298"/>
      <c r="U136" s="298"/>
      <c r="V136" s="298"/>
      <c r="W136" s="298"/>
      <c r="X136" s="298"/>
      <c r="Y136" s="298"/>
      <c r="Z136" s="298"/>
      <c r="AA136" s="341"/>
      <c r="AB136" s="499"/>
      <c r="AC136" s="500"/>
      <c r="AD136" s="417"/>
      <c r="AE136" s="316"/>
    </row>
    <row r="137" spans="1:31" s="73" customFormat="1">
      <c r="A137" s="324"/>
      <c r="B137" s="322"/>
      <c r="C137" s="319"/>
      <c r="D137" s="323"/>
      <c r="E137" s="323"/>
      <c r="F137" s="323"/>
      <c r="G137" s="323"/>
      <c r="H137" s="323"/>
      <c r="I137" s="319"/>
      <c r="J137" s="319"/>
      <c r="K137" s="323"/>
      <c r="L137" s="323"/>
      <c r="M137" s="323"/>
      <c r="N137" s="319"/>
      <c r="O137" s="319"/>
      <c r="P137" s="323"/>
      <c r="Q137" s="319"/>
      <c r="R137" s="319"/>
      <c r="S137" s="319"/>
      <c r="T137" s="331"/>
      <c r="U137" s="331"/>
      <c r="V137" s="331"/>
      <c r="W137" s="331"/>
      <c r="X137" s="331"/>
      <c r="Y137" s="331"/>
      <c r="Z137" s="331"/>
      <c r="AA137" s="339"/>
      <c r="AB137" s="494"/>
      <c r="AC137" s="497"/>
      <c r="AD137" s="416"/>
      <c r="AE137" s="316"/>
    </row>
    <row r="138" spans="1:31" s="73" customFormat="1">
      <c r="A138" s="235"/>
      <c r="B138" s="236"/>
      <c r="C138" s="237"/>
      <c r="D138" s="238"/>
      <c r="E138" s="238"/>
      <c r="F138" s="238"/>
      <c r="G138" s="238"/>
      <c r="H138" s="238"/>
      <c r="I138" s="237"/>
      <c r="J138" s="237"/>
      <c r="K138" s="238"/>
      <c r="L138" s="238"/>
      <c r="M138" s="238"/>
      <c r="N138" s="237"/>
      <c r="O138" s="237"/>
      <c r="P138" s="238"/>
      <c r="Q138" s="237"/>
      <c r="R138" s="237"/>
      <c r="S138" s="237"/>
      <c r="T138" s="297"/>
      <c r="U138" s="297"/>
      <c r="V138" s="297"/>
      <c r="W138" s="297"/>
      <c r="X138" s="297"/>
      <c r="Y138" s="297"/>
      <c r="Z138" s="297"/>
      <c r="AA138" s="340"/>
      <c r="AB138" s="499"/>
      <c r="AC138" s="500"/>
      <c r="AD138" s="416"/>
      <c r="AE138" s="316"/>
    </row>
    <row r="139" spans="1:31" s="73" customFormat="1">
      <c r="A139" s="235"/>
      <c r="B139" s="239"/>
      <c r="C139" s="246"/>
      <c r="D139" s="247"/>
      <c r="E139" s="247"/>
      <c r="F139" s="247"/>
      <c r="G139" s="247"/>
      <c r="H139" s="247"/>
      <c r="I139" s="246"/>
      <c r="J139" s="246"/>
      <c r="K139" s="247"/>
      <c r="L139" s="247"/>
      <c r="M139" s="247"/>
      <c r="N139" s="246"/>
      <c r="O139" s="338"/>
      <c r="P139" s="247"/>
      <c r="Q139" s="246"/>
      <c r="R139" s="246"/>
      <c r="S139" s="246"/>
      <c r="T139" s="298"/>
      <c r="U139" s="298"/>
      <c r="V139" s="298"/>
      <c r="W139" s="298"/>
      <c r="X139" s="298"/>
      <c r="Y139" s="298"/>
      <c r="Z139" s="298"/>
      <c r="AA139" s="341"/>
      <c r="AB139" s="501"/>
      <c r="AC139" s="502"/>
      <c r="AD139" s="417"/>
      <c r="AE139" s="316"/>
    </row>
    <row r="140" spans="1:31" s="73" customFormat="1">
      <c r="A140" s="235"/>
      <c r="B140" s="236"/>
      <c r="C140" s="237"/>
      <c r="D140" s="238"/>
      <c r="E140" s="238"/>
      <c r="F140" s="238"/>
      <c r="G140" s="238"/>
      <c r="H140" s="238"/>
      <c r="I140" s="237"/>
      <c r="J140" s="237"/>
      <c r="K140" s="238"/>
      <c r="L140" s="238"/>
      <c r="M140" s="238"/>
      <c r="N140" s="237"/>
      <c r="O140" s="299"/>
      <c r="P140" s="238"/>
      <c r="Q140" s="237"/>
      <c r="R140" s="237"/>
      <c r="S140" s="237"/>
      <c r="T140" s="297"/>
      <c r="U140" s="297"/>
      <c r="V140" s="297"/>
      <c r="W140" s="297"/>
      <c r="X140" s="297"/>
      <c r="Y140" s="297"/>
      <c r="Z140" s="297"/>
      <c r="AA140" s="342"/>
      <c r="AB140" s="499"/>
      <c r="AC140" s="500"/>
      <c r="AD140" s="416"/>
      <c r="AE140" s="316"/>
    </row>
    <row r="141" spans="1:31" s="73" customFormat="1">
      <c r="A141" s="235"/>
      <c r="B141" s="236"/>
      <c r="C141" s="237"/>
      <c r="D141" s="238"/>
      <c r="E141" s="238"/>
      <c r="F141" s="238"/>
      <c r="G141" s="238"/>
      <c r="H141" s="238"/>
      <c r="I141" s="237"/>
      <c r="J141" s="237"/>
      <c r="K141" s="238"/>
      <c r="L141" s="238"/>
      <c r="M141" s="238"/>
      <c r="N141" s="237"/>
      <c r="O141" s="299"/>
      <c r="P141" s="238"/>
      <c r="Q141" s="237"/>
      <c r="R141" s="237"/>
      <c r="S141" s="237"/>
      <c r="T141" s="297"/>
      <c r="U141" s="297"/>
      <c r="V141" s="297"/>
      <c r="W141" s="297"/>
      <c r="X141" s="297"/>
      <c r="Y141" s="297"/>
      <c r="Z141" s="297"/>
      <c r="AA141" s="342"/>
      <c r="AB141" s="499"/>
      <c r="AC141" s="500"/>
      <c r="AD141" s="416"/>
      <c r="AE141" s="316"/>
    </row>
    <row r="142" spans="1:31" s="73" customFormat="1">
      <c r="A142" s="235"/>
      <c r="B142" s="239"/>
      <c r="C142" s="246"/>
      <c r="D142" s="247"/>
      <c r="E142" s="247"/>
      <c r="F142" s="247"/>
      <c r="G142" s="247"/>
      <c r="H142" s="247"/>
      <c r="I142" s="246"/>
      <c r="J142" s="246"/>
      <c r="K142" s="247"/>
      <c r="L142" s="247"/>
      <c r="M142" s="247"/>
      <c r="N142" s="246"/>
      <c r="O142" s="338"/>
      <c r="P142" s="247"/>
      <c r="Q142" s="246"/>
      <c r="R142" s="246"/>
      <c r="S142" s="246"/>
      <c r="T142" s="298"/>
      <c r="U142" s="298"/>
      <c r="V142" s="298"/>
      <c r="W142" s="298"/>
      <c r="X142" s="298"/>
      <c r="Y142" s="298"/>
      <c r="Z142" s="298"/>
      <c r="AA142" s="341"/>
      <c r="AB142" s="501"/>
      <c r="AC142" s="502"/>
      <c r="AD142" s="417"/>
      <c r="AE142" s="316"/>
    </row>
    <row r="143" spans="1:31" s="73" customFormat="1">
      <c r="A143" s="235"/>
      <c r="B143" s="236"/>
      <c r="C143" s="237"/>
      <c r="D143" s="238"/>
      <c r="E143" s="238"/>
      <c r="F143" s="238"/>
      <c r="G143" s="238"/>
      <c r="H143" s="238"/>
      <c r="I143" s="237"/>
      <c r="J143" s="237"/>
      <c r="K143" s="238"/>
      <c r="L143" s="238"/>
      <c r="M143" s="238"/>
      <c r="N143" s="237"/>
      <c r="O143" s="299"/>
      <c r="P143" s="238"/>
      <c r="Q143" s="237"/>
      <c r="R143" s="237"/>
      <c r="S143" s="237"/>
      <c r="T143" s="297"/>
      <c r="U143" s="297"/>
      <c r="V143" s="297"/>
      <c r="W143" s="297"/>
      <c r="X143" s="297"/>
      <c r="Y143" s="297"/>
      <c r="Z143" s="297"/>
      <c r="AA143" s="342"/>
      <c r="AB143" s="499"/>
      <c r="AC143" s="500"/>
      <c r="AD143" s="416"/>
      <c r="AE143" s="316"/>
    </row>
    <row r="144" spans="1:31" s="73" customFormat="1">
      <c r="A144" s="235"/>
      <c r="B144" s="236"/>
      <c r="C144" s="237"/>
      <c r="D144" s="238"/>
      <c r="E144" s="238"/>
      <c r="F144" s="238"/>
      <c r="G144" s="238"/>
      <c r="H144" s="238"/>
      <c r="I144" s="237"/>
      <c r="J144" s="237"/>
      <c r="K144" s="238"/>
      <c r="L144" s="238"/>
      <c r="M144" s="238"/>
      <c r="N144" s="237"/>
      <c r="O144" s="299"/>
      <c r="P144" s="238"/>
      <c r="Q144" s="237"/>
      <c r="R144" s="237"/>
      <c r="S144" s="237"/>
      <c r="T144" s="297"/>
      <c r="U144" s="297"/>
      <c r="V144" s="297"/>
      <c r="W144" s="297"/>
      <c r="X144" s="297"/>
      <c r="Y144" s="297"/>
      <c r="Z144" s="297"/>
      <c r="AA144" s="342"/>
      <c r="AB144" s="499"/>
      <c r="AC144" s="500"/>
      <c r="AD144" s="416"/>
      <c r="AE144" s="316"/>
    </row>
    <row r="145" spans="1:31" s="73" customFormat="1">
      <c r="A145" s="235"/>
      <c r="B145" s="239"/>
      <c r="C145" s="246"/>
      <c r="D145" s="247"/>
      <c r="E145" s="247"/>
      <c r="F145" s="247"/>
      <c r="G145" s="247"/>
      <c r="H145" s="247"/>
      <c r="I145" s="246"/>
      <c r="J145" s="246"/>
      <c r="K145" s="247"/>
      <c r="L145" s="247"/>
      <c r="M145" s="247"/>
      <c r="N145" s="246"/>
      <c r="O145" s="338"/>
      <c r="P145" s="247"/>
      <c r="Q145" s="246"/>
      <c r="R145" s="246"/>
      <c r="S145" s="246"/>
      <c r="T145" s="298"/>
      <c r="U145" s="298"/>
      <c r="V145" s="298"/>
      <c r="W145" s="298"/>
      <c r="X145" s="298"/>
      <c r="Y145" s="298"/>
      <c r="Z145" s="298"/>
      <c r="AA145" s="341"/>
      <c r="AB145" s="501"/>
      <c r="AC145" s="502"/>
      <c r="AD145" s="417"/>
      <c r="AE145" s="316"/>
    </row>
    <row r="146" spans="1:31" s="73" customFormat="1">
      <c r="A146" s="235"/>
      <c r="B146" s="236"/>
      <c r="C146" s="237"/>
      <c r="D146" s="238"/>
      <c r="E146" s="238"/>
      <c r="F146" s="238"/>
      <c r="G146" s="238"/>
      <c r="H146" s="238"/>
      <c r="I146" s="237"/>
      <c r="J146" s="237"/>
      <c r="K146" s="238"/>
      <c r="L146" s="238"/>
      <c r="M146" s="238"/>
      <c r="N146" s="237"/>
      <c r="O146" s="299"/>
      <c r="P146" s="238"/>
      <c r="Q146" s="237"/>
      <c r="R146" s="237"/>
      <c r="S146" s="237"/>
      <c r="T146" s="297"/>
      <c r="U146" s="297"/>
      <c r="V146" s="297"/>
      <c r="W146" s="297"/>
      <c r="X146" s="297"/>
      <c r="Y146" s="297"/>
      <c r="Z146" s="297"/>
      <c r="AA146" s="342"/>
      <c r="AB146" s="499"/>
      <c r="AC146" s="500"/>
      <c r="AD146" s="416"/>
      <c r="AE146" s="316"/>
    </row>
    <row r="147" spans="1:31" s="73" customFormat="1">
      <c r="A147" s="235"/>
      <c r="B147" s="236"/>
      <c r="C147" s="237"/>
      <c r="D147" s="238"/>
      <c r="E147" s="238"/>
      <c r="F147" s="238"/>
      <c r="G147" s="238"/>
      <c r="H147" s="238"/>
      <c r="I147" s="237"/>
      <c r="J147" s="237"/>
      <c r="K147" s="238"/>
      <c r="L147" s="238"/>
      <c r="M147" s="238"/>
      <c r="N147" s="237"/>
      <c r="O147" s="299"/>
      <c r="P147" s="238"/>
      <c r="Q147" s="237"/>
      <c r="R147" s="237"/>
      <c r="S147" s="237"/>
      <c r="T147" s="297"/>
      <c r="U147" s="297"/>
      <c r="V147" s="297"/>
      <c r="W147" s="297"/>
      <c r="X147" s="297"/>
      <c r="Y147" s="297"/>
      <c r="Z147" s="297"/>
      <c r="AA147" s="342"/>
      <c r="AB147" s="499"/>
      <c r="AC147" s="500"/>
      <c r="AD147" s="416"/>
      <c r="AE147" s="316"/>
    </row>
    <row r="148" spans="1:31" s="73" customFormat="1">
      <c r="A148" s="240"/>
      <c r="B148" s="296"/>
      <c r="C148" s="246"/>
      <c r="D148" s="247"/>
      <c r="E148" s="247"/>
      <c r="F148" s="247"/>
      <c r="G148" s="247"/>
      <c r="H148" s="247"/>
      <c r="I148" s="246"/>
      <c r="J148" s="246"/>
      <c r="K148" s="247"/>
      <c r="L148" s="247"/>
      <c r="M148" s="247"/>
      <c r="N148" s="246"/>
      <c r="O148" s="338"/>
      <c r="P148" s="247"/>
      <c r="Q148" s="246"/>
      <c r="R148" s="246"/>
      <c r="S148" s="246"/>
      <c r="T148" s="298"/>
      <c r="U148" s="298"/>
      <c r="V148" s="298"/>
      <c r="W148" s="298"/>
      <c r="X148" s="298"/>
      <c r="Y148" s="298"/>
      <c r="Z148" s="298"/>
      <c r="AA148" s="341"/>
      <c r="AB148" s="499"/>
      <c r="AC148" s="500"/>
      <c r="AD148" s="417"/>
      <c r="AE148" s="316"/>
    </row>
    <row r="149" spans="1:31" s="73" customFormat="1">
      <c r="A149" s="324"/>
      <c r="B149" s="322"/>
      <c r="C149" s="319"/>
      <c r="D149" s="323"/>
      <c r="E149" s="323"/>
      <c r="F149" s="323"/>
      <c r="G149" s="323"/>
      <c r="H149" s="323"/>
      <c r="I149" s="319"/>
      <c r="J149" s="319"/>
      <c r="K149" s="323"/>
      <c r="L149" s="323"/>
      <c r="M149" s="323"/>
      <c r="N149" s="319"/>
      <c r="O149" s="319"/>
      <c r="P149" s="323"/>
      <c r="Q149" s="319"/>
      <c r="R149" s="319"/>
      <c r="S149" s="319"/>
      <c r="T149" s="331"/>
      <c r="U149" s="331"/>
      <c r="V149" s="331"/>
      <c r="W149" s="331"/>
      <c r="X149" s="331"/>
      <c r="Y149" s="331"/>
      <c r="Z149" s="331"/>
      <c r="AA149" s="339"/>
      <c r="AB149" s="494"/>
      <c r="AC149" s="497"/>
      <c r="AD149" s="416"/>
      <c r="AE149" s="316"/>
    </row>
    <row r="150" spans="1:31" s="73" customFormat="1">
      <c r="A150" s="235"/>
      <c r="B150" s="236"/>
      <c r="C150" s="237"/>
      <c r="D150" s="238"/>
      <c r="E150" s="238"/>
      <c r="F150" s="238"/>
      <c r="G150" s="238"/>
      <c r="H150" s="238"/>
      <c r="I150" s="237"/>
      <c r="J150" s="237"/>
      <c r="K150" s="238"/>
      <c r="L150" s="238"/>
      <c r="M150" s="238"/>
      <c r="N150" s="237"/>
      <c r="O150" s="237"/>
      <c r="P150" s="238"/>
      <c r="Q150" s="237"/>
      <c r="R150" s="237"/>
      <c r="S150" s="237"/>
      <c r="T150" s="297"/>
      <c r="U150" s="297"/>
      <c r="V150" s="297"/>
      <c r="W150" s="297"/>
      <c r="X150" s="297"/>
      <c r="Y150" s="297"/>
      <c r="Z150" s="297"/>
      <c r="AA150" s="340"/>
      <c r="AB150" s="499"/>
      <c r="AC150" s="500"/>
      <c r="AD150" s="416"/>
      <c r="AE150" s="316"/>
    </row>
    <row r="151" spans="1:31" s="73" customFormat="1">
      <c r="A151" s="235"/>
      <c r="B151" s="239"/>
      <c r="C151" s="246"/>
      <c r="D151" s="247"/>
      <c r="E151" s="247"/>
      <c r="F151" s="247"/>
      <c r="G151" s="247"/>
      <c r="H151" s="247"/>
      <c r="I151" s="246"/>
      <c r="J151" s="246"/>
      <c r="K151" s="247"/>
      <c r="L151" s="247"/>
      <c r="M151" s="247"/>
      <c r="N151" s="246"/>
      <c r="O151" s="338"/>
      <c r="P151" s="247"/>
      <c r="Q151" s="246"/>
      <c r="R151" s="246"/>
      <c r="S151" s="246"/>
      <c r="T151" s="298"/>
      <c r="U151" s="298"/>
      <c r="V151" s="298"/>
      <c r="W151" s="298"/>
      <c r="X151" s="298"/>
      <c r="Y151" s="298"/>
      <c r="Z151" s="298"/>
      <c r="AA151" s="341"/>
      <c r="AB151" s="501"/>
      <c r="AC151" s="502"/>
      <c r="AD151" s="417"/>
      <c r="AE151" s="316"/>
    </row>
    <row r="152" spans="1:31" s="73" customFormat="1">
      <c r="A152" s="235"/>
      <c r="B152" s="236"/>
      <c r="C152" s="237"/>
      <c r="D152" s="238"/>
      <c r="E152" s="238"/>
      <c r="F152" s="238"/>
      <c r="G152" s="238"/>
      <c r="H152" s="238"/>
      <c r="I152" s="237"/>
      <c r="J152" s="237"/>
      <c r="K152" s="238"/>
      <c r="L152" s="238"/>
      <c r="M152" s="238"/>
      <c r="N152" s="237"/>
      <c r="O152" s="299"/>
      <c r="P152" s="238"/>
      <c r="Q152" s="237"/>
      <c r="R152" s="237"/>
      <c r="S152" s="237"/>
      <c r="T152" s="297"/>
      <c r="U152" s="297"/>
      <c r="V152" s="297"/>
      <c r="W152" s="297"/>
      <c r="X152" s="297"/>
      <c r="Y152" s="297"/>
      <c r="Z152" s="297"/>
      <c r="AA152" s="342"/>
      <c r="AB152" s="499"/>
      <c r="AC152" s="500"/>
      <c r="AD152" s="416"/>
      <c r="AE152" s="316"/>
    </row>
    <row r="153" spans="1:31" s="73" customFormat="1">
      <c r="A153" s="235"/>
      <c r="B153" s="236"/>
      <c r="C153" s="237"/>
      <c r="D153" s="238"/>
      <c r="E153" s="238"/>
      <c r="F153" s="238"/>
      <c r="G153" s="238"/>
      <c r="H153" s="238"/>
      <c r="I153" s="237"/>
      <c r="J153" s="237"/>
      <c r="K153" s="238"/>
      <c r="L153" s="238"/>
      <c r="M153" s="238"/>
      <c r="N153" s="237"/>
      <c r="O153" s="299"/>
      <c r="P153" s="238"/>
      <c r="Q153" s="237"/>
      <c r="R153" s="237"/>
      <c r="S153" s="237"/>
      <c r="T153" s="297"/>
      <c r="U153" s="297"/>
      <c r="V153" s="297"/>
      <c r="W153" s="297"/>
      <c r="X153" s="297"/>
      <c r="Y153" s="297"/>
      <c r="Z153" s="297"/>
      <c r="AA153" s="342"/>
      <c r="AB153" s="499"/>
      <c r="AC153" s="500"/>
      <c r="AD153" s="416"/>
      <c r="AE153" s="316"/>
    </row>
    <row r="154" spans="1:31" s="73" customFormat="1">
      <c r="A154" s="235"/>
      <c r="B154" s="239"/>
      <c r="C154" s="246"/>
      <c r="D154" s="247"/>
      <c r="E154" s="247"/>
      <c r="F154" s="247"/>
      <c r="G154" s="247"/>
      <c r="H154" s="247"/>
      <c r="I154" s="246"/>
      <c r="J154" s="246"/>
      <c r="K154" s="247"/>
      <c r="L154" s="247"/>
      <c r="M154" s="247"/>
      <c r="N154" s="246"/>
      <c r="O154" s="338"/>
      <c r="P154" s="247"/>
      <c r="Q154" s="246"/>
      <c r="R154" s="246"/>
      <c r="S154" s="246"/>
      <c r="T154" s="298"/>
      <c r="U154" s="298"/>
      <c r="V154" s="298"/>
      <c r="W154" s="298"/>
      <c r="X154" s="298"/>
      <c r="Y154" s="298"/>
      <c r="Z154" s="298"/>
      <c r="AA154" s="341"/>
      <c r="AB154" s="501"/>
      <c r="AC154" s="502"/>
      <c r="AD154" s="417"/>
      <c r="AE154" s="316"/>
    </row>
    <row r="155" spans="1:31" s="73" customFormat="1">
      <c r="A155" s="235"/>
      <c r="B155" s="236"/>
      <c r="C155" s="237"/>
      <c r="D155" s="238"/>
      <c r="E155" s="238"/>
      <c r="F155" s="238"/>
      <c r="G155" s="238"/>
      <c r="H155" s="238"/>
      <c r="I155" s="237"/>
      <c r="J155" s="237"/>
      <c r="K155" s="238"/>
      <c r="L155" s="238"/>
      <c r="M155" s="238"/>
      <c r="N155" s="237"/>
      <c r="O155" s="299"/>
      <c r="P155" s="238"/>
      <c r="Q155" s="237"/>
      <c r="R155" s="237"/>
      <c r="S155" s="237"/>
      <c r="T155" s="297"/>
      <c r="U155" s="297"/>
      <c r="V155" s="297"/>
      <c r="W155" s="297"/>
      <c r="X155" s="297"/>
      <c r="Y155" s="297"/>
      <c r="Z155" s="297"/>
      <c r="AA155" s="342"/>
      <c r="AB155" s="499"/>
      <c r="AC155" s="500"/>
      <c r="AD155" s="416"/>
      <c r="AE155" s="316"/>
    </row>
    <row r="156" spans="1:31" s="73" customFormat="1">
      <c r="A156" s="235"/>
      <c r="B156" s="236"/>
      <c r="C156" s="237"/>
      <c r="D156" s="238"/>
      <c r="E156" s="238"/>
      <c r="F156" s="238"/>
      <c r="G156" s="238"/>
      <c r="H156" s="238"/>
      <c r="I156" s="237"/>
      <c r="J156" s="237"/>
      <c r="K156" s="238"/>
      <c r="L156" s="238"/>
      <c r="M156" s="238"/>
      <c r="N156" s="237"/>
      <c r="O156" s="299"/>
      <c r="P156" s="238"/>
      <c r="Q156" s="237"/>
      <c r="R156" s="237"/>
      <c r="S156" s="237"/>
      <c r="T156" s="297"/>
      <c r="U156" s="297"/>
      <c r="V156" s="297"/>
      <c r="W156" s="297"/>
      <c r="X156" s="297"/>
      <c r="Y156" s="297"/>
      <c r="Z156" s="297"/>
      <c r="AA156" s="342"/>
      <c r="AB156" s="499"/>
      <c r="AC156" s="500"/>
      <c r="AD156" s="416"/>
      <c r="AE156" s="316"/>
    </row>
    <row r="157" spans="1:31" s="73" customFormat="1">
      <c r="A157" s="235"/>
      <c r="B157" s="239"/>
      <c r="C157" s="246"/>
      <c r="D157" s="247"/>
      <c r="E157" s="247"/>
      <c r="F157" s="247"/>
      <c r="G157" s="247"/>
      <c r="H157" s="247"/>
      <c r="I157" s="246"/>
      <c r="J157" s="246"/>
      <c r="K157" s="247"/>
      <c r="L157" s="247"/>
      <c r="M157" s="247"/>
      <c r="N157" s="246"/>
      <c r="O157" s="338"/>
      <c r="P157" s="247"/>
      <c r="Q157" s="246"/>
      <c r="R157" s="246"/>
      <c r="S157" s="246"/>
      <c r="T157" s="298"/>
      <c r="U157" s="298"/>
      <c r="V157" s="298"/>
      <c r="W157" s="298"/>
      <c r="X157" s="298"/>
      <c r="Y157" s="298"/>
      <c r="Z157" s="298"/>
      <c r="AA157" s="341"/>
      <c r="AB157" s="501"/>
      <c r="AC157" s="502"/>
      <c r="AD157" s="417"/>
      <c r="AE157" s="316"/>
    </row>
    <row r="158" spans="1:31" s="73" customFormat="1">
      <c r="A158" s="235"/>
      <c r="B158" s="236"/>
      <c r="C158" s="237"/>
      <c r="D158" s="238"/>
      <c r="E158" s="238"/>
      <c r="F158" s="238"/>
      <c r="G158" s="238"/>
      <c r="H158" s="238"/>
      <c r="I158" s="237"/>
      <c r="J158" s="237"/>
      <c r="K158" s="238"/>
      <c r="L158" s="238"/>
      <c r="M158" s="238"/>
      <c r="N158" s="237"/>
      <c r="O158" s="299"/>
      <c r="P158" s="238"/>
      <c r="Q158" s="237"/>
      <c r="R158" s="237"/>
      <c r="S158" s="237"/>
      <c r="T158" s="297"/>
      <c r="U158" s="297"/>
      <c r="V158" s="297"/>
      <c r="W158" s="297"/>
      <c r="X158" s="297"/>
      <c r="Y158" s="297"/>
      <c r="Z158" s="297"/>
      <c r="AA158" s="342"/>
      <c r="AB158" s="499"/>
      <c r="AC158" s="500"/>
      <c r="AD158" s="416"/>
      <c r="AE158" s="316"/>
    </row>
    <row r="159" spans="1:31" s="73" customFormat="1">
      <c r="A159" s="235"/>
      <c r="B159" s="236"/>
      <c r="C159" s="237"/>
      <c r="D159" s="238"/>
      <c r="E159" s="238"/>
      <c r="F159" s="238"/>
      <c r="G159" s="238"/>
      <c r="H159" s="238"/>
      <c r="I159" s="237"/>
      <c r="J159" s="237"/>
      <c r="K159" s="238"/>
      <c r="L159" s="238"/>
      <c r="M159" s="238"/>
      <c r="N159" s="237"/>
      <c r="O159" s="299"/>
      <c r="P159" s="238"/>
      <c r="Q159" s="237"/>
      <c r="R159" s="237"/>
      <c r="S159" s="237"/>
      <c r="T159" s="297"/>
      <c r="U159" s="297"/>
      <c r="V159" s="297"/>
      <c r="W159" s="297"/>
      <c r="X159" s="297"/>
      <c r="Y159" s="297"/>
      <c r="Z159" s="297"/>
      <c r="AA159" s="342"/>
      <c r="AB159" s="499"/>
      <c r="AC159" s="500"/>
      <c r="AD159" s="416"/>
      <c r="AE159" s="316"/>
    </row>
    <row r="160" spans="1:31" s="73" customFormat="1">
      <c r="A160" s="240"/>
      <c r="B160" s="296"/>
      <c r="C160" s="246"/>
      <c r="D160" s="247"/>
      <c r="E160" s="247"/>
      <c r="F160" s="247"/>
      <c r="G160" s="247"/>
      <c r="H160" s="247"/>
      <c r="I160" s="246"/>
      <c r="J160" s="246"/>
      <c r="K160" s="247"/>
      <c r="L160" s="247"/>
      <c r="M160" s="247"/>
      <c r="N160" s="246"/>
      <c r="O160" s="338"/>
      <c r="P160" s="247"/>
      <c r="Q160" s="246"/>
      <c r="R160" s="246"/>
      <c r="S160" s="246"/>
      <c r="T160" s="298"/>
      <c r="U160" s="298"/>
      <c r="V160" s="298"/>
      <c r="W160" s="298"/>
      <c r="X160" s="298"/>
      <c r="Y160" s="298"/>
      <c r="Z160" s="298"/>
      <c r="AA160" s="341"/>
      <c r="AB160" s="499"/>
      <c r="AC160" s="500"/>
      <c r="AD160" s="417"/>
      <c r="AE160" s="316"/>
    </row>
    <row r="161" spans="1:31" s="73" customFormat="1">
      <c r="A161" s="324"/>
      <c r="B161" s="322"/>
      <c r="C161" s="319"/>
      <c r="D161" s="323"/>
      <c r="E161" s="323"/>
      <c r="F161" s="323"/>
      <c r="G161" s="323"/>
      <c r="H161" s="323"/>
      <c r="I161" s="319"/>
      <c r="J161" s="319"/>
      <c r="K161" s="323"/>
      <c r="L161" s="323"/>
      <c r="M161" s="323"/>
      <c r="N161" s="319"/>
      <c r="O161" s="319"/>
      <c r="P161" s="323"/>
      <c r="Q161" s="319"/>
      <c r="R161" s="319"/>
      <c r="S161" s="319"/>
      <c r="T161" s="331"/>
      <c r="U161" s="331"/>
      <c r="V161" s="331"/>
      <c r="W161" s="331"/>
      <c r="X161" s="331"/>
      <c r="Y161" s="331"/>
      <c r="Z161" s="331"/>
      <c r="AA161" s="339"/>
      <c r="AB161" s="494"/>
      <c r="AC161" s="497"/>
      <c r="AD161" s="416"/>
      <c r="AE161" s="316"/>
    </row>
    <row r="162" spans="1:31" s="73" customFormat="1">
      <c r="A162" s="235"/>
      <c r="B162" s="236"/>
      <c r="C162" s="237"/>
      <c r="D162" s="238"/>
      <c r="E162" s="238"/>
      <c r="F162" s="238"/>
      <c r="G162" s="238"/>
      <c r="H162" s="238"/>
      <c r="I162" s="237"/>
      <c r="J162" s="237"/>
      <c r="K162" s="238"/>
      <c r="L162" s="238"/>
      <c r="M162" s="238"/>
      <c r="N162" s="237"/>
      <c r="O162" s="237"/>
      <c r="P162" s="238"/>
      <c r="Q162" s="237"/>
      <c r="R162" s="237"/>
      <c r="S162" s="237"/>
      <c r="T162" s="297"/>
      <c r="U162" s="297"/>
      <c r="V162" s="297"/>
      <c r="W162" s="297"/>
      <c r="X162" s="297"/>
      <c r="Y162" s="297"/>
      <c r="Z162" s="297"/>
      <c r="AA162" s="340"/>
      <c r="AB162" s="499"/>
      <c r="AC162" s="500"/>
      <c r="AD162" s="416"/>
      <c r="AE162" s="316"/>
    </row>
    <row r="163" spans="1:31" s="73" customFormat="1">
      <c r="A163" s="235"/>
      <c r="B163" s="239"/>
      <c r="C163" s="246"/>
      <c r="D163" s="247"/>
      <c r="E163" s="247"/>
      <c r="F163" s="247"/>
      <c r="G163" s="247"/>
      <c r="H163" s="247"/>
      <c r="I163" s="246"/>
      <c r="J163" s="246"/>
      <c r="K163" s="247"/>
      <c r="L163" s="247"/>
      <c r="M163" s="247"/>
      <c r="N163" s="246"/>
      <c r="O163" s="338"/>
      <c r="P163" s="247"/>
      <c r="Q163" s="246"/>
      <c r="R163" s="246"/>
      <c r="S163" s="246"/>
      <c r="T163" s="298"/>
      <c r="U163" s="298"/>
      <c r="V163" s="298"/>
      <c r="W163" s="298"/>
      <c r="X163" s="298"/>
      <c r="Y163" s="298"/>
      <c r="Z163" s="298"/>
      <c r="AA163" s="341"/>
      <c r="AB163" s="501"/>
      <c r="AC163" s="502"/>
      <c r="AD163" s="417"/>
      <c r="AE163" s="316"/>
    </row>
    <row r="164" spans="1:31" s="73" customFormat="1">
      <c r="A164" s="235"/>
      <c r="B164" s="236"/>
      <c r="C164" s="237"/>
      <c r="D164" s="238"/>
      <c r="E164" s="238"/>
      <c r="F164" s="238"/>
      <c r="G164" s="238"/>
      <c r="H164" s="238"/>
      <c r="I164" s="237"/>
      <c r="J164" s="237"/>
      <c r="K164" s="238"/>
      <c r="L164" s="238"/>
      <c r="M164" s="238"/>
      <c r="N164" s="237"/>
      <c r="O164" s="299"/>
      <c r="P164" s="238"/>
      <c r="Q164" s="237"/>
      <c r="R164" s="237"/>
      <c r="S164" s="237"/>
      <c r="T164" s="297"/>
      <c r="U164" s="297"/>
      <c r="V164" s="297"/>
      <c r="W164" s="297"/>
      <c r="X164" s="297"/>
      <c r="Y164" s="297"/>
      <c r="Z164" s="297"/>
      <c r="AA164" s="342"/>
      <c r="AB164" s="499"/>
      <c r="AC164" s="500"/>
      <c r="AD164" s="416"/>
      <c r="AE164" s="316"/>
    </row>
    <row r="165" spans="1:31" s="73" customFormat="1">
      <c r="A165" s="235"/>
      <c r="B165" s="236"/>
      <c r="C165" s="237"/>
      <c r="D165" s="238"/>
      <c r="E165" s="238"/>
      <c r="F165" s="238"/>
      <c r="G165" s="238"/>
      <c r="H165" s="238"/>
      <c r="I165" s="237"/>
      <c r="J165" s="237"/>
      <c r="K165" s="238"/>
      <c r="L165" s="238"/>
      <c r="M165" s="238"/>
      <c r="N165" s="237"/>
      <c r="O165" s="299"/>
      <c r="P165" s="238"/>
      <c r="Q165" s="237"/>
      <c r="R165" s="237"/>
      <c r="S165" s="237"/>
      <c r="T165" s="297"/>
      <c r="U165" s="297"/>
      <c r="V165" s="297"/>
      <c r="W165" s="297"/>
      <c r="X165" s="297"/>
      <c r="Y165" s="297"/>
      <c r="Z165" s="297"/>
      <c r="AA165" s="342"/>
      <c r="AB165" s="499"/>
      <c r="AC165" s="500"/>
      <c r="AD165" s="416"/>
      <c r="AE165" s="316"/>
    </row>
    <row r="166" spans="1:31" s="73" customFormat="1">
      <c r="A166" s="235"/>
      <c r="B166" s="239"/>
      <c r="C166" s="246"/>
      <c r="D166" s="247"/>
      <c r="E166" s="247"/>
      <c r="F166" s="247"/>
      <c r="G166" s="247"/>
      <c r="H166" s="247"/>
      <c r="I166" s="246"/>
      <c r="J166" s="246"/>
      <c r="K166" s="247"/>
      <c r="L166" s="247"/>
      <c r="M166" s="247"/>
      <c r="N166" s="246"/>
      <c r="O166" s="338"/>
      <c r="P166" s="247"/>
      <c r="Q166" s="246"/>
      <c r="R166" s="246"/>
      <c r="S166" s="246"/>
      <c r="T166" s="298"/>
      <c r="U166" s="298"/>
      <c r="V166" s="298"/>
      <c r="W166" s="298"/>
      <c r="X166" s="298"/>
      <c r="Y166" s="298"/>
      <c r="Z166" s="298"/>
      <c r="AA166" s="341"/>
      <c r="AB166" s="501"/>
      <c r="AC166" s="502"/>
      <c r="AD166" s="417"/>
      <c r="AE166" s="316"/>
    </row>
    <row r="167" spans="1:31" s="73" customFormat="1">
      <c r="A167" s="235"/>
      <c r="B167" s="236"/>
      <c r="C167" s="237"/>
      <c r="D167" s="238"/>
      <c r="E167" s="238"/>
      <c r="F167" s="238"/>
      <c r="G167" s="238"/>
      <c r="H167" s="238"/>
      <c r="I167" s="237"/>
      <c r="J167" s="237"/>
      <c r="K167" s="238"/>
      <c r="L167" s="238"/>
      <c r="M167" s="238"/>
      <c r="N167" s="237"/>
      <c r="O167" s="299"/>
      <c r="P167" s="238"/>
      <c r="Q167" s="237"/>
      <c r="R167" s="237"/>
      <c r="S167" s="237"/>
      <c r="T167" s="297"/>
      <c r="U167" s="297"/>
      <c r="V167" s="297"/>
      <c r="W167" s="297"/>
      <c r="X167" s="297"/>
      <c r="Y167" s="297"/>
      <c r="Z167" s="297"/>
      <c r="AA167" s="342"/>
      <c r="AB167" s="499"/>
      <c r="AC167" s="500"/>
      <c r="AD167" s="416"/>
      <c r="AE167" s="316"/>
    </row>
    <row r="168" spans="1:31" s="73" customFormat="1">
      <c r="A168" s="235"/>
      <c r="B168" s="236"/>
      <c r="C168" s="237"/>
      <c r="D168" s="238"/>
      <c r="E168" s="238"/>
      <c r="F168" s="238"/>
      <c r="G168" s="238"/>
      <c r="H168" s="238"/>
      <c r="I168" s="237"/>
      <c r="J168" s="237"/>
      <c r="K168" s="238"/>
      <c r="L168" s="238"/>
      <c r="M168" s="238"/>
      <c r="N168" s="237"/>
      <c r="O168" s="299"/>
      <c r="P168" s="238"/>
      <c r="Q168" s="237"/>
      <c r="R168" s="237"/>
      <c r="S168" s="237"/>
      <c r="T168" s="297"/>
      <c r="U168" s="297"/>
      <c r="V168" s="297"/>
      <c r="W168" s="297"/>
      <c r="X168" s="297"/>
      <c r="Y168" s="297"/>
      <c r="Z168" s="297"/>
      <c r="AA168" s="342"/>
      <c r="AB168" s="499"/>
      <c r="AC168" s="500"/>
      <c r="AD168" s="416"/>
      <c r="AE168" s="316"/>
    </row>
    <row r="169" spans="1:31" s="73" customFormat="1">
      <c r="A169" s="235"/>
      <c r="B169" s="239"/>
      <c r="C169" s="246"/>
      <c r="D169" s="247"/>
      <c r="E169" s="247"/>
      <c r="F169" s="247"/>
      <c r="G169" s="458"/>
      <c r="H169" s="247"/>
      <c r="I169" s="246"/>
      <c r="J169" s="246"/>
      <c r="K169" s="247"/>
      <c r="L169" s="247"/>
      <c r="M169" s="247"/>
      <c r="N169" s="246"/>
      <c r="O169" s="338"/>
      <c r="P169" s="247"/>
      <c r="Q169" s="246"/>
      <c r="R169" s="246"/>
      <c r="S169" s="246"/>
      <c r="T169" s="298"/>
      <c r="U169" s="298"/>
      <c r="V169" s="298"/>
      <c r="W169" s="298"/>
      <c r="X169" s="298"/>
      <c r="Y169" s="298"/>
      <c r="Z169" s="298"/>
      <c r="AA169" s="341"/>
      <c r="AB169" s="501"/>
      <c r="AC169" s="502"/>
      <c r="AD169" s="417"/>
      <c r="AE169" s="316"/>
    </row>
    <row r="170" spans="1:31" s="73" customFormat="1">
      <c r="A170" s="235"/>
      <c r="B170" s="236"/>
      <c r="C170" s="237"/>
      <c r="D170" s="238"/>
      <c r="E170" s="238"/>
      <c r="F170" s="238"/>
      <c r="G170" s="238"/>
      <c r="H170" s="238"/>
      <c r="I170" s="237"/>
      <c r="J170" s="237"/>
      <c r="K170" s="238"/>
      <c r="L170" s="238"/>
      <c r="M170" s="238"/>
      <c r="N170" s="237"/>
      <c r="O170" s="299"/>
      <c r="P170" s="238"/>
      <c r="Q170" s="237"/>
      <c r="R170" s="237"/>
      <c r="S170" s="237"/>
      <c r="T170" s="297"/>
      <c r="U170" s="297"/>
      <c r="V170" s="297"/>
      <c r="W170" s="297"/>
      <c r="X170" s="297"/>
      <c r="Y170" s="297"/>
      <c r="Z170" s="297"/>
      <c r="AA170" s="342"/>
      <c r="AB170" s="499"/>
      <c r="AC170" s="500"/>
      <c r="AD170" s="416"/>
      <c r="AE170" s="316"/>
    </row>
    <row r="171" spans="1:31" s="73" customFormat="1">
      <c r="A171" s="235"/>
      <c r="B171" s="236"/>
      <c r="C171" s="237"/>
      <c r="D171" s="238"/>
      <c r="E171" s="238"/>
      <c r="F171" s="238"/>
      <c r="G171" s="238"/>
      <c r="H171" s="238"/>
      <c r="I171" s="237"/>
      <c r="J171" s="237"/>
      <c r="K171" s="238"/>
      <c r="L171" s="238"/>
      <c r="M171" s="238"/>
      <c r="N171" s="237"/>
      <c r="O171" s="299"/>
      <c r="P171" s="238"/>
      <c r="Q171" s="237"/>
      <c r="R171" s="237"/>
      <c r="S171" s="237"/>
      <c r="T171" s="297"/>
      <c r="U171" s="297"/>
      <c r="V171" s="297"/>
      <c r="W171" s="297"/>
      <c r="X171" s="297"/>
      <c r="Y171" s="297"/>
      <c r="Z171" s="297"/>
      <c r="AA171" s="342"/>
      <c r="AB171" s="499"/>
      <c r="AC171" s="500"/>
      <c r="AD171" s="416"/>
      <c r="AE171" s="316"/>
    </row>
    <row r="172" spans="1:31" s="73" customFormat="1">
      <c r="A172" s="240"/>
      <c r="B172" s="296"/>
      <c r="C172" s="246"/>
      <c r="D172" s="247"/>
      <c r="E172" s="247"/>
      <c r="F172" s="247"/>
      <c r="G172" s="247"/>
      <c r="H172" s="247"/>
      <c r="I172" s="246"/>
      <c r="J172" s="246"/>
      <c r="K172" s="247"/>
      <c r="L172" s="247"/>
      <c r="M172" s="247"/>
      <c r="N172" s="246"/>
      <c r="O172" s="338"/>
      <c r="P172" s="247"/>
      <c r="Q172" s="246"/>
      <c r="R172" s="246"/>
      <c r="S172" s="246"/>
      <c r="T172" s="298"/>
      <c r="U172" s="298"/>
      <c r="V172" s="298"/>
      <c r="W172" s="298"/>
      <c r="X172" s="298"/>
      <c r="Y172" s="298"/>
      <c r="Z172" s="298"/>
      <c r="AA172" s="341"/>
      <c r="AB172" s="499"/>
      <c r="AC172" s="500"/>
      <c r="AD172" s="417"/>
      <c r="AE172" s="316"/>
    </row>
    <row r="173" spans="1:31" s="73" customFormat="1">
      <c r="A173" s="324"/>
      <c r="B173" s="322"/>
      <c r="C173" s="319"/>
      <c r="D173" s="323"/>
      <c r="E173" s="323"/>
      <c r="F173" s="323"/>
      <c r="G173" s="323"/>
      <c r="H173" s="323"/>
      <c r="I173" s="319"/>
      <c r="J173" s="319"/>
      <c r="K173" s="323"/>
      <c r="L173" s="323"/>
      <c r="M173" s="323"/>
      <c r="N173" s="319"/>
      <c r="O173" s="319"/>
      <c r="P173" s="323"/>
      <c r="Q173" s="319"/>
      <c r="R173" s="319"/>
      <c r="S173" s="319"/>
      <c r="T173" s="331"/>
      <c r="U173" s="331"/>
      <c r="V173" s="331"/>
      <c r="W173" s="331"/>
      <c r="X173" s="331"/>
      <c r="Y173" s="331"/>
      <c r="Z173" s="331"/>
      <c r="AA173" s="339"/>
      <c r="AB173" s="494"/>
      <c r="AC173" s="497"/>
      <c r="AD173" s="416"/>
      <c r="AE173" s="316"/>
    </row>
    <row r="174" spans="1:31" s="73" customFormat="1">
      <c r="A174" s="235"/>
      <c r="B174" s="236"/>
      <c r="C174" s="237"/>
      <c r="D174" s="238"/>
      <c r="E174" s="238"/>
      <c r="F174" s="238"/>
      <c r="G174" s="238"/>
      <c r="H174" s="238"/>
      <c r="I174" s="237"/>
      <c r="J174" s="237"/>
      <c r="K174" s="238"/>
      <c r="L174" s="238"/>
      <c r="M174" s="238"/>
      <c r="N174" s="237"/>
      <c r="O174" s="237"/>
      <c r="P174" s="238"/>
      <c r="Q174" s="237"/>
      <c r="R174" s="237"/>
      <c r="S174" s="237"/>
      <c r="T174" s="297"/>
      <c r="U174" s="297"/>
      <c r="V174" s="297"/>
      <c r="W174" s="297"/>
      <c r="X174" s="297"/>
      <c r="Y174" s="297"/>
      <c r="Z174" s="297"/>
      <c r="AA174" s="340"/>
      <c r="AB174" s="499"/>
      <c r="AC174" s="500"/>
      <c r="AD174" s="416"/>
      <c r="AE174" s="316"/>
    </row>
    <row r="175" spans="1:31" s="73" customFormat="1">
      <c r="A175" s="235"/>
      <c r="B175" s="239"/>
      <c r="C175" s="246"/>
      <c r="D175" s="247"/>
      <c r="E175" s="247"/>
      <c r="F175" s="247"/>
      <c r="G175" s="247"/>
      <c r="H175" s="247"/>
      <c r="I175" s="246"/>
      <c r="J175" s="246"/>
      <c r="K175" s="247"/>
      <c r="L175" s="247"/>
      <c r="M175" s="247"/>
      <c r="N175" s="246"/>
      <c r="O175" s="338"/>
      <c r="P175" s="247"/>
      <c r="Q175" s="246"/>
      <c r="R175" s="246"/>
      <c r="S175" s="246"/>
      <c r="T175" s="298"/>
      <c r="U175" s="298"/>
      <c r="V175" s="298"/>
      <c r="W175" s="298"/>
      <c r="X175" s="298"/>
      <c r="Y175" s="298"/>
      <c r="Z175" s="298"/>
      <c r="AA175" s="341"/>
      <c r="AB175" s="501"/>
      <c r="AC175" s="502"/>
      <c r="AD175" s="417"/>
      <c r="AE175" s="316"/>
    </row>
    <row r="176" spans="1:31" s="73" customFormat="1">
      <c r="A176" s="235"/>
      <c r="B176" s="236"/>
      <c r="C176" s="237"/>
      <c r="D176" s="238"/>
      <c r="E176" s="238"/>
      <c r="F176" s="238"/>
      <c r="G176" s="238"/>
      <c r="H176" s="238"/>
      <c r="I176" s="237"/>
      <c r="J176" s="237"/>
      <c r="K176" s="238"/>
      <c r="L176" s="238"/>
      <c r="M176" s="238"/>
      <c r="N176" s="237"/>
      <c r="O176" s="299"/>
      <c r="P176" s="238"/>
      <c r="Q176" s="237"/>
      <c r="R176" s="237"/>
      <c r="S176" s="237"/>
      <c r="T176" s="297"/>
      <c r="U176" s="297"/>
      <c r="V176" s="297"/>
      <c r="W176" s="297"/>
      <c r="X176" s="297"/>
      <c r="Y176" s="297"/>
      <c r="Z176" s="297"/>
      <c r="AA176" s="342"/>
      <c r="AB176" s="499"/>
      <c r="AC176" s="500"/>
      <c r="AD176" s="416"/>
      <c r="AE176" s="316"/>
    </row>
    <row r="177" spans="1:33" s="73" customFormat="1">
      <c r="A177" s="235"/>
      <c r="B177" s="236"/>
      <c r="C177" s="237"/>
      <c r="D177" s="238"/>
      <c r="E177" s="238"/>
      <c r="F177" s="238"/>
      <c r="G177" s="238"/>
      <c r="H177" s="238"/>
      <c r="I177" s="237"/>
      <c r="J177" s="237"/>
      <c r="K177" s="238"/>
      <c r="L177" s="238"/>
      <c r="M177" s="238"/>
      <c r="N177" s="237"/>
      <c r="O177" s="299"/>
      <c r="P177" s="238"/>
      <c r="Q177" s="237"/>
      <c r="R177" s="237"/>
      <c r="S177" s="237"/>
      <c r="T177" s="297"/>
      <c r="U177" s="297"/>
      <c r="V177" s="297"/>
      <c r="W177" s="297"/>
      <c r="X177" s="297"/>
      <c r="Y177" s="297"/>
      <c r="Z177" s="297"/>
      <c r="AA177" s="342"/>
      <c r="AB177" s="499"/>
      <c r="AC177" s="500"/>
      <c r="AD177" s="416"/>
      <c r="AE177" s="316"/>
    </row>
    <row r="178" spans="1:33" s="73" customFormat="1">
      <c r="A178" s="235"/>
      <c r="B178" s="239"/>
      <c r="C178" s="246"/>
      <c r="D178" s="247"/>
      <c r="E178" s="247"/>
      <c r="F178" s="247"/>
      <c r="G178" s="247"/>
      <c r="H178" s="247"/>
      <c r="I178" s="246"/>
      <c r="J178" s="246"/>
      <c r="K178" s="247"/>
      <c r="L178" s="247"/>
      <c r="M178" s="247"/>
      <c r="N178" s="246"/>
      <c r="O178" s="338"/>
      <c r="P178" s="247"/>
      <c r="Q178" s="246"/>
      <c r="R178" s="246"/>
      <c r="S178" s="246"/>
      <c r="T178" s="298"/>
      <c r="U178" s="298"/>
      <c r="V178" s="298"/>
      <c r="W178" s="298"/>
      <c r="X178" s="298"/>
      <c r="Y178" s="298"/>
      <c r="Z178" s="298"/>
      <c r="AA178" s="341"/>
      <c r="AB178" s="501"/>
      <c r="AC178" s="502"/>
      <c r="AD178" s="417"/>
      <c r="AE178" s="316"/>
    </row>
    <row r="179" spans="1:33" s="73" customFormat="1">
      <c r="A179" s="235"/>
      <c r="B179" s="236"/>
      <c r="C179" s="237"/>
      <c r="D179" s="238"/>
      <c r="E179" s="238"/>
      <c r="F179" s="238"/>
      <c r="G179" s="238"/>
      <c r="H179" s="238"/>
      <c r="I179" s="237"/>
      <c r="J179" s="237"/>
      <c r="K179" s="238"/>
      <c r="L179" s="238"/>
      <c r="M179" s="238"/>
      <c r="N179" s="237"/>
      <c r="O179" s="299"/>
      <c r="P179" s="238"/>
      <c r="Q179" s="237"/>
      <c r="R179" s="237"/>
      <c r="S179" s="237"/>
      <c r="T179" s="297"/>
      <c r="U179" s="297"/>
      <c r="V179" s="297"/>
      <c r="W179" s="297"/>
      <c r="X179" s="297"/>
      <c r="Y179" s="297"/>
      <c r="Z179" s="297"/>
      <c r="AA179" s="342"/>
      <c r="AB179" s="499"/>
      <c r="AC179" s="500"/>
      <c r="AD179" s="416"/>
      <c r="AE179" s="316"/>
    </row>
    <row r="180" spans="1:33" s="73" customFormat="1">
      <c r="A180" s="235"/>
      <c r="B180" s="236"/>
      <c r="C180" s="237"/>
      <c r="D180" s="238"/>
      <c r="E180" s="238"/>
      <c r="F180" s="238"/>
      <c r="G180" s="238"/>
      <c r="H180" s="238"/>
      <c r="I180" s="237"/>
      <c r="J180" s="237"/>
      <c r="K180" s="238"/>
      <c r="L180" s="238"/>
      <c r="M180" s="238"/>
      <c r="N180" s="237"/>
      <c r="O180" s="299"/>
      <c r="P180" s="238"/>
      <c r="Q180" s="237"/>
      <c r="R180" s="237"/>
      <c r="S180" s="237"/>
      <c r="T180" s="297"/>
      <c r="U180" s="297"/>
      <c r="V180" s="297"/>
      <c r="W180" s="297"/>
      <c r="X180" s="297"/>
      <c r="Y180" s="297"/>
      <c r="Z180" s="297"/>
      <c r="AA180" s="342"/>
      <c r="AB180" s="499"/>
      <c r="AC180" s="500"/>
      <c r="AD180" s="416"/>
      <c r="AE180" s="316"/>
    </row>
    <row r="181" spans="1:33" s="73" customFormat="1">
      <c r="A181" s="235"/>
      <c r="B181" s="239"/>
      <c r="C181" s="246"/>
      <c r="D181" s="247"/>
      <c r="E181" s="247"/>
      <c r="F181" s="247"/>
      <c r="G181" s="247"/>
      <c r="H181" s="247"/>
      <c r="I181" s="246"/>
      <c r="J181" s="246"/>
      <c r="K181" s="247"/>
      <c r="L181" s="247"/>
      <c r="M181" s="247"/>
      <c r="N181" s="246"/>
      <c r="O181" s="338"/>
      <c r="P181" s="247"/>
      <c r="Q181" s="246"/>
      <c r="R181" s="246"/>
      <c r="S181" s="246"/>
      <c r="T181" s="298"/>
      <c r="U181" s="298"/>
      <c r="V181" s="298"/>
      <c r="W181" s="298"/>
      <c r="X181" s="298"/>
      <c r="Y181" s="298"/>
      <c r="Z181" s="298"/>
      <c r="AA181" s="341"/>
      <c r="AB181" s="501"/>
      <c r="AC181" s="502"/>
      <c r="AD181" s="417"/>
      <c r="AE181" s="316"/>
      <c r="AF181" s="211"/>
      <c r="AG181" s="294"/>
    </row>
    <row r="182" spans="1:33" s="73" customFormat="1">
      <c r="A182" s="235"/>
      <c r="B182" s="236"/>
      <c r="C182" s="237"/>
      <c r="D182" s="238"/>
      <c r="E182" s="238"/>
      <c r="F182" s="238"/>
      <c r="G182" s="238"/>
      <c r="H182" s="238"/>
      <c r="I182" s="237"/>
      <c r="J182" s="237"/>
      <c r="K182" s="238"/>
      <c r="L182" s="238"/>
      <c r="M182" s="238"/>
      <c r="N182" s="237"/>
      <c r="O182" s="299"/>
      <c r="P182" s="238"/>
      <c r="Q182" s="237"/>
      <c r="R182" s="237"/>
      <c r="S182" s="237"/>
      <c r="T182" s="297"/>
      <c r="U182" s="297"/>
      <c r="V182" s="297"/>
      <c r="W182" s="297"/>
      <c r="X182" s="297"/>
      <c r="Y182" s="297"/>
      <c r="Z182" s="297"/>
      <c r="AA182" s="342"/>
      <c r="AB182" s="499"/>
      <c r="AC182" s="500"/>
      <c r="AD182" s="416"/>
      <c r="AE182" s="316"/>
      <c r="AF182" s="419"/>
    </row>
    <row r="183" spans="1:33" s="73" customFormat="1">
      <c r="A183" s="235"/>
      <c r="B183" s="236"/>
      <c r="C183" s="237"/>
      <c r="D183" s="238"/>
      <c r="E183" s="238"/>
      <c r="F183" s="238"/>
      <c r="G183" s="238"/>
      <c r="H183" s="238"/>
      <c r="I183" s="237"/>
      <c r="J183" s="237"/>
      <c r="K183" s="238"/>
      <c r="L183" s="238"/>
      <c r="M183" s="238"/>
      <c r="N183" s="237"/>
      <c r="O183" s="299"/>
      <c r="P183" s="238"/>
      <c r="Q183" s="237"/>
      <c r="R183" s="237"/>
      <c r="S183" s="237"/>
      <c r="T183" s="297"/>
      <c r="U183" s="297"/>
      <c r="V183" s="297"/>
      <c r="W183" s="297"/>
      <c r="X183" s="297"/>
      <c r="Y183" s="297"/>
      <c r="Z183" s="297"/>
      <c r="AA183" s="342"/>
      <c r="AB183" s="499"/>
      <c r="AC183" s="500"/>
      <c r="AD183" s="416"/>
      <c r="AE183" s="316"/>
      <c r="AF183" s="419"/>
    </row>
    <row r="184" spans="1:33" s="73" customFormat="1">
      <c r="A184" s="240"/>
      <c r="B184" s="296"/>
      <c r="C184" s="246"/>
      <c r="D184" s="247"/>
      <c r="E184" s="247"/>
      <c r="F184" s="247"/>
      <c r="G184" s="247"/>
      <c r="H184" s="247"/>
      <c r="I184" s="246"/>
      <c r="J184" s="246"/>
      <c r="K184" s="247"/>
      <c r="L184" s="247"/>
      <c r="M184" s="247"/>
      <c r="N184" s="246"/>
      <c r="O184" s="338"/>
      <c r="P184" s="247"/>
      <c r="Q184" s="246"/>
      <c r="R184" s="246"/>
      <c r="S184" s="246"/>
      <c r="T184" s="298"/>
      <c r="U184" s="298"/>
      <c r="V184" s="298"/>
      <c r="W184" s="298"/>
      <c r="X184" s="298"/>
      <c r="Y184" s="298"/>
      <c r="Z184" s="298"/>
      <c r="AA184" s="341"/>
      <c r="AB184" s="499"/>
      <c r="AC184" s="500"/>
      <c r="AD184" s="417"/>
      <c r="AE184" s="316"/>
      <c r="AF184" s="418"/>
      <c r="AG184" s="211"/>
    </row>
    <row r="185" spans="1:33" s="73" customFormat="1">
      <c r="A185" s="324"/>
      <c r="B185" s="322"/>
      <c r="C185" s="319"/>
      <c r="D185" s="323"/>
      <c r="E185" s="323"/>
      <c r="F185" s="323"/>
      <c r="G185" s="323"/>
      <c r="H185" s="323"/>
      <c r="I185" s="319"/>
      <c r="J185" s="319"/>
      <c r="K185" s="323"/>
      <c r="L185" s="323"/>
      <c r="M185" s="323"/>
      <c r="N185" s="319"/>
      <c r="O185" s="319"/>
      <c r="P185" s="323"/>
      <c r="Q185" s="319"/>
      <c r="R185" s="319"/>
      <c r="S185" s="319"/>
      <c r="T185" s="331"/>
      <c r="U185" s="331"/>
      <c r="V185" s="331"/>
      <c r="W185" s="331"/>
      <c r="X185" s="331"/>
      <c r="Y185" s="331"/>
      <c r="Z185" s="331"/>
      <c r="AA185" s="339"/>
      <c r="AB185" s="494"/>
      <c r="AC185" s="497"/>
      <c r="AD185" s="416"/>
      <c r="AE185" s="316"/>
    </row>
    <row r="186" spans="1:33" s="73" customFormat="1">
      <c r="A186" s="235"/>
      <c r="B186" s="236"/>
      <c r="C186" s="237"/>
      <c r="D186" s="238"/>
      <c r="E186" s="238"/>
      <c r="F186" s="238"/>
      <c r="G186" s="238"/>
      <c r="H186" s="238"/>
      <c r="I186" s="237"/>
      <c r="J186" s="237"/>
      <c r="K186" s="238"/>
      <c r="L186" s="238"/>
      <c r="M186" s="238"/>
      <c r="N186" s="237"/>
      <c r="O186" s="237"/>
      <c r="P186" s="238"/>
      <c r="Q186" s="237"/>
      <c r="R186" s="237"/>
      <c r="S186" s="237"/>
      <c r="T186" s="297"/>
      <c r="U186" s="297"/>
      <c r="V186" s="297"/>
      <c r="W186" s="297"/>
      <c r="X186" s="297"/>
      <c r="Y186" s="297"/>
      <c r="Z186" s="297"/>
      <c r="AA186" s="340"/>
      <c r="AB186" s="499"/>
      <c r="AC186" s="500"/>
      <c r="AD186" s="416"/>
      <c r="AE186" s="316"/>
    </row>
    <row r="187" spans="1:33" s="73" customFormat="1">
      <c r="A187" s="235"/>
      <c r="B187" s="239"/>
      <c r="C187" s="246"/>
      <c r="D187" s="247"/>
      <c r="E187" s="247"/>
      <c r="F187" s="247"/>
      <c r="G187" s="247"/>
      <c r="H187" s="247"/>
      <c r="I187" s="246"/>
      <c r="J187" s="246"/>
      <c r="K187" s="247"/>
      <c r="L187" s="458"/>
      <c r="M187" s="247"/>
      <c r="N187" s="246"/>
      <c r="O187" s="338"/>
      <c r="P187" s="247"/>
      <c r="Q187" s="246"/>
      <c r="R187" s="246"/>
      <c r="S187" s="246"/>
      <c r="T187" s="298"/>
      <c r="U187" s="298"/>
      <c r="V187" s="298"/>
      <c r="W187" s="298"/>
      <c r="X187" s="298"/>
      <c r="Y187" s="298"/>
      <c r="Z187" s="298"/>
      <c r="AA187" s="341"/>
      <c r="AB187" s="501"/>
      <c r="AC187" s="502"/>
      <c r="AD187" s="417"/>
      <c r="AE187" s="316"/>
    </row>
    <row r="188" spans="1:33" s="73" customFormat="1">
      <c r="A188" s="235"/>
      <c r="B188" s="236"/>
      <c r="C188" s="237"/>
      <c r="D188" s="238"/>
      <c r="E188" s="238"/>
      <c r="F188" s="238"/>
      <c r="G188" s="238"/>
      <c r="H188" s="238"/>
      <c r="I188" s="237"/>
      <c r="J188" s="237"/>
      <c r="K188" s="238"/>
      <c r="L188" s="238"/>
      <c r="M188" s="238"/>
      <c r="N188" s="237"/>
      <c r="O188" s="299"/>
      <c r="P188" s="238"/>
      <c r="Q188" s="237"/>
      <c r="R188" s="237"/>
      <c r="S188" s="237"/>
      <c r="T188" s="297"/>
      <c r="U188" s="297"/>
      <c r="V188" s="297"/>
      <c r="W188" s="297"/>
      <c r="X188" s="297"/>
      <c r="Y188" s="297"/>
      <c r="Z188" s="297"/>
      <c r="AA188" s="342"/>
      <c r="AB188" s="499"/>
      <c r="AC188" s="500"/>
      <c r="AD188" s="416"/>
      <c r="AE188" s="316"/>
    </row>
    <row r="189" spans="1:33" s="73" customFormat="1">
      <c r="A189" s="235"/>
      <c r="B189" s="236"/>
      <c r="C189" s="237"/>
      <c r="D189" s="238"/>
      <c r="E189" s="238"/>
      <c r="F189" s="238"/>
      <c r="G189" s="238"/>
      <c r="H189" s="238"/>
      <c r="I189" s="237"/>
      <c r="J189" s="237"/>
      <c r="K189" s="238"/>
      <c r="L189" s="238"/>
      <c r="M189" s="238"/>
      <c r="N189" s="237"/>
      <c r="O189" s="299"/>
      <c r="P189" s="238"/>
      <c r="Q189" s="237"/>
      <c r="R189" s="237"/>
      <c r="S189" s="237"/>
      <c r="T189" s="297"/>
      <c r="U189" s="297"/>
      <c r="V189" s="297"/>
      <c r="W189" s="297"/>
      <c r="X189" s="297"/>
      <c r="Y189" s="297"/>
      <c r="Z189" s="297"/>
      <c r="AA189" s="342"/>
      <c r="AB189" s="499"/>
      <c r="AC189" s="500"/>
      <c r="AD189" s="416"/>
      <c r="AE189" s="316"/>
    </row>
    <row r="190" spans="1:33" s="73" customFormat="1">
      <c r="A190" s="235"/>
      <c r="B190" s="239"/>
      <c r="C190" s="246"/>
      <c r="D190" s="247"/>
      <c r="E190" s="247"/>
      <c r="F190" s="247"/>
      <c r="G190" s="247"/>
      <c r="H190" s="247"/>
      <c r="I190" s="246"/>
      <c r="J190" s="246"/>
      <c r="K190" s="247"/>
      <c r="L190" s="247"/>
      <c r="M190" s="247"/>
      <c r="N190" s="246"/>
      <c r="O190" s="338"/>
      <c r="P190" s="247"/>
      <c r="Q190" s="246"/>
      <c r="R190" s="246"/>
      <c r="S190" s="246"/>
      <c r="T190" s="298"/>
      <c r="U190" s="298"/>
      <c r="V190" s="298"/>
      <c r="W190" s="298"/>
      <c r="X190" s="298"/>
      <c r="Y190" s="298"/>
      <c r="Z190" s="298"/>
      <c r="AA190" s="341"/>
      <c r="AB190" s="501"/>
      <c r="AC190" s="502"/>
      <c r="AD190" s="417"/>
      <c r="AE190" s="316"/>
    </row>
    <row r="191" spans="1:33" s="73" customFormat="1">
      <c r="A191" s="235"/>
      <c r="B191" s="236"/>
      <c r="C191" s="237"/>
      <c r="D191" s="238"/>
      <c r="E191" s="238"/>
      <c r="F191" s="238"/>
      <c r="G191" s="238"/>
      <c r="H191" s="238"/>
      <c r="I191" s="237"/>
      <c r="J191" s="237"/>
      <c r="K191" s="238"/>
      <c r="L191" s="238"/>
      <c r="M191" s="238"/>
      <c r="N191" s="237"/>
      <c r="O191" s="299"/>
      <c r="P191" s="238"/>
      <c r="Q191" s="237"/>
      <c r="R191" s="237"/>
      <c r="S191" s="237"/>
      <c r="T191" s="297"/>
      <c r="U191" s="297"/>
      <c r="V191" s="297"/>
      <c r="W191" s="297"/>
      <c r="X191" s="297"/>
      <c r="Y191" s="297"/>
      <c r="Z191" s="297"/>
      <c r="AA191" s="342"/>
      <c r="AB191" s="499"/>
      <c r="AC191" s="500"/>
      <c r="AD191" s="416"/>
      <c r="AE191" s="316"/>
    </row>
    <row r="192" spans="1:33" s="73" customFormat="1">
      <c r="A192" s="235"/>
      <c r="B192" s="236"/>
      <c r="C192" s="237"/>
      <c r="D192" s="238"/>
      <c r="E192" s="238"/>
      <c r="F192" s="238"/>
      <c r="G192" s="238"/>
      <c r="H192" s="238"/>
      <c r="I192" s="237"/>
      <c r="J192" s="237"/>
      <c r="K192" s="238"/>
      <c r="L192" s="238"/>
      <c r="M192" s="238"/>
      <c r="N192" s="237"/>
      <c r="O192" s="299"/>
      <c r="P192" s="238"/>
      <c r="Q192" s="237"/>
      <c r="R192" s="237"/>
      <c r="S192" s="237"/>
      <c r="T192" s="297"/>
      <c r="U192" s="297"/>
      <c r="V192" s="297"/>
      <c r="W192" s="297"/>
      <c r="X192" s="297"/>
      <c r="Y192" s="297"/>
      <c r="Z192" s="297"/>
      <c r="AA192" s="342"/>
      <c r="AB192" s="499"/>
      <c r="AC192" s="500"/>
      <c r="AD192" s="416"/>
      <c r="AE192" s="316"/>
    </row>
    <row r="193" spans="1:33" s="73" customFormat="1">
      <c r="A193" s="235"/>
      <c r="B193" s="239"/>
      <c r="C193" s="457"/>
      <c r="D193" s="247"/>
      <c r="E193" s="458"/>
      <c r="F193" s="247"/>
      <c r="G193" s="247"/>
      <c r="H193" s="458"/>
      <c r="I193" s="246"/>
      <c r="J193" s="246"/>
      <c r="K193" s="247"/>
      <c r="L193" s="247"/>
      <c r="M193" s="247"/>
      <c r="N193" s="246"/>
      <c r="O193" s="338"/>
      <c r="P193" s="247"/>
      <c r="Q193" s="246"/>
      <c r="R193" s="246"/>
      <c r="S193" s="246"/>
      <c r="T193" s="298"/>
      <c r="U193" s="298"/>
      <c r="V193" s="298"/>
      <c r="W193" s="298"/>
      <c r="X193" s="298"/>
      <c r="Y193" s="298"/>
      <c r="Z193" s="298"/>
      <c r="AA193" s="341"/>
      <c r="AB193" s="501"/>
      <c r="AC193" s="502"/>
      <c r="AD193" s="417"/>
      <c r="AE193" s="316"/>
      <c r="AF193" s="211"/>
      <c r="AG193" s="294"/>
    </row>
    <row r="194" spans="1:33" s="73" customFormat="1">
      <c r="A194" s="235"/>
      <c r="B194" s="236"/>
      <c r="C194" s="237"/>
      <c r="D194" s="238"/>
      <c r="E194" s="238"/>
      <c r="F194" s="238"/>
      <c r="G194" s="238"/>
      <c r="H194" s="238"/>
      <c r="I194" s="237"/>
      <c r="J194" s="237"/>
      <c r="K194" s="238"/>
      <c r="L194" s="238"/>
      <c r="M194" s="238"/>
      <c r="N194" s="237"/>
      <c r="O194" s="299"/>
      <c r="P194" s="238"/>
      <c r="Q194" s="237"/>
      <c r="R194" s="237"/>
      <c r="S194" s="237"/>
      <c r="T194" s="297"/>
      <c r="U194" s="297"/>
      <c r="V194" s="297"/>
      <c r="W194" s="297"/>
      <c r="X194" s="297"/>
      <c r="Y194" s="297"/>
      <c r="Z194" s="297"/>
      <c r="AA194" s="342"/>
      <c r="AB194" s="499"/>
      <c r="AC194" s="500"/>
      <c r="AD194" s="416"/>
      <c r="AE194" s="316"/>
      <c r="AF194" s="419"/>
    </row>
    <row r="195" spans="1:33" s="73" customFormat="1">
      <c r="A195" s="235"/>
      <c r="B195" s="236"/>
      <c r="C195" s="237"/>
      <c r="D195" s="238"/>
      <c r="E195" s="238"/>
      <c r="F195" s="238"/>
      <c r="G195" s="238"/>
      <c r="H195" s="238"/>
      <c r="I195" s="237"/>
      <c r="J195" s="237"/>
      <c r="K195" s="238"/>
      <c r="L195" s="238"/>
      <c r="M195" s="238"/>
      <c r="N195" s="237"/>
      <c r="O195" s="299"/>
      <c r="P195" s="238"/>
      <c r="Q195" s="237"/>
      <c r="R195" s="237"/>
      <c r="S195" s="237"/>
      <c r="T195" s="297"/>
      <c r="U195" s="297"/>
      <c r="V195" s="297"/>
      <c r="W195" s="297"/>
      <c r="X195" s="297"/>
      <c r="Y195" s="297"/>
      <c r="Z195" s="297"/>
      <c r="AA195" s="342"/>
      <c r="AB195" s="499"/>
      <c r="AC195" s="500"/>
      <c r="AD195" s="416"/>
      <c r="AE195" s="316"/>
      <c r="AF195" s="419"/>
    </row>
    <row r="196" spans="1:33" s="73" customFormat="1">
      <c r="A196" s="240"/>
      <c r="B196" s="296"/>
      <c r="C196" s="246"/>
      <c r="D196" s="247"/>
      <c r="E196" s="247"/>
      <c r="F196" s="247"/>
      <c r="G196" s="247"/>
      <c r="H196" s="247"/>
      <c r="I196" s="246"/>
      <c r="J196" s="246"/>
      <c r="K196" s="247"/>
      <c r="L196" s="247"/>
      <c r="M196" s="247"/>
      <c r="N196" s="246"/>
      <c r="O196" s="338"/>
      <c r="P196" s="247"/>
      <c r="Q196" s="246"/>
      <c r="R196" s="246"/>
      <c r="S196" s="246"/>
      <c r="T196" s="298"/>
      <c r="U196" s="298"/>
      <c r="V196" s="298"/>
      <c r="W196" s="298"/>
      <c r="X196" s="298"/>
      <c r="Y196" s="298"/>
      <c r="Z196" s="298"/>
      <c r="AA196" s="341"/>
      <c r="AB196" s="499"/>
      <c r="AC196" s="500"/>
      <c r="AD196" s="417"/>
      <c r="AE196" s="316"/>
      <c r="AF196" s="418"/>
      <c r="AG196" s="211"/>
    </row>
    <row r="197" spans="1:33" s="73" customFormat="1">
      <c r="A197" s="324"/>
      <c r="B197" s="322"/>
      <c r="C197" s="319"/>
      <c r="D197" s="323"/>
      <c r="E197" s="323"/>
      <c r="F197" s="323"/>
      <c r="G197" s="323"/>
      <c r="H197" s="323"/>
      <c r="I197" s="319"/>
      <c r="J197" s="319"/>
      <c r="K197" s="323"/>
      <c r="L197" s="323"/>
      <c r="M197" s="323"/>
      <c r="N197" s="319"/>
      <c r="O197" s="319"/>
      <c r="P197" s="323"/>
      <c r="Q197" s="319"/>
      <c r="R197" s="319"/>
      <c r="S197" s="319"/>
      <c r="T197" s="319"/>
      <c r="U197" s="319"/>
      <c r="V197" s="319"/>
      <c r="W197" s="319"/>
      <c r="X197" s="319"/>
      <c r="Y197" s="319"/>
      <c r="Z197" s="319"/>
      <c r="AA197" s="464"/>
      <c r="AB197" s="494"/>
      <c r="AC197" s="497"/>
      <c r="AD197" s="416"/>
      <c r="AE197" s="316"/>
    </row>
    <row r="198" spans="1:33" s="73" customFormat="1">
      <c r="A198" s="235"/>
      <c r="B198" s="236"/>
      <c r="C198" s="237"/>
      <c r="D198" s="238"/>
      <c r="E198" s="238"/>
      <c r="F198" s="238"/>
      <c r="G198" s="238"/>
      <c r="H198" s="238"/>
      <c r="I198" s="237"/>
      <c r="J198" s="237"/>
      <c r="K198" s="238"/>
      <c r="L198" s="238"/>
      <c r="M198" s="238"/>
      <c r="N198" s="237"/>
      <c r="O198" s="237"/>
      <c r="P198" s="238"/>
      <c r="Q198" s="237"/>
      <c r="R198" s="237"/>
      <c r="S198" s="237"/>
      <c r="T198" s="237"/>
      <c r="U198" s="237"/>
      <c r="V198" s="237"/>
      <c r="W198" s="237"/>
      <c r="X198" s="237"/>
      <c r="Y198" s="237"/>
      <c r="Z198" s="237"/>
      <c r="AA198" s="465"/>
      <c r="AB198" s="494"/>
      <c r="AC198" s="497"/>
      <c r="AD198" s="416"/>
      <c r="AE198" s="316"/>
    </row>
    <row r="199" spans="1:33" s="73" customFormat="1">
      <c r="A199" s="235"/>
      <c r="B199" s="239"/>
      <c r="C199" s="246"/>
      <c r="D199" s="247"/>
      <c r="E199" s="247"/>
      <c r="F199" s="247"/>
      <c r="G199" s="247"/>
      <c r="H199" s="247"/>
      <c r="I199" s="246"/>
      <c r="J199" s="246"/>
      <c r="K199" s="247"/>
      <c r="L199" s="247"/>
      <c r="M199" s="247"/>
      <c r="N199" s="246"/>
      <c r="O199" s="338"/>
      <c r="P199" s="247"/>
      <c r="Q199" s="246"/>
      <c r="R199" s="246"/>
      <c r="S199" s="246"/>
      <c r="T199" s="246"/>
      <c r="U199" s="246"/>
      <c r="V199" s="246"/>
      <c r="W199" s="246"/>
      <c r="X199" s="246"/>
      <c r="Y199" s="246"/>
      <c r="Z199" s="246"/>
      <c r="AA199" s="466"/>
      <c r="AB199" s="503"/>
      <c r="AC199" s="504"/>
      <c r="AD199" s="417"/>
      <c r="AE199" s="316"/>
    </row>
    <row r="200" spans="1:33" s="73" customFormat="1">
      <c r="A200" s="235"/>
      <c r="B200" s="236"/>
      <c r="C200" s="237"/>
      <c r="D200" s="238"/>
      <c r="E200" s="238"/>
      <c r="F200" s="238"/>
      <c r="G200" s="238"/>
      <c r="H200" s="238"/>
      <c r="I200" s="237"/>
      <c r="J200" s="237"/>
      <c r="K200" s="238"/>
      <c r="L200" s="238"/>
      <c r="M200" s="238"/>
      <c r="N200" s="237"/>
      <c r="O200" s="299"/>
      <c r="P200" s="238"/>
      <c r="Q200" s="237"/>
      <c r="R200" s="237"/>
      <c r="S200" s="237"/>
      <c r="T200" s="237"/>
      <c r="U200" s="237"/>
      <c r="V200" s="237"/>
      <c r="W200" s="237"/>
      <c r="X200" s="237"/>
      <c r="Y200" s="237"/>
      <c r="Z200" s="237"/>
      <c r="AA200" s="236"/>
      <c r="AB200" s="494"/>
      <c r="AC200" s="497"/>
      <c r="AD200" s="416"/>
      <c r="AE200" s="316"/>
    </row>
    <row r="201" spans="1:33" s="73" customFormat="1">
      <c r="A201" s="235"/>
      <c r="B201" s="236"/>
      <c r="C201" s="237"/>
      <c r="D201" s="238"/>
      <c r="E201" s="238"/>
      <c r="F201" s="238"/>
      <c r="G201" s="238"/>
      <c r="H201" s="238"/>
      <c r="I201" s="237"/>
      <c r="J201" s="237"/>
      <c r="K201" s="238"/>
      <c r="L201" s="238"/>
      <c r="M201" s="238"/>
      <c r="N201" s="237"/>
      <c r="O201" s="299"/>
      <c r="P201" s="238"/>
      <c r="Q201" s="237"/>
      <c r="R201" s="237"/>
      <c r="S201" s="237"/>
      <c r="T201" s="237"/>
      <c r="U201" s="237"/>
      <c r="V201" s="237"/>
      <c r="W201" s="237"/>
      <c r="X201" s="237"/>
      <c r="Y201" s="237"/>
      <c r="Z201" s="237"/>
      <c r="AA201" s="236"/>
      <c r="AB201" s="494"/>
      <c r="AC201" s="497"/>
      <c r="AD201" s="416"/>
      <c r="AE201" s="316"/>
    </row>
    <row r="202" spans="1:33" s="73" customFormat="1">
      <c r="A202" s="235"/>
      <c r="B202" s="239"/>
      <c r="C202" s="246"/>
      <c r="D202" s="247"/>
      <c r="E202" s="247"/>
      <c r="F202" s="247"/>
      <c r="G202" s="247"/>
      <c r="H202" s="247"/>
      <c r="I202" s="246"/>
      <c r="J202" s="246"/>
      <c r="K202" s="247"/>
      <c r="L202" s="247"/>
      <c r="M202" s="247"/>
      <c r="N202" s="246"/>
      <c r="O202" s="338"/>
      <c r="P202" s="247"/>
      <c r="Q202" s="246"/>
      <c r="R202" s="246"/>
      <c r="S202" s="246"/>
      <c r="T202" s="246"/>
      <c r="U202" s="246"/>
      <c r="V202" s="246"/>
      <c r="W202" s="246"/>
      <c r="X202" s="246"/>
      <c r="Y202" s="246"/>
      <c r="Z202" s="246"/>
      <c r="AA202" s="466"/>
      <c r="AB202" s="505"/>
      <c r="AC202" s="506"/>
      <c r="AD202" s="417"/>
      <c r="AE202" s="316"/>
    </row>
    <row r="203" spans="1:33" s="73" customFormat="1">
      <c r="A203" s="235"/>
      <c r="B203" s="236"/>
      <c r="C203" s="237"/>
      <c r="D203" s="238"/>
      <c r="E203" s="238"/>
      <c r="F203" s="238"/>
      <c r="G203" s="238"/>
      <c r="H203" s="238"/>
      <c r="I203" s="237"/>
      <c r="J203" s="237"/>
      <c r="K203" s="238"/>
      <c r="L203" s="238"/>
      <c r="M203" s="238"/>
      <c r="N203" s="237"/>
      <c r="O203" s="299"/>
      <c r="P203" s="238"/>
      <c r="Q203" s="237"/>
      <c r="R203" s="237"/>
      <c r="S203" s="237"/>
      <c r="T203" s="237"/>
      <c r="U203" s="237"/>
      <c r="V203" s="237"/>
      <c r="W203" s="237"/>
      <c r="X203" s="237"/>
      <c r="Y203" s="237"/>
      <c r="Z203" s="237"/>
      <c r="AA203" s="236"/>
      <c r="AB203" s="494"/>
      <c r="AC203" s="497"/>
      <c r="AD203" s="416"/>
      <c r="AE203" s="316"/>
    </row>
    <row r="204" spans="1:33" s="73" customFormat="1">
      <c r="A204" s="235"/>
      <c r="B204" s="236"/>
      <c r="C204" s="237"/>
      <c r="D204" s="238"/>
      <c r="E204" s="238"/>
      <c r="F204" s="238"/>
      <c r="G204" s="238"/>
      <c r="H204" s="238"/>
      <c r="I204" s="237"/>
      <c r="J204" s="237"/>
      <c r="K204" s="238"/>
      <c r="L204" s="238"/>
      <c r="M204" s="238"/>
      <c r="N204" s="237"/>
      <c r="O204" s="299"/>
      <c r="P204" s="238"/>
      <c r="Q204" s="237"/>
      <c r="R204" s="237"/>
      <c r="S204" s="237"/>
      <c r="T204" s="237"/>
      <c r="U204" s="237"/>
      <c r="V204" s="237"/>
      <c r="W204" s="237"/>
      <c r="X204" s="237"/>
      <c r="Y204" s="237"/>
      <c r="Z204" s="237"/>
      <c r="AA204" s="236"/>
      <c r="AB204" s="494"/>
      <c r="AC204" s="497"/>
      <c r="AD204" s="416"/>
      <c r="AE204" s="316"/>
    </row>
    <row r="205" spans="1:33" s="73" customFormat="1">
      <c r="A205" s="235"/>
      <c r="B205" s="239"/>
      <c r="C205" s="246"/>
      <c r="D205" s="247"/>
      <c r="E205" s="247"/>
      <c r="F205" s="247"/>
      <c r="G205" s="247"/>
      <c r="H205" s="247"/>
      <c r="I205" s="246"/>
      <c r="J205" s="246"/>
      <c r="K205" s="247"/>
      <c r="L205" s="247"/>
      <c r="M205" s="247"/>
      <c r="N205" s="246"/>
      <c r="O205" s="338"/>
      <c r="P205" s="247"/>
      <c r="Q205" s="246"/>
      <c r="R205" s="246"/>
      <c r="S205" s="246"/>
      <c r="T205" s="246"/>
      <c r="U205" s="246"/>
      <c r="V205" s="246"/>
      <c r="W205" s="246"/>
      <c r="X205" s="246"/>
      <c r="Y205" s="246"/>
      <c r="Z205" s="246"/>
      <c r="AA205" s="466"/>
      <c r="AB205" s="505"/>
      <c r="AC205" s="506"/>
      <c r="AD205" s="417"/>
      <c r="AE205" s="316"/>
      <c r="AF205" s="211"/>
      <c r="AG205" s="294"/>
    </row>
    <row r="206" spans="1:33" s="73" customFormat="1">
      <c r="A206" s="235"/>
      <c r="B206" s="236"/>
      <c r="C206" s="237"/>
      <c r="D206" s="238"/>
      <c r="E206" s="238"/>
      <c r="F206" s="238"/>
      <c r="G206" s="238"/>
      <c r="H206" s="238"/>
      <c r="I206" s="237"/>
      <c r="J206" s="237"/>
      <c r="K206" s="238"/>
      <c r="L206" s="238"/>
      <c r="M206" s="238"/>
      <c r="N206" s="237"/>
      <c r="O206" s="299"/>
      <c r="P206" s="238"/>
      <c r="Q206" s="237"/>
      <c r="R206" s="237"/>
      <c r="S206" s="237"/>
      <c r="T206" s="237"/>
      <c r="U206" s="237"/>
      <c r="V206" s="237"/>
      <c r="W206" s="237"/>
      <c r="X206" s="237"/>
      <c r="Y206" s="237"/>
      <c r="Z206" s="237"/>
      <c r="AA206" s="236"/>
      <c r="AB206" s="494"/>
      <c r="AC206" s="497"/>
      <c r="AD206" s="416"/>
      <c r="AE206" s="316"/>
      <c r="AF206" s="419"/>
    </row>
    <row r="207" spans="1:33" s="73" customFormat="1">
      <c r="A207" s="235"/>
      <c r="B207" s="236"/>
      <c r="C207" s="237"/>
      <c r="D207" s="238"/>
      <c r="E207" s="238"/>
      <c r="F207" s="238"/>
      <c r="G207" s="238"/>
      <c r="H207" s="238"/>
      <c r="I207" s="237"/>
      <c r="J207" s="237"/>
      <c r="K207" s="238"/>
      <c r="L207" s="238"/>
      <c r="M207" s="238"/>
      <c r="N207" s="237"/>
      <c r="O207" s="299"/>
      <c r="P207" s="238"/>
      <c r="Q207" s="237"/>
      <c r="R207" s="237"/>
      <c r="S207" s="237"/>
      <c r="T207" s="237"/>
      <c r="U207" s="237"/>
      <c r="V207" s="237"/>
      <c r="W207" s="237"/>
      <c r="X207" s="237"/>
      <c r="Y207" s="237"/>
      <c r="Z207" s="237"/>
      <c r="AA207" s="236"/>
      <c r="AB207" s="494"/>
      <c r="AC207" s="497"/>
      <c r="AD207" s="416"/>
      <c r="AE207" s="316"/>
      <c r="AF207" s="419"/>
    </row>
    <row r="208" spans="1:33" s="73" customFormat="1">
      <c r="A208" s="240"/>
      <c r="B208" s="296"/>
      <c r="C208" s="246"/>
      <c r="D208" s="247"/>
      <c r="E208" s="247"/>
      <c r="F208" s="247"/>
      <c r="G208" s="247"/>
      <c r="H208" s="247"/>
      <c r="I208" s="246"/>
      <c r="J208" s="246"/>
      <c r="K208" s="247"/>
      <c r="L208" s="247"/>
      <c r="M208" s="247"/>
      <c r="N208" s="246"/>
      <c r="O208" s="338"/>
      <c r="P208" s="247"/>
      <c r="Q208" s="246"/>
      <c r="R208" s="246"/>
      <c r="S208" s="246"/>
      <c r="T208" s="246"/>
      <c r="U208" s="246"/>
      <c r="V208" s="246"/>
      <c r="W208" s="246"/>
      <c r="X208" s="246"/>
      <c r="Y208" s="246"/>
      <c r="Z208" s="246"/>
      <c r="AA208" s="466"/>
      <c r="AB208" s="507"/>
      <c r="AC208" s="508"/>
      <c r="AD208" s="417"/>
      <c r="AE208" s="316"/>
      <c r="AF208" s="418"/>
      <c r="AG208" s="211"/>
    </row>
    <row r="209" spans="1:27">
      <c r="A209" s="209"/>
      <c r="C209" s="470"/>
      <c r="D209" s="470"/>
      <c r="E209" s="470"/>
      <c r="F209" s="470"/>
      <c r="G209" s="470"/>
      <c r="H209" s="470"/>
      <c r="I209" s="470"/>
      <c r="J209" s="470"/>
      <c r="K209" s="470"/>
      <c r="L209" s="470"/>
      <c r="M209" s="470"/>
      <c r="N209" s="470"/>
      <c r="O209" s="470"/>
      <c r="P209" s="470"/>
      <c r="Q209" s="470"/>
      <c r="R209" s="470"/>
      <c r="S209" s="470"/>
      <c r="T209" s="470"/>
      <c r="U209" s="470"/>
      <c r="V209" s="470"/>
      <c r="W209" s="470"/>
      <c r="X209" s="470"/>
      <c r="Y209" s="470"/>
      <c r="Z209" s="470"/>
      <c r="AA209" s="470"/>
    </row>
    <row r="210" spans="1:27">
      <c r="A210" s="209"/>
    </row>
    <row r="211" spans="1:27">
      <c r="A211" s="209"/>
    </row>
    <row r="212" spans="1:27">
      <c r="A212" s="209"/>
    </row>
    <row r="213" spans="1:27">
      <c r="A213" s="209"/>
    </row>
    <row r="214" spans="1:27">
      <c r="A214" s="209"/>
    </row>
    <row r="215" spans="1:27">
      <c r="A215" s="209"/>
    </row>
    <row r="216" spans="1:27">
      <c r="A216" s="209"/>
    </row>
    <row r="217" spans="1:27">
      <c r="A217" s="209"/>
    </row>
    <row r="218" spans="1:27">
      <c r="A218" s="209"/>
    </row>
    <row r="219" spans="1:27">
      <c r="A219" s="209"/>
    </row>
    <row r="220" spans="1:27">
      <c r="A220" s="209"/>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48"/>
  <sheetViews>
    <sheetView workbookViewId="0">
      <selection sqref="A1:XFD1048576"/>
    </sheetView>
  </sheetViews>
  <sheetFormatPr defaultRowHeight="12.75"/>
  <cols>
    <col min="1" max="1" width="5" style="180" customWidth="1"/>
    <col min="2" max="2" width="32" style="180" customWidth="1"/>
    <col min="3" max="8" width="15.1640625" style="210" customWidth="1"/>
    <col min="9" max="9" width="17.5" style="210" customWidth="1"/>
    <col min="10" max="13" width="13.6640625" style="210" customWidth="1"/>
    <col min="14" max="14" width="17.5" style="210" customWidth="1"/>
    <col min="15" max="16" width="11.5" style="210" customWidth="1"/>
    <col min="17" max="18" width="12.83203125" style="210" customWidth="1"/>
    <col min="19" max="19" width="16.6640625" style="210" customWidth="1"/>
    <col min="20" max="20" width="6.5" style="180" customWidth="1"/>
    <col min="21" max="21" width="9.33203125" style="180" customWidth="1"/>
    <col min="22" max="25" width="11.5" style="180" customWidth="1"/>
    <col min="26" max="26" width="9.5" style="180" customWidth="1"/>
    <col min="27" max="27" width="10.6640625" style="180" customWidth="1"/>
    <col min="28" max="28" width="10.1640625" style="180" customWidth="1"/>
    <col min="29" max="29" width="13.6640625" style="180" customWidth="1"/>
    <col min="30" max="16384" width="9.33203125" style="180"/>
  </cols>
  <sheetData>
    <row r="1" spans="1:29">
      <c r="A1" s="210"/>
      <c r="B1" s="210"/>
      <c r="E1" s="360"/>
      <c r="L1" s="361"/>
      <c r="M1" s="4"/>
    </row>
    <row r="2" spans="1:29">
      <c r="A2" s="210"/>
      <c r="B2" s="210"/>
    </row>
    <row r="3" spans="1:29" s="1" customFormat="1">
      <c r="A3" s="362"/>
      <c r="B3" s="363"/>
      <c r="C3" s="362"/>
      <c r="D3" s="363"/>
      <c r="E3" s="363"/>
      <c r="F3" s="363"/>
      <c r="G3" s="363"/>
      <c r="H3" s="363"/>
      <c r="I3" s="363"/>
      <c r="J3" s="363"/>
      <c r="K3" s="363"/>
      <c r="L3" s="363"/>
      <c r="M3" s="363"/>
      <c r="N3" s="363"/>
      <c r="O3" s="363"/>
      <c r="P3" s="363"/>
      <c r="Q3" s="363"/>
      <c r="R3" s="363"/>
      <c r="S3" s="363"/>
      <c r="T3" s="344"/>
      <c r="U3" s="344"/>
      <c r="V3" s="344"/>
      <c r="W3" s="345"/>
      <c r="X3" s="344"/>
      <c r="Y3" s="344"/>
      <c r="Z3" s="344"/>
      <c r="AA3" s="345"/>
      <c r="AB3" s="520"/>
      <c r="AC3" s="521"/>
    </row>
    <row r="4" spans="1:29" s="1" customFormat="1">
      <c r="A4" s="365"/>
      <c r="B4" s="522"/>
      <c r="C4" s="362"/>
      <c r="D4" s="363"/>
      <c r="E4" s="363"/>
      <c r="F4" s="363"/>
      <c r="G4" s="363"/>
      <c r="H4" s="363"/>
      <c r="I4" s="362"/>
      <c r="J4" s="362"/>
      <c r="K4" s="363"/>
      <c r="L4" s="363"/>
      <c r="M4" s="363"/>
      <c r="N4" s="362"/>
      <c r="O4" s="362"/>
      <c r="P4" s="363"/>
      <c r="Q4" s="362"/>
      <c r="R4" s="362"/>
      <c r="S4" s="362"/>
      <c r="T4" s="346"/>
      <c r="U4" s="346"/>
      <c r="V4" s="346"/>
      <c r="W4" s="347"/>
      <c r="X4" s="346"/>
      <c r="Y4" s="346"/>
      <c r="Z4" s="346"/>
      <c r="AA4" s="347"/>
      <c r="AB4" s="509"/>
      <c r="AC4" s="510"/>
    </row>
    <row r="5" spans="1:29" s="1" customFormat="1">
      <c r="A5" s="362"/>
      <c r="B5" s="362"/>
      <c r="C5" s="362"/>
      <c r="D5" s="364"/>
      <c r="E5" s="364"/>
      <c r="F5" s="364"/>
      <c r="G5" s="364"/>
      <c r="H5" s="364"/>
      <c r="I5" s="365"/>
      <c r="J5" s="362"/>
      <c r="K5" s="364"/>
      <c r="L5" s="364"/>
      <c r="M5" s="364"/>
      <c r="N5" s="365"/>
      <c r="O5" s="362"/>
      <c r="P5" s="364"/>
      <c r="Q5" s="365"/>
      <c r="R5" s="362"/>
      <c r="S5" s="365"/>
      <c r="T5" s="346"/>
      <c r="U5" s="348"/>
      <c r="V5" s="346"/>
      <c r="W5" s="349"/>
      <c r="X5" s="346"/>
      <c r="Y5" s="348"/>
      <c r="Z5" s="346"/>
      <c r="AA5" s="349"/>
      <c r="AB5" s="509"/>
      <c r="AC5" s="511"/>
    </row>
    <row r="6" spans="1:29">
      <c r="A6" s="467"/>
      <c r="B6" s="362"/>
      <c r="C6" s="366"/>
      <c r="D6" s="367"/>
      <c r="E6" s="367"/>
      <c r="F6" s="367"/>
      <c r="G6" s="367"/>
      <c r="H6" s="367"/>
      <c r="I6" s="366"/>
      <c r="J6" s="366"/>
      <c r="K6" s="367"/>
      <c r="L6" s="367"/>
      <c r="M6" s="367"/>
      <c r="N6" s="366"/>
      <c r="O6" s="366"/>
      <c r="P6" s="367"/>
      <c r="Q6" s="366"/>
      <c r="R6" s="366"/>
      <c r="S6" s="366"/>
      <c r="T6" s="350"/>
      <c r="U6" s="350"/>
      <c r="V6" s="350"/>
      <c r="W6" s="351"/>
      <c r="X6" s="350"/>
      <c r="Y6" s="350"/>
      <c r="Z6" s="350"/>
      <c r="AA6" s="351"/>
      <c r="AB6" s="512"/>
      <c r="AC6" s="513"/>
    </row>
    <row r="7" spans="1:29" s="1" customFormat="1">
      <c r="A7" s="468"/>
      <c r="B7" s="447"/>
      <c r="C7" s="368"/>
      <c r="D7" s="106"/>
      <c r="E7" s="106"/>
      <c r="F7" s="106"/>
      <c r="G7" s="106"/>
      <c r="H7" s="106"/>
      <c r="I7" s="368"/>
      <c r="J7" s="368"/>
      <c r="K7" s="106"/>
      <c r="L7" s="106"/>
      <c r="M7" s="106"/>
      <c r="N7" s="368"/>
      <c r="O7" s="368"/>
      <c r="P7" s="106"/>
      <c r="Q7" s="368"/>
      <c r="R7" s="368"/>
      <c r="S7" s="368"/>
      <c r="T7" s="352"/>
      <c r="U7" s="352"/>
      <c r="V7" s="352"/>
      <c r="W7" s="353"/>
      <c r="X7" s="352"/>
      <c r="Y7" s="352"/>
      <c r="Z7" s="352"/>
      <c r="AA7" s="353"/>
      <c r="AB7" s="514"/>
      <c r="AC7" s="515"/>
    </row>
    <row r="8" spans="1:29">
      <c r="A8" s="468"/>
      <c r="B8" s="446"/>
      <c r="C8" s="446"/>
      <c r="D8" s="459"/>
      <c r="E8" s="459"/>
      <c r="F8" s="459"/>
      <c r="G8" s="459"/>
      <c r="H8" s="459"/>
      <c r="I8" s="446"/>
      <c r="J8" s="446"/>
      <c r="K8" s="459"/>
      <c r="L8" s="459"/>
      <c r="M8" s="459"/>
      <c r="N8" s="446"/>
      <c r="O8" s="446"/>
      <c r="P8" s="459"/>
      <c r="Q8" s="446"/>
      <c r="R8" s="446"/>
      <c r="S8" s="446"/>
      <c r="T8" s="354"/>
      <c r="U8" s="354"/>
      <c r="V8" s="354"/>
      <c r="W8" s="355"/>
      <c r="X8" s="354"/>
      <c r="Y8" s="354"/>
      <c r="Z8" s="354"/>
      <c r="AA8" s="355"/>
      <c r="AB8" s="514"/>
      <c r="AC8" s="515"/>
    </row>
    <row r="9" spans="1:29" s="1" customFormat="1">
      <c r="A9" s="468"/>
      <c r="B9" s="447"/>
      <c r="C9" s="368"/>
      <c r="D9" s="106"/>
      <c r="E9" s="106"/>
      <c r="F9" s="106"/>
      <c r="G9" s="106"/>
      <c r="H9" s="106"/>
      <c r="I9" s="368"/>
      <c r="J9" s="368"/>
      <c r="K9" s="106"/>
      <c r="L9" s="106"/>
      <c r="M9" s="106"/>
      <c r="N9" s="368"/>
      <c r="O9" s="368"/>
      <c r="P9" s="106"/>
      <c r="Q9" s="368"/>
      <c r="R9" s="368"/>
      <c r="S9" s="368"/>
      <c r="T9" s="352"/>
      <c r="U9" s="352"/>
      <c r="V9" s="352"/>
      <c r="W9" s="353"/>
      <c r="X9" s="352"/>
      <c r="Y9" s="352"/>
      <c r="Z9" s="352"/>
      <c r="AA9" s="353"/>
      <c r="AB9" s="514"/>
      <c r="AC9" s="515"/>
    </row>
    <row r="10" spans="1:29">
      <c r="A10" s="468"/>
      <c r="B10" s="447"/>
      <c r="C10" s="368"/>
      <c r="D10" s="106"/>
      <c r="E10" s="106"/>
      <c r="F10" s="106"/>
      <c r="G10" s="106"/>
      <c r="H10" s="106"/>
      <c r="I10" s="368"/>
      <c r="J10" s="368"/>
      <c r="K10" s="106"/>
      <c r="L10" s="106"/>
      <c r="M10" s="106"/>
      <c r="N10" s="368"/>
      <c r="O10" s="368"/>
      <c r="P10" s="106"/>
      <c r="Q10" s="368"/>
      <c r="R10" s="368"/>
      <c r="S10" s="368"/>
      <c r="T10" s="352"/>
      <c r="U10" s="352"/>
      <c r="V10" s="352"/>
      <c r="W10" s="353"/>
      <c r="X10" s="352"/>
      <c r="Y10" s="352"/>
      <c r="Z10" s="352"/>
      <c r="AA10" s="353"/>
      <c r="AB10" s="514"/>
      <c r="AC10" s="515"/>
    </row>
    <row r="11" spans="1:29" s="1" customFormat="1">
      <c r="A11" s="468"/>
      <c r="B11" s="445"/>
      <c r="C11" s="446"/>
      <c r="D11" s="459"/>
      <c r="E11" s="459"/>
      <c r="F11" s="459"/>
      <c r="G11" s="459"/>
      <c r="H11" s="459"/>
      <c r="I11" s="446"/>
      <c r="J11" s="446"/>
      <c r="K11" s="459"/>
      <c r="L11" s="459"/>
      <c r="M11" s="459"/>
      <c r="N11" s="446"/>
      <c r="O11" s="446"/>
      <c r="P11" s="459"/>
      <c r="Q11" s="446"/>
      <c r="R11" s="445"/>
      <c r="S11" s="445"/>
      <c r="T11" s="356"/>
      <c r="U11" s="356"/>
      <c r="V11" s="356"/>
      <c r="W11" s="357"/>
      <c r="X11" s="356"/>
      <c r="Y11" s="356"/>
      <c r="Z11" s="356"/>
      <c r="AA11" s="357"/>
      <c r="AB11" s="514"/>
      <c r="AC11" s="515"/>
    </row>
    <row r="12" spans="1:29">
      <c r="A12" s="523"/>
      <c r="B12" s="444"/>
      <c r="C12" s="460"/>
      <c r="D12" s="461"/>
      <c r="E12" s="461"/>
      <c r="F12" s="461"/>
      <c r="G12" s="461"/>
      <c r="H12" s="461"/>
      <c r="I12" s="460"/>
      <c r="J12" s="460"/>
      <c r="K12" s="461"/>
      <c r="L12" s="461"/>
      <c r="M12" s="461"/>
      <c r="N12" s="460"/>
      <c r="O12" s="460"/>
      <c r="P12" s="461"/>
      <c r="Q12" s="460"/>
      <c r="R12" s="460"/>
      <c r="S12" s="460"/>
      <c r="T12" s="358"/>
      <c r="U12" s="358"/>
      <c r="V12" s="358"/>
      <c r="W12" s="359"/>
      <c r="X12" s="358"/>
      <c r="Y12" s="358"/>
      <c r="Z12" s="358"/>
      <c r="AA12" s="359"/>
      <c r="AB12" s="514"/>
      <c r="AC12" s="515"/>
    </row>
    <row r="13" spans="1:29" s="1" customFormat="1">
      <c r="A13" s="467"/>
      <c r="B13" s="362"/>
      <c r="C13" s="366"/>
      <c r="D13" s="367"/>
      <c r="E13" s="367"/>
      <c r="F13" s="367"/>
      <c r="G13" s="367"/>
      <c r="H13" s="367"/>
      <c r="I13" s="366"/>
      <c r="J13" s="366"/>
      <c r="K13" s="367"/>
      <c r="L13" s="367"/>
      <c r="M13" s="367"/>
      <c r="N13" s="366"/>
      <c r="O13" s="366"/>
      <c r="P13" s="367"/>
      <c r="Q13" s="366"/>
      <c r="R13" s="366"/>
      <c r="S13" s="366"/>
      <c r="T13" s="350"/>
      <c r="U13" s="350"/>
      <c r="V13" s="350"/>
      <c r="W13" s="351"/>
      <c r="X13" s="350"/>
      <c r="Y13" s="350"/>
      <c r="Z13" s="350"/>
      <c r="AA13" s="351"/>
      <c r="AB13" s="512"/>
      <c r="AC13" s="513"/>
    </row>
    <row r="14" spans="1:29" s="1" customFormat="1">
      <c r="A14" s="468"/>
      <c r="B14" s="447"/>
      <c r="C14" s="368"/>
      <c r="D14" s="106"/>
      <c r="E14" s="106"/>
      <c r="F14" s="106"/>
      <c r="G14" s="106"/>
      <c r="H14" s="106"/>
      <c r="I14" s="368"/>
      <c r="J14" s="368"/>
      <c r="K14" s="106"/>
      <c r="L14" s="106"/>
      <c r="M14" s="106"/>
      <c r="N14" s="368"/>
      <c r="O14" s="368"/>
      <c r="P14" s="106"/>
      <c r="Q14" s="368"/>
      <c r="R14" s="368"/>
      <c r="S14" s="368"/>
      <c r="T14" s="352"/>
      <c r="U14" s="352"/>
      <c r="V14" s="352"/>
      <c r="W14" s="353"/>
      <c r="X14" s="352"/>
      <c r="Y14" s="352"/>
      <c r="Z14" s="352"/>
      <c r="AA14" s="353"/>
      <c r="AB14" s="514"/>
      <c r="AC14" s="515"/>
    </row>
    <row r="15" spans="1:29">
      <c r="A15" s="468"/>
      <c r="B15" s="446"/>
      <c r="C15" s="446"/>
      <c r="D15" s="469"/>
      <c r="E15" s="459"/>
      <c r="F15" s="459"/>
      <c r="G15" s="469"/>
      <c r="H15" s="469"/>
      <c r="I15" s="446"/>
      <c r="J15" s="446"/>
      <c r="K15" s="459"/>
      <c r="L15" s="469"/>
      <c r="M15" s="469"/>
      <c r="N15" s="446"/>
      <c r="O15" s="446"/>
      <c r="P15" s="459"/>
      <c r="Q15" s="446"/>
      <c r="R15" s="446"/>
      <c r="S15" s="446"/>
      <c r="T15" s="354"/>
      <c r="U15" s="354"/>
      <c r="V15" s="354"/>
      <c r="W15" s="355"/>
      <c r="X15" s="354"/>
      <c r="Y15" s="354"/>
      <c r="Z15" s="354"/>
      <c r="AA15" s="355"/>
      <c r="AB15" s="514"/>
      <c r="AC15" s="515"/>
    </row>
    <row r="16" spans="1:29" s="1" customFormat="1">
      <c r="A16" s="468"/>
      <c r="B16" s="447"/>
      <c r="C16" s="368"/>
      <c r="D16" s="106"/>
      <c r="E16" s="106"/>
      <c r="F16" s="106"/>
      <c r="G16" s="106"/>
      <c r="H16" s="106"/>
      <c r="I16" s="368"/>
      <c r="J16" s="368"/>
      <c r="K16" s="106"/>
      <c r="L16" s="106"/>
      <c r="M16" s="106"/>
      <c r="N16" s="368"/>
      <c r="O16" s="368"/>
      <c r="P16" s="106"/>
      <c r="Q16" s="368"/>
      <c r="R16" s="368"/>
      <c r="S16" s="368"/>
      <c r="T16" s="352"/>
      <c r="U16" s="352"/>
      <c r="V16" s="352"/>
      <c r="W16" s="353"/>
      <c r="X16" s="352"/>
      <c r="Y16" s="352"/>
      <c r="Z16" s="352"/>
      <c r="AA16" s="353"/>
      <c r="AB16" s="514"/>
      <c r="AC16" s="515"/>
    </row>
    <row r="17" spans="1:29">
      <c r="A17" s="468"/>
      <c r="B17" s="447"/>
      <c r="C17" s="368"/>
      <c r="D17" s="106"/>
      <c r="E17" s="106"/>
      <c r="F17" s="106"/>
      <c r="G17" s="106"/>
      <c r="H17" s="106"/>
      <c r="I17" s="368"/>
      <c r="J17" s="368"/>
      <c r="K17" s="106"/>
      <c r="L17" s="106"/>
      <c r="M17" s="106"/>
      <c r="N17" s="368"/>
      <c r="O17" s="368"/>
      <c r="P17" s="106"/>
      <c r="Q17" s="368"/>
      <c r="R17" s="368"/>
      <c r="S17" s="368"/>
      <c r="T17" s="352"/>
      <c r="U17" s="352"/>
      <c r="V17" s="352"/>
      <c r="W17" s="353"/>
      <c r="X17" s="352"/>
      <c r="Y17" s="352"/>
      <c r="Z17" s="352"/>
      <c r="AA17" s="353"/>
      <c r="AB17" s="514"/>
      <c r="AC17" s="515"/>
    </row>
    <row r="18" spans="1:29" s="1" customFormat="1">
      <c r="A18" s="468"/>
      <c r="B18" s="445"/>
      <c r="C18" s="446"/>
      <c r="D18" s="469"/>
      <c r="E18" s="459"/>
      <c r="F18" s="459"/>
      <c r="G18" s="469"/>
      <c r="H18" s="469"/>
      <c r="I18" s="446"/>
      <c r="J18" s="446"/>
      <c r="K18" s="459"/>
      <c r="L18" s="469"/>
      <c r="M18" s="469"/>
      <c r="N18" s="446"/>
      <c r="O18" s="446"/>
      <c r="P18" s="459"/>
      <c r="Q18" s="446"/>
      <c r="R18" s="445"/>
      <c r="S18" s="445"/>
      <c r="T18" s="356"/>
      <c r="U18" s="356"/>
      <c r="V18" s="356"/>
      <c r="W18" s="357"/>
      <c r="X18" s="356"/>
      <c r="Y18" s="356"/>
      <c r="Z18" s="356"/>
      <c r="AA18" s="357"/>
      <c r="AB18" s="514"/>
      <c r="AC18" s="515"/>
    </row>
    <row r="19" spans="1:29">
      <c r="A19" s="523"/>
      <c r="B19" s="444"/>
      <c r="C19" s="460"/>
      <c r="D19" s="463"/>
      <c r="E19" s="461"/>
      <c r="F19" s="461"/>
      <c r="G19" s="463"/>
      <c r="H19" s="463"/>
      <c r="I19" s="460"/>
      <c r="J19" s="460"/>
      <c r="K19" s="461"/>
      <c r="L19" s="461"/>
      <c r="M19" s="461"/>
      <c r="N19" s="460"/>
      <c r="O19" s="460"/>
      <c r="P19" s="461"/>
      <c r="Q19" s="460"/>
      <c r="R19" s="460"/>
      <c r="S19" s="460"/>
      <c r="T19" s="358"/>
      <c r="U19" s="358"/>
      <c r="V19" s="358"/>
      <c r="W19" s="359"/>
      <c r="X19" s="358"/>
      <c r="Y19" s="358"/>
      <c r="Z19" s="358"/>
      <c r="AA19" s="359"/>
      <c r="AB19" s="514"/>
      <c r="AC19" s="515"/>
    </row>
    <row r="20" spans="1:29" s="1" customFormat="1">
      <c r="A20" s="467"/>
      <c r="B20" s="362"/>
      <c r="C20" s="366"/>
      <c r="D20" s="367"/>
      <c r="E20" s="367"/>
      <c r="F20" s="367"/>
      <c r="G20" s="367"/>
      <c r="H20" s="367"/>
      <c r="I20" s="366"/>
      <c r="J20" s="366"/>
      <c r="K20" s="367"/>
      <c r="L20" s="367"/>
      <c r="M20" s="367"/>
      <c r="N20" s="366"/>
      <c r="O20" s="366"/>
      <c r="P20" s="367"/>
      <c r="Q20" s="366"/>
      <c r="R20" s="366"/>
      <c r="S20" s="366"/>
      <c r="T20" s="350"/>
      <c r="U20" s="350"/>
      <c r="V20" s="350"/>
      <c r="W20" s="351"/>
      <c r="X20" s="350"/>
      <c r="Y20" s="350"/>
      <c r="Z20" s="350"/>
      <c r="AA20" s="351"/>
      <c r="AB20" s="512"/>
      <c r="AC20" s="513"/>
    </row>
    <row r="21" spans="1:29">
      <c r="A21" s="468"/>
      <c r="B21" s="447"/>
      <c r="C21" s="368"/>
      <c r="D21" s="106"/>
      <c r="E21" s="106"/>
      <c r="F21" s="106"/>
      <c r="G21" s="106"/>
      <c r="H21" s="106"/>
      <c r="I21" s="368"/>
      <c r="J21" s="368"/>
      <c r="K21" s="106"/>
      <c r="L21" s="106"/>
      <c r="M21" s="106"/>
      <c r="N21" s="368"/>
      <c r="O21" s="368"/>
      <c r="P21" s="106"/>
      <c r="Q21" s="368"/>
      <c r="R21" s="368"/>
      <c r="S21" s="368"/>
      <c r="T21" s="352"/>
      <c r="U21" s="352"/>
      <c r="V21" s="352"/>
      <c r="W21" s="353"/>
      <c r="X21" s="352"/>
      <c r="Y21" s="352"/>
      <c r="Z21" s="352"/>
      <c r="AA21" s="353"/>
      <c r="AB21" s="514"/>
      <c r="AC21" s="515"/>
    </row>
    <row r="22" spans="1:29" s="1" customFormat="1">
      <c r="A22" s="468"/>
      <c r="B22" s="446"/>
      <c r="C22" s="446"/>
      <c r="D22" s="459"/>
      <c r="E22" s="459"/>
      <c r="F22" s="459"/>
      <c r="G22" s="459"/>
      <c r="H22" s="459"/>
      <c r="I22" s="446"/>
      <c r="J22" s="446"/>
      <c r="K22" s="459"/>
      <c r="L22" s="459"/>
      <c r="M22" s="459"/>
      <c r="N22" s="446"/>
      <c r="O22" s="446"/>
      <c r="P22" s="459"/>
      <c r="Q22" s="446"/>
      <c r="R22" s="446"/>
      <c r="S22" s="446"/>
      <c r="T22" s="354"/>
      <c r="U22" s="354"/>
      <c r="V22" s="354"/>
      <c r="W22" s="355"/>
      <c r="X22" s="354"/>
      <c r="Y22" s="354"/>
      <c r="Z22" s="354"/>
      <c r="AA22" s="355"/>
      <c r="AB22" s="514"/>
      <c r="AC22" s="515"/>
    </row>
    <row r="23" spans="1:29">
      <c r="A23" s="468"/>
      <c r="B23" s="447"/>
      <c r="C23" s="368"/>
      <c r="D23" s="106"/>
      <c r="E23" s="106"/>
      <c r="F23" s="106"/>
      <c r="G23" s="106"/>
      <c r="H23" s="106"/>
      <c r="I23" s="368"/>
      <c r="J23" s="368"/>
      <c r="K23" s="106"/>
      <c r="L23" s="106"/>
      <c r="M23" s="106"/>
      <c r="N23" s="368"/>
      <c r="O23" s="368"/>
      <c r="P23" s="106"/>
      <c r="Q23" s="368"/>
      <c r="R23" s="368"/>
      <c r="S23" s="368"/>
      <c r="T23" s="352"/>
      <c r="U23" s="352"/>
      <c r="V23" s="352"/>
      <c r="W23" s="353"/>
      <c r="X23" s="352"/>
      <c r="Y23" s="352"/>
      <c r="Z23" s="352"/>
      <c r="AA23" s="353"/>
      <c r="AB23" s="514"/>
      <c r="AC23" s="515"/>
    </row>
    <row r="24" spans="1:29" s="1" customFormat="1">
      <c r="A24" s="468"/>
      <c r="B24" s="447"/>
      <c r="C24" s="368"/>
      <c r="D24" s="106"/>
      <c r="E24" s="106"/>
      <c r="F24" s="106"/>
      <c r="G24" s="106"/>
      <c r="H24" s="106"/>
      <c r="I24" s="368"/>
      <c r="J24" s="368"/>
      <c r="K24" s="106"/>
      <c r="L24" s="106"/>
      <c r="M24" s="106"/>
      <c r="N24" s="368"/>
      <c r="O24" s="368"/>
      <c r="P24" s="106"/>
      <c r="Q24" s="368"/>
      <c r="R24" s="368"/>
      <c r="S24" s="368"/>
      <c r="T24" s="352"/>
      <c r="U24" s="352"/>
      <c r="V24" s="352"/>
      <c r="W24" s="353"/>
      <c r="X24" s="352"/>
      <c r="Y24" s="352"/>
      <c r="Z24" s="352"/>
      <c r="AA24" s="353"/>
      <c r="AB24" s="514"/>
      <c r="AC24" s="515"/>
    </row>
    <row r="25" spans="1:29">
      <c r="A25" s="468"/>
      <c r="B25" s="445"/>
      <c r="C25" s="446"/>
      <c r="D25" s="459"/>
      <c r="E25" s="459"/>
      <c r="F25" s="459"/>
      <c r="G25" s="459"/>
      <c r="H25" s="459"/>
      <c r="I25" s="446"/>
      <c r="J25" s="446"/>
      <c r="K25" s="459"/>
      <c r="L25" s="459"/>
      <c r="M25" s="459"/>
      <c r="N25" s="446"/>
      <c r="O25" s="446"/>
      <c r="P25" s="459"/>
      <c r="Q25" s="446"/>
      <c r="R25" s="445"/>
      <c r="S25" s="445"/>
      <c r="T25" s="356"/>
      <c r="U25" s="356"/>
      <c r="V25" s="356"/>
      <c r="W25" s="357"/>
      <c r="X25" s="356"/>
      <c r="Y25" s="356"/>
      <c r="Z25" s="356"/>
      <c r="AA25" s="357"/>
      <c r="AB25" s="514"/>
      <c r="AC25" s="515"/>
    </row>
    <row r="26" spans="1:29" s="1" customFormat="1">
      <c r="A26" s="523"/>
      <c r="B26" s="444"/>
      <c r="C26" s="460"/>
      <c r="D26" s="461"/>
      <c r="E26" s="461"/>
      <c r="F26" s="461"/>
      <c r="G26" s="461"/>
      <c r="H26" s="461"/>
      <c r="I26" s="460"/>
      <c r="J26" s="460"/>
      <c r="K26" s="461"/>
      <c r="L26" s="461"/>
      <c r="M26" s="461"/>
      <c r="N26" s="460"/>
      <c r="O26" s="460"/>
      <c r="P26" s="461"/>
      <c r="Q26" s="460"/>
      <c r="R26" s="460"/>
      <c r="S26" s="460"/>
      <c r="T26" s="358"/>
      <c r="U26" s="358"/>
      <c r="V26" s="358"/>
      <c r="W26" s="359"/>
      <c r="X26" s="358"/>
      <c r="Y26" s="358"/>
      <c r="Z26" s="358"/>
      <c r="AA26" s="359"/>
      <c r="AB26" s="514"/>
      <c r="AC26" s="515"/>
    </row>
    <row r="27" spans="1:29">
      <c r="A27" s="467"/>
      <c r="B27" s="362"/>
      <c r="C27" s="366"/>
      <c r="D27" s="367"/>
      <c r="E27" s="367"/>
      <c r="F27" s="367"/>
      <c r="G27" s="367"/>
      <c r="H27" s="367"/>
      <c r="I27" s="366"/>
      <c r="J27" s="366"/>
      <c r="K27" s="367"/>
      <c r="L27" s="367"/>
      <c r="M27" s="367"/>
      <c r="N27" s="366"/>
      <c r="O27" s="366"/>
      <c r="P27" s="367"/>
      <c r="Q27" s="366"/>
      <c r="R27" s="366"/>
      <c r="S27" s="366"/>
      <c r="T27" s="350"/>
      <c r="U27" s="350"/>
      <c r="V27" s="350"/>
      <c r="W27" s="351"/>
      <c r="X27" s="350"/>
      <c r="Y27" s="350"/>
      <c r="Z27" s="350"/>
      <c r="AA27" s="351"/>
      <c r="AB27" s="512"/>
      <c r="AC27" s="513"/>
    </row>
    <row r="28" spans="1:29" s="1" customFormat="1">
      <c r="A28" s="468"/>
      <c r="B28" s="447"/>
      <c r="C28" s="368"/>
      <c r="D28" s="106"/>
      <c r="E28" s="106"/>
      <c r="F28" s="106"/>
      <c r="G28" s="106"/>
      <c r="H28" s="106"/>
      <c r="I28" s="368"/>
      <c r="J28" s="368"/>
      <c r="K28" s="106"/>
      <c r="L28" s="106"/>
      <c r="M28" s="106"/>
      <c r="N28" s="368"/>
      <c r="O28" s="368"/>
      <c r="P28" s="106"/>
      <c r="Q28" s="368"/>
      <c r="R28" s="368"/>
      <c r="S28" s="368"/>
      <c r="T28" s="352"/>
      <c r="U28" s="352"/>
      <c r="V28" s="352"/>
      <c r="W28" s="353"/>
      <c r="X28" s="352"/>
      <c r="Y28" s="352"/>
      <c r="Z28" s="352"/>
      <c r="AA28" s="353"/>
      <c r="AB28" s="514"/>
      <c r="AC28" s="515"/>
    </row>
    <row r="29" spans="1:29">
      <c r="A29" s="468"/>
      <c r="B29" s="446"/>
      <c r="C29" s="446"/>
      <c r="D29" s="459"/>
      <c r="E29" s="459"/>
      <c r="F29" s="459"/>
      <c r="G29" s="459"/>
      <c r="H29" s="459"/>
      <c r="I29" s="446"/>
      <c r="J29" s="446"/>
      <c r="K29" s="459"/>
      <c r="L29" s="469"/>
      <c r="M29" s="459"/>
      <c r="N29" s="446"/>
      <c r="O29" s="446"/>
      <c r="P29" s="459"/>
      <c r="Q29" s="446"/>
      <c r="R29" s="446"/>
      <c r="S29" s="446"/>
      <c r="T29" s="354"/>
      <c r="U29" s="354"/>
      <c r="V29" s="354"/>
      <c r="W29" s="355"/>
      <c r="X29" s="354"/>
      <c r="Y29" s="354"/>
      <c r="Z29" s="354"/>
      <c r="AA29" s="355"/>
      <c r="AB29" s="514"/>
      <c r="AC29" s="515"/>
    </row>
    <row r="30" spans="1:29" s="1" customFormat="1">
      <c r="A30" s="468"/>
      <c r="B30" s="447"/>
      <c r="C30" s="368"/>
      <c r="D30" s="106"/>
      <c r="E30" s="106"/>
      <c r="F30" s="106"/>
      <c r="G30" s="106"/>
      <c r="H30" s="106"/>
      <c r="I30" s="368"/>
      <c r="J30" s="368"/>
      <c r="K30" s="106"/>
      <c r="L30" s="106"/>
      <c r="M30" s="106"/>
      <c r="N30" s="368"/>
      <c r="O30" s="368"/>
      <c r="P30" s="106"/>
      <c r="Q30" s="368"/>
      <c r="R30" s="368"/>
      <c r="S30" s="368"/>
      <c r="T30" s="352"/>
      <c r="U30" s="352"/>
      <c r="V30" s="352"/>
      <c r="W30" s="353"/>
      <c r="X30" s="352"/>
      <c r="Y30" s="352"/>
      <c r="Z30" s="352"/>
      <c r="AA30" s="353"/>
      <c r="AB30" s="514"/>
      <c r="AC30" s="515"/>
    </row>
    <row r="31" spans="1:29">
      <c r="A31" s="468"/>
      <c r="B31" s="447"/>
      <c r="C31" s="368"/>
      <c r="D31" s="106"/>
      <c r="E31" s="106"/>
      <c r="F31" s="106"/>
      <c r="G31" s="106"/>
      <c r="H31" s="106"/>
      <c r="I31" s="368"/>
      <c r="J31" s="368"/>
      <c r="K31" s="106"/>
      <c r="L31" s="106"/>
      <c r="M31" s="106"/>
      <c r="N31" s="368"/>
      <c r="O31" s="368"/>
      <c r="P31" s="106"/>
      <c r="Q31" s="368"/>
      <c r="R31" s="368"/>
      <c r="S31" s="368"/>
      <c r="T31" s="352"/>
      <c r="U31" s="352"/>
      <c r="V31" s="352"/>
      <c r="W31" s="353"/>
      <c r="X31" s="352"/>
      <c r="Y31" s="352"/>
      <c r="Z31" s="352"/>
      <c r="AA31" s="353"/>
      <c r="AB31" s="514"/>
      <c r="AC31" s="515"/>
    </row>
    <row r="32" spans="1:29" s="1" customFormat="1">
      <c r="A32" s="468"/>
      <c r="B32" s="445"/>
      <c r="C32" s="446"/>
      <c r="D32" s="459"/>
      <c r="E32" s="459"/>
      <c r="F32" s="459"/>
      <c r="G32" s="459"/>
      <c r="H32" s="459"/>
      <c r="I32" s="446"/>
      <c r="J32" s="446"/>
      <c r="K32" s="459"/>
      <c r="L32" s="469"/>
      <c r="M32" s="459"/>
      <c r="N32" s="446"/>
      <c r="O32" s="446"/>
      <c r="P32" s="459"/>
      <c r="Q32" s="446"/>
      <c r="R32" s="445"/>
      <c r="S32" s="445"/>
      <c r="T32" s="356"/>
      <c r="U32" s="356"/>
      <c r="V32" s="356"/>
      <c r="W32" s="357"/>
      <c r="X32" s="356"/>
      <c r="Y32" s="356"/>
      <c r="Z32" s="356"/>
      <c r="AA32" s="357"/>
      <c r="AB32" s="514"/>
      <c r="AC32" s="515"/>
    </row>
    <row r="33" spans="1:29">
      <c r="A33" s="523"/>
      <c r="B33" s="444"/>
      <c r="C33" s="460"/>
      <c r="D33" s="461"/>
      <c r="E33" s="461"/>
      <c r="F33" s="461"/>
      <c r="G33" s="461"/>
      <c r="H33" s="461"/>
      <c r="I33" s="460"/>
      <c r="J33" s="460"/>
      <c r="K33" s="461"/>
      <c r="L33" s="463"/>
      <c r="M33" s="461"/>
      <c r="N33" s="460"/>
      <c r="O33" s="460"/>
      <c r="P33" s="461"/>
      <c r="Q33" s="460"/>
      <c r="R33" s="460"/>
      <c r="S33" s="460"/>
      <c r="T33" s="358"/>
      <c r="U33" s="358"/>
      <c r="V33" s="358"/>
      <c r="W33" s="359"/>
      <c r="X33" s="358"/>
      <c r="Y33" s="358"/>
      <c r="Z33" s="358"/>
      <c r="AA33" s="359"/>
      <c r="AB33" s="514"/>
      <c r="AC33" s="515"/>
    </row>
    <row r="34" spans="1:29" s="1" customFormat="1">
      <c r="A34" s="467"/>
      <c r="B34" s="362"/>
      <c r="C34" s="366"/>
      <c r="D34" s="367"/>
      <c r="E34" s="367"/>
      <c r="F34" s="367"/>
      <c r="G34" s="367"/>
      <c r="H34" s="367"/>
      <c r="I34" s="366"/>
      <c r="J34" s="366"/>
      <c r="K34" s="367"/>
      <c r="L34" s="367"/>
      <c r="M34" s="367"/>
      <c r="N34" s="366"/>
      <c r="O34" s="366"/>
      <c r="P34" s="367"/>
      <c r="Q34" s="366"/>
      <c r="R34" s="366"/>
      <c r="S34" s="366"/>
      <c r="T34" s="350"/>
      <c r="U34" s="350"/>
      <c r="V34" s="350"/>
      <c r="W34" s="351"/>
      <c r="X34" s="350"/>
      <c r="Y34" s="350"/>
      <c r="Z34" s="350"/>
      <c r="AA34" s="351"/>
      <c r="AB34" s="512"/>
      <c r="AC34" s="513"/>
    </row>
    <row r="35" spans="1:29">
      <c r="A35" s="468"/>
      <c r="B35" s="447"/>
      <c r="C35" s="368"/>
      <c r="D35" s="106"/>
      <c r="E35" s="106"/>
      <c r="F35" s="106"/>
      <c r="G35" s="106"/>
      <c r="H35" s="106"/>
      <c r="I35" s="368"/>
      <c r="J35" s="368"/>
      <c r="K35" s="106"/>
      <c r="L35" s="106"/>
      <c r="M35" s="106"/>
      <c r="N35" s="368"/>
      <c r="O35" s="368"/>
      <c r="P35" s="106"/>
      <c r="Q35" s="368"/>
      <c r="R35" s="368"/>
      <c r="S35" s="368"/>
      <c r="T35" s="352"/>
      <c r="U35" s="352"/>
      <c r="V35" s="352"/>
      <c r="W35" s="353"/>
      <c r="X35" s="352"/>
      <c r="Y35" s="352"/>
      <c r="Z35" s="352"/>
      <c r="AA35" s="353"/>
      <c r="AB35" s="514"/>
      <c r="AC35" s="515"/>
    </row>
    <row r="36" spans="1:29" s="1" customFormat="1">
      <c r="A36" s="468"/>
      <c r="B36" s="446"/>
      <c r="C36" s="446"/>
      <c r="D36" s="459"/>
      <c r="E36" s="459"/>
      <c r="F36" s="459"/>
      <c r="G36" s="459"/>
      <c r="H36" s="459"/>
      <c r="I36" s="446"/>
      <c r="J36" s="446"/>
      <c r="K36" s="459"/>
      <c r="L36" s="459"/>
      <c r="M36" s="459"/>
      <c r="N36" s="446"/>
      <c r="O36" s="446"/>
      <c r="P36" s="459"/>
      <c r="Q36" s="446"/>
      <c r="R36" s="446"/>
      <c r="S36" s="446"/>
      <c r="T36" s="354"/>
      <c r="U36" s="354"/>
      <c r="V36" s="354"/>
      <c r="W36" s="355"/>
      <c r="X36" s="354"/>
      <c r="Y36" s="354"/>
      <c r="Z36" s="354"/>
      <c r="AA36" s="355"/>
      <c r="AB36" s="514"/>
      <c r="AC36" s="515"/>
    </row>
    <row r="37" spans="1:29">
      <c r="A37" s="468"/>
      <c r="B37" s="447"/>
      <c r="C37" s="368"/>
      <c r="D37" s="106"/>
      <c r="E37" s="106"/>
      <c r="F37" s="106"/>
      <c r="G37" s="106"/>
      <c r="H37" s="106"/>
      <c r="I37" s="368"/>
      <c r="J37" s="368"/>
      <c r="K37" s="106"/>
      <c r="L37" s="106"/>
      <c r="M37" s="106"/>
      <c r="N37" s="368"/>
      <c r="O37" s="368"/>
      <c r="P37" s="106"/>
      <c r="Q37" s="368"/>
      <c r="R37" s="368"/>
      <c r="S37" s="368"/>
      <c r="T37" s="352"/>
      <c r="U37" s="352"/>
      <c r="V37" s="352"/>
      <c r="W37" s="353"/>
      <c r="X37" s="352"/>
      <c r="Y37" s="352"/>
      <c r="Z37" s="352"/>
      <c r="AA37" s="353"/>
      <c r="AB37" s="514"/>
      <c r="AC37" s="515"/>
    </row>
    <row r="38" spans="1:29" s="1" customFormat="1">
      <c r="A38" s="468"/>
      <c r="B38" s="447"/>
      <c r="C38" s="368"/>
      <c r="D38" s="106"/>
      <c r="E38" s="106"/>
      <c r="F38" s="106"/>
      <c r="G38" s="106"/>
      <c r="H38" s="106"/>
      <c r="I38" s="368"/>
      <c r="J38" s="368"/>
      <c r="K38" s="106"/>
      <c r="L38" s="106"/>
      <c r="M38" s="106"/>
      <c r="N38" s="368"/>
      <c r="O38" s="368"/>
      <c r="P38" s="106"/>
      <c r="Q38" s="368"/>
      <c r="R38" s="368"/>
      <c r="S38" s="368"/>
      <c r="T38" s="352"/>
      <c r="U38" s="352"/>
      <c r="V38" s="352"/>
      <c r="W38" s="353"/>
      <c r="X38" s="352"/>
      <c r="Y38" s="352"/>
      <c r="Z38" s="352"/>
      <c r="AA38" s="353"/>
      <c r="AB38" s="514"/>
      <c r="AC38" s="515"/>
    </row>
    <row r="39" spans="1:29">
      <c r="A39" s="468"/>
      <c r="B39" s="445"/>
      <c r="C39" s="446"/>
      <c r="D39" s="459"/>
      <c r="E39" s="459"/>
      <c r="F39" s="459"/>
      <c r="G39" s="459"/>
      <c r="H39" s="459"/>
      <c r="I39" s="446"/>
      <c r="J39" s="446"/>
      <c r="K39" s="459"/>
      <c r="L39" s="459"/>
      <c r="M39" s="459"/>
      <c r="N39" s="446"/>
      <c r="O39" s="446"/>
      <c r="P39" s="459"/>
      <c r="Q39" s="446"/>
      <c r="R39" s="445"/>
      <c r="S39" s="445"/>
      <c r="T39" s="356"/>
      <c r="U39" s="356"/>
      <c r="V39" s="356"/>
      <c r="W39" s="357"/>
      <c r="X39" s="356"/>
      <c r="Y39" s="356"/>
      <c r="Z39" s="356"/>
      <c r="AA39" s="357"/>
      <c r="AB39" s="514"/>
      <c r="AC39" s="515"/>
    </row>
    <row r="40" spans="1:29" s="1" customFormat="1">
      <c r="A40" s="523"/>
      <c r="B40" s="444"/>
      <c r="C40" s="460"/>
      <c r="D40" s="461"/>
      <c r="E40" s="461"/>
      <c r="F40" s="461"/>
      <c r="G40" s="461"/>
      <c r="H40" s="461"/>
      <c r="I40" s="460"/>
      <c r="J40" s="460"/>
      <c r="K40" s="461"/>
      <c r="L40" s="463"/>
      <c r="M40" s="461"/>
      <c r="N40" s="460"/>
      <c r="O40" s="460"/>
      <c r="P40" s="461"/>
      <c r="Q40" s="462"/>
      <c r="R40" s="460"/>
      <c r="S40" s="460"/>
      <c r="T40" s="358"/>
      <c r="U40" s="358"/>
      <c r="V40" s="358"/>
      <c r="W40" s="359"/>
      <c r="X40" s="358"/>
      <c r="Y40" s="358"/>
      <c r="Z40" s="358"/>
      <c r="AA40" s="359"/>
      <c r="AB40" s="514"/>
      <c r="AC40" s="515"/>
    </row>
    <row r="41" spans="1:29">
      <c r="A41" s="467"/>
      <c r="B41" s="362"/>
      <c r="C41" s="366"/>
      <c r="D41" s="367"/>
      <c r="E41" s="367"/>
      <c r="F41" s="367"/>
      <c r="G41" s="367"/>
      <c r="H41" s="367"/>
      <c r="I41" s="366"/>
      <c r="J41" s="366"/>
      <c r="K41" s="367"/>
      <c r="L41" s="367"/>
      <c r="M41" s="367"/>
      <c r="N41" s="366"/>
      <c r="O41" s="366"/>
      <c r="P41" s="367"/>
      <c r="Q41" s="366"/>
      <c r="R41" s="366"/>
      <c r="S41" s="366"/>
      <c r="T41" s="350"/>
      <c r="U41" s="350"/>
      <c r="V41" s="350"/>
      <c r="W41" s="351"/>
      <c r="X41" s="350"/>
      <c r="Y41" s="350"/>
      <c r="Z41" s="350"/>
      <c r="AA41" s="351"/>
      <c r="AB41" s="512"/>
      <c r="AC41" s="513"/>
    </row>
    <row r="42" spans="1:29" s="1" customFormat="1">
      <c r="A42" s="468"/>
      <c r="B42" s="447"/>
      <c r="C42" s="368"/>
      <c r="D42" s="106"/>
      <c r="E42" s="106"/>
      <c r="F42" s="106"/>
      <c r="G42" s="106"/>
      <c r="H42" s="106"/>
      <c r="I42" s="368"/>
      <c r="J42" s="368"/>
      <c r="K42" s="106"/>
      <c r="L42" s="106"/>
      <c r="M42" s="106"/>
      <c r="N42" s="368"/>
      <c r="O42" s="368"/>
      <c r="P42" s="106"/>
      <c r="Q42" s="368"/>
      <c r="R42" s="368"/>
      <c r="S42" s="368"/>
      <c r="T42" s="352"/>
      <c r="U42" s="352"/>
      <c r="V42" s="352"/>
      <c r="W42" s="353"/>
      <c r="X42" s="352"/>
      <c r="Y42" s="352"/>
      <c r="Z42" s="352"/>
      <c r="AA42" s="353"/>
      <c r="AB42" s="514"/>
      <c r="AC42" s="515"/>
    </row>
    <row r="43" spans="1:29">
      <c r="A43" s="468"/>
      <c r="B43" s="446"/>
      <c r="C43" s="446"/>
      <c r="D43" s="459"/>
      <c r="E43" s="459"/>
      <c r="F43" s="459"/>
      <c r="G43" s="459"/>
      <c r="H43" s="459"/>
      <c r="I43" s="446"/>
      <c r="J43" s="446"/>
      <c r="K43" s="459"/>
      <c r="L43" s="459"/>
      <c r="M43" s="459"/>
      <c r="N43" s="446"/>
      <c r="O43" s="446"/>
      <c r="P43" s="459"/>
      <c r="Q43" s="446"/>
      <c r="R43" s="446"/>
      <c r="S43" s="446"/>
      <c r="T43" s="354"/>
      <c r="U43" s="354"/>
      <c r="V43" s="354"/>
      <c r="W43" s="355"/>
      <c r="X43" s="354"/>
      <c r="Y43" s="354"/>
      <c r="Z43" s="354"/>
      <c r="AA43" s="355"/>
      <c r="AB43" s="514"/>
      <c r="AC43" s="515"/>
    </row>
    <row r="44" spans="1:29" s="1" customFormat="1">
      <c r="A44" s="468"/>
      <c r="B44" s="447"/>
      <c r="C44" s="368"/>
      <c r="D44" s="106"/>
      <c r="E44" s="106"/>
      <c r="F44" s="106"/>
      <c r="G44" s="106"/>
      <c r="H44" s="106"/>
      <c r="I44" s="368"/>
      <c r="J44" s="368"/>
      <c r="K44" s="106"/>
      <c r="L44" s="106"/>
      <c r="M44" s="106"/>
      <c r="N44" s="368"/>
      <c r="O44" s="368"/>
      <c r="P44" s="106"/>
      <c r="Q44" s="368"/>
      <c r="R44" s="368"/>
      <c r="S44" s="368"/>
      <c r="T44" s="352"/>
      <c r="U44" s="352"/>
      <c r="V44" s="352"/>
      <c r="W44" s="353"/>
      <c r="X44" s="352"/>
      <c r="Y44" s="352"/>
      <c r="Z44" s="352"/>
      <c r="AA44" s="353"/>
      <c r="AB44" s="514"/>
      <c r="AC44" s="515"/>
    </row>
    <row r="45" spans="1:29">
      <c r="A45" s="468"/>
      <c r="B45" s="447"/>
      <c r="C45" s="368"/>
      <c r="D45" s="106"/>
      <c r="E45" s="106"/>
      <c r="F45" s="106"/>
      <c r="G45" s="106"/>
      <c r="H45" s="106"/>
      <c r="I45" s="368"/>
      <c r="J45" s="368"/>
      <c r="K45" s="106"/>
      <c r="L45" s="106"/>
      <c r="M45" s="106"/>
      <c r="N45" s="368"/>
      <c r="O45" s="368"/>
      <c r="P45" s="106"/>
      <c r="Q45" s="368"/>
      <c r="R45" s="368"/>
      <c r="S45" s="368"/>
      <c r="T45" s="352"/>
      <c r="U45" s="352"/>
      <c r="V45" s="352"/>
      <c r="W45" s="353"/>
      <c r="X45" s="352"/>
      <c r="Y45" s="352"/>
      <c r="Z45" s="352"/>
      <c r="AA45" s="353"/>
      <c r="AB45" s="514"/>
      <c r="AC45" s="515"/>
    </row>
    <row r="46" spans="1:29" s="1" customFormat="1">
      <c r="A46" s="468"/>
      <c r="B46" s="445"/>
      <c r="C46" s="446"/>
      <c r="D46" s="459"/>
      <c r="E46" s="459"/>
      <c r="F46" s="459"/>
      <c r="G46" s="459"/>
      <c r="H46" s="459"/>
      <c r="I46" s="446"/>
      <c r="J46" s="446"/>
      <c r="K46" s="459"/>
      <c r="L46" s="459"/>
      <c r="M46" s="459"/>
      <c r="N46" s="446"/>
      <c r="O46" s="446"/>
      <c r="P46" s="459"/>
      <c r="Q46" s="446"/>
      <c r="R46" s="445"/>
      <c r="S46" s="445"/>
      <c r="T46" s="356"/>
      <c r="U46" s="356"/>
      <c r="V46" s="356"/>
      <c r="W46" s="357"/>
      <c r="X46" s="356"/>
      <c r="Y46" s="356"/>
      <c r="Z46" s="356"/>
      <c r="AA46" s="357"/>
      <c r="AB46" s="514"/>
      <c r="AC46" s="515"/>
    </row>
    <row r="47" spans="1:29">
      <c r="A47" s="523"/>
      <c r="B47" s="444"/>
      <c r="C47" s="460"/>
      <c r="D47" s="461"/>
      <c r="E47" s="461"/>
      <c r="F47" s="461"/>
      <c r="G47" s="461"/>
      <c r="H47" s="461"/>
      <c r="I47" s="460"/>
      <c r="J47" s="460"/>
      <c r="K47" s="461"/>
      <c r="L47" s="461"/>
      <c r="M47" s="461"/>
      <c r="N47" s="460"/>
      <c r="O47" s="460"/>
      <c r="P47" s="461"/>
      <c r="Q47" s="462"/>
      <c r="R47" s="460"/>
      <c r="S47" s="460"/>
      <c r="T47" s="358"/>
      <c r="U47" s="358"/>
      <c r="V47" s="358"/>
      <c r="W47" s="359"/>
      <c r="X47" s="358"/>
      <c r="Y47" s="358"/>
      <c r="Z47" s="358"/>
      <c r="AA47" s="359"/>
      <c r="AB47" s="514"/>
      <c r="AC47" s="515"/>
    </row>
    <row r="48" spans="1:29" s="1" customFormat="1">
      <c r="A48" s="467"/>
      <c r="B48" s="362"/>
      <c r="C48" s="366"/>
      <c r="D48" s="367"/>
      <c r="E48" s="367"/>
      <c r="F48" s="367"/>
      <c r="G48" s="367"/>
      <c r="H48" s="367"/>
      <c r="I48" s="366"/>
      <c r="J48" s="366"/>
      <c r="K48" s="367"/>
      <c r="L48" s="367"/>
      <c r="M48" s="367"/>
      <c r="N48" s="366"/>
      <c r="O48" s="366"/>
      <c r="P48" s="367"/>
      <c r="Q48" s="366"/>
      <c r="R48" s="366"/>
      <c r="S48" s="366"/>
      <c r="T48" s="350"/>
      <c r="U48" s="350"/>
      <c r="V48" s="350"/>
      <c r="W48" s="351"/>
      <c r="X48" s="350"/>
      <c r="Y48" s="350"/>
      <c r="Z48" s="350"/>
      <c r="AA48" s="351"/>
      <c r="AB48" s="512"/>
      <c r="AC48" s="513"/>
    </row>
    <row r="49" spans="1:29">
      <c r="A49" s="468"/>
      <c r="B49" s="447"/>
      <c r="C49" s="368"/>
      <c r="D49" s="106"/>
      <c r="E49" s="106"/>
      <c r="F49" s="106"/>
      <c r="G49" s="106"/>
      <c r="H49" s="106"/>
      <c r="I49" s="368"/>
      <c r="J49" s="368"/>
      <c r="K49" s="106"/>
      <c r="L49" s="106"/>
      <c r="M49" s="106"/>
      <c r="N49" s="368"/>
      <c r="O49" s="368"/>
      <c r="P49" s="106"/>
      <c r="Q49" s="368"/>
      <c r="R49" s="368"/>
      <c r="S49" s="368"/>
      <c r="T49" s="352"/>
      <c r="U49" s="352"/>
      <c r="V49" s="352"/>
      <c r="W49" s="353"/>
      <c r="X49" s="352"/>
      <c r="Y49" s="352"/>
      <c r="Z49" s="352"/>
      <c r="AA49" s="353"/>
      <c r="AB49" s="514"/>
      <c r="AC49" s="515"/>
    </row>
    <row r="50" spans="1:29" s="1" customFormat="1">
      <c r="A50" s="468"/>
      <c r="B50" s="446"/>
      <c r="C50" s="446"/>
      <c r="D50" s="459"/>
      <c r="E50" s="459"/>
      <c r="F50" s="459"/>
      <c r="G50" s="459"/>
      <c r="H50" s="469"/>
      <c r="I50" s="446"/>
      <c r="J50" s="446"/>
      <c r="K50" s="459"/>
      <c r="L50" s="459"/>
      <c r="M50" s="469"/>
      <c r="N50" s="446"/>
      <c r="O50" s="446"/>
      <c r="P50" s="459"/>
      <c r="Q50" s="446"/>
      <c r="R50" s="446"/>
      <c r="S50" s="446"/>
      <c r="T50" s="354"/>
      <c r="U50" s="354"/>
      <c r="V50" s="354"/>
      <c r="W50" s="355"/>
      <c r="X50" s="354"/>
      <c r="Y50" s="354"/>
      <c r="Z50" s="354"/>
      <c r="AA50" s="355"/>
      <c r="AB50" s="514"/>
      <c r="AC50" s="515"/>
    </row>
    <row r="51" spans="1:29">
      <c r="A51" s="468"/>
      <c r="B51" s="447"/>
      <c r="C51" s="368"/>
      <c r="D51" s="106"/>
      <c r="E51" s="106"/>
      <c r="F51" s="106"/>
      <c r="G51" s="106"/>
      <c r="H51" s="106"/>
      <c r="I51" s="368"/>
      <c r="J51" s="368"/>
      <c r="K51" s="106"/>
      <c r="L51" s="106"/>
      <c r="M51" s="106"/>
      <c r="N51" s="368"/>
      <c r="O51" s="368"/>
      <c r="P51" s="106"/>
      <c r="Q51" s="368"/>
      <c r="R51" s="368"/>
      <c r="S51" s="368"/>
      <c r="T51" s="352"/>
      <c r="U51" s="352"/>
      <c r="V51" s="352"/>
      <c r="W51" s="353"/>
      <c r="X51" s="352"/>
      <c r="Y51" s="352"/>
      <c r="Z51" s="352"/>
      <c r="AA51" s="353"/>
      <c r="AB51" s="514"/>
      <c r="AC51" s="515"/>
    </row>
    <row r="52" spans="1:29" s="1" customFormat="1">
      <c r="A52" s="468"/>
      <c r="B52" s="447"/>
      <c r="C52" s="368"/>
      <c r="D52" s="106"/>
      <c r="E52" s="106"/>
      <c r="F52" s="106"/>
      <c r="G52" s="106"/>
      <c r="H52" s="106"/>
      <c r="I52" s="368"/>
      <c r="J52" s="368"/>
      <c r="K52" s="106"/>
      <c r="L52" s="106"/>
      <c r="M52" s="106"/>
      <c r="N52" s="368"/>
      <c r="O52" s="368"/>
      <c r="P52" s="106"/>
      <c r="Q52" s="368"/>
      <c r="R52" s="368"/>
      <c r="S52" s="368"/>
      <c r="T52" s="352"/>
      <c r="U52" s="352"/>
      <c r="V52" s="352"/>
      <c r="W52" s="353"/>
      <c r="X52" s="352"/>
      <c r="Y52" s="352"/>
      <c r="Z52" s="352"/>
      <c r="AA52" s="353"/>
      <c r="AB52" s="514"/>
      <c r="AC52" s="515"/>
    </row>
    <row r="53" spans="1:29">
      <c r="A53" s="468"/>
      <c r="B53" s="445"/>
      <c r="C53" s="446"/>
      <c r="D53" s="459"/>
      <c r="E53" s="459"/>
      <c r="F53" s="459"/>
      <c r="G53" s="459"/>
      <c r="H53" s="469"/>
      <c r="I53" s="446"/>
      <c r="J53" s="446"/>
      <c r="K53" s="459"/>
      <c r="L53" s="459"/>
      <c r="M53" s="469"/>
      <c r="N53" s="446"/>
      <c r="O53" s="446"/>
      <c r="P53" s="459"/>
      <c r="Q53" s="446"/>
      <c r="R53" s="445"/>
      <c r="S53" s="445"/>
      <c r="T53" s="356"/>
      <c r="U53" s="356"/>
      <c r="V53" s="356"/>
      <c r="W53" s="357"/>
      <c r="X53" s="356"/>
      <c r="Y53" s="356"/>
      <c r="Z53" s="356"/>
      <c r="AA53" s="357"/>
      <c r="AB53" s="514"/>
      <c r="AC53" s="515"/>
    </row>
    <row r="54" spans="1:29" s="1" customFormat="1">
      <c r="A54" s="523"/>
      <c r="B54" s="444"/>
      <c r="C54" s="460"/>
      <c r="D54" s="461"/>
      <c r="E54" s="461"/>
      <c r="F54" s="461"/>
      <c r="G54" s="461"/>
      <c r="H54" s="463"/>
      <c r="I54" s="460"/>
      <c r="J54" s="460"/>
      <c r="K54" s="461"/>
      <c r="L54" s="461"/>
      <c r="M54" s="461"/>
      <c r="N54" s="460"/>
      <c r="O54" s="460"/>
      <c r="P54" s="461"/>
      <c r="Q54" s="460"/>
      <c r="R54" s="460"/>
      <c r="S54" s="460"/>
      <c r="T54" s="358"/>
      <c r="U54" s="358"/>
      <c r="V54" s="358"/>
      <c r="W54" s="359"/>
      <c r="X54" s="358"/>
      <c r="Y54" s="358"/>
      <c r="Z54" s="358"/>
      <c r="AA54" s="359"/>
      <c r="AB54" s="514"/>
      <c r="AC54" s="515"/>
    </row>
    <row r="55" spans="1:29">
      <c r="A55" s="467"/>
      <c r="B55" s="362"/>
      <c r="C55" s="366"/>
      <c r="D55" s="367"/>
      <c r="E55" s="367"/>
      <c r="F55" s="367"/>
      <c r="G55" s="367"/>
      <c r="H55" s="367"/>
      <c r="I55" s="366"/>
      <c r="J55" s="366"/>
      <c r="K55" s="367"/>
      <c r="L55" s="367"/>
      <c r="M55" s="367"/>
      <c r="N55" s="366"/>
      <c r="O55" s="366"/>
      <c r="P55" s="367"/>
      <c r="Q55" s="366"/>
      <c r="R55" s="366"/>
      <c r="S55" s="366"/>
      <c r="T55" s="350"/>
      <c r="U55" s="350"/>
      <c r="V55" s="350"/>
      <c r="W55" s="351"/>
      <c r="X55" s="350"/>
      <c r="Y55" s="350"/>
      <c r="Z55" s="350"/>
      <c r="AA55" s="351"/>
      <c r="AB55" s="512"/>
      <c r="AC55" s="513"/>
    </row>
    <row r="56" spans="1:29" s="1" customFormat="1">
      <c r="A56" s="468"/>
      <c r="B56" s="447"/>
      <c r="C56" s="368"/>
      <c r="D56" s="106"/>
      <c r="E56" s="106"/>
      <c r="F56" s="106"/>
      <c r="G56" s="106"/>
      <c r="H56" s="106"/>
      <c r="I56" s="368"/>
      <c r="J56" s="368"/>
      <c r="K56" s="106"/>
      <c r="L56" s="106"/>
      <c r="M56" s="106"/>
      <c r="N56" s="368"/>
      <c r="O56" s="368"/>
      <c r="P56" s="106"/>
      <c r="Q56" s="368"/>
      <c r="R56" s="368"/>
      <c r="S56" s="368"/>
      <c r="T56" s="352"/>
      <c r="U56" s="352"/>
      <c r="V56" s="352"/>
      <c r="W56" s="353"/>
      <c r="X56" s="352"/>
      <c r="Y56" s="352"/>
      <c r="Z56" s="352"/>
      <c r="AA56" s="353"/>
      <c r="AB56" s="514"/>
      <c r="AC56" s="515"/>
    </row>
    <row r="57" spans="1:29">
      <c r="A57" s="468"/>
      <c r="B57" s="446"/>
      <c r="C57" s="446"/>
      <c r="D57" s="459"/>
      <c r="E57" s="459"/>
      <c r="F57" s="459"/>
      <c r="G57" s="459"/>
      <c r="H57" s="459"/>
      <c r="I57" s="446"/>
      <c r="J57" s="446"/>
      <c r="K57" s="459"/>
      <c r="L57" s="459"/>
      <c r="M57" s="459"/>
      <c r="N57" s="446"/>
      <c r="O57" s="446"/>
      <c r="P57" s="459"/>
      <c r="Q57" s="446"/>
      <c r="R57" s="446"/>
      <c r="S57" s="446"/>
      <c r="T57" s="354"/>
      <c r="U57" s="354"/>
      <c r="V57" s="354"/>
      <c r="W57" s="355"/>
      <c r="X57" s="354"/>
      <c r="Y57" s="354"/>
      <c r="Z57" s="354"/>
      <c r="AA57" s="355"/>
      <c r="AB57" s="514"/>
      <c r="AC57" s="515"/>
    </row>
    <row r="58" spans="1:29" s="1" customFormat="1">
      <c r="A58" s="468"/>
      <c r="B58" s="447"/>
      <c r="C58" s="368"/>
      <c r="D58" s="106"/>
      <c r="E58" s="106"/>
      <c r="F58" s="106"/>
      <c r="G58" s="106"/>
      <c r="H58" s="106"/>
      <c r="I58" s="368"/>
      <c r="J58" s="368"/>
      <c r="K58" s="106"/>
      <c r="L58" s="106"/>
      <c r="M58" s="106"/>
      <c r="N58" s="368"/>
      <c r="O58" s="368"/>
      <c r="P58" s="106"/>
      <c r="Q58" s="368"/>
      <c r="R58" s="368"/>
      <c r="S58" s="368"/>
      <c r="T58" s="352"/>
      <c r="U58" s="352"/>
      <c r="V58" s="352"/>
      <c r="W58" s="353"/>
      <c r="X58" s="352"/>
      <c r="Y58" s="352"/>
      <c r="Z58" s="352"/>
      <c r="AA58" s="353"/>
      <c r="AB58" s="514"/>
      <c r="AC58" s="515"/>
    </row>
    <row r="59" spans="1:29">
      <c r="A59" s="468"/>
      <c r="B59" s="447"/>
      <c r="C59" s="368"/>
      <c r="D59" s="106"/>
      <c r="E59" s="106"/>
      <c r="F59" s="106"/>
      <c r="G59" s="106"/>
      <c r="H59" s="106"/>
      <c r="I59" s="368"/>
      <c r="J59" s="368"/>
      <c r="K59" s="106"/>
      <c r="L59" s="106"/>
      <c r="M59" s="106"/>
      <c r="N59" s="368"/>
      <c r="O59" s="368"/>
      <c r="P59" s="106"/>
      <c r="Q59" s="368"/>
      <c r="R59" s="368"/>
      <c r="S59" s="368"/>
      <c r="T59" s="352"/>
      <c r="U59" s="352"/>
      <c r="V59" s="352"/>
      <c r="W59" s="353"/>
      <c r="X59" s="352"/>
      <c r="Y59" s="352"/>
      <c r="Z59" s="352"/>
      <c r="AA59" s="353"/>
      <c r="AB59" s="514"/>
      <c r="AC59" s="515"/>
    </row>
    <row r="60" spans="1:29" s="1" customFormat="1">
      <c r="A60" s="468"/>
      <c r="B60" s="445"/>
      <c r="C60" s="446"/>
      <c r="D60" s="459"/>
      <c r="E60" s="459"/>
      <c r="F60" s="459"/>
      <c r="G60" s="459"/>
      <c r="H60" s="459"/>
      <c r="I60" s="446"/>
      <c r="J60" s="446"/>
      <c r="K60" s="459"/>
      <c r="L60" s="459"/>
      <c r="M60" s="459"/>
      <c r="N60" s="446"/>
      <c r="O60" s="446"/>
      <c r="P60" s="459"/>
      <c r="Q60" s="446"/>
      <c r="R60" s="445"/>
      <c r="S60" s="445"/>
      <c r="T60" s="356"/>
      <c r="U60" s="356"/>
      <c r="V60" s="356"/>
      <c r="W60" s="357"/>
      <c r="X60" s="356"/>
      <c r="Y60" s="356"/>
      <c r="Z60" s="356"/>
      <c r="AA60" s="357"/>
      <c r="AB60" s="514"/>
      <c r="AC60" s="515"/>
    </row>
    <row r="61" spans="1:29">
      <c r="A61" s="523"/>
      <c r="B61" s="444"/>
      <c r="C61" s="460"/>
      <c r="D61" s="461"/>
      <c r="E61" s="461"/>
      <c r="F61" s="461"/>
      <c r="G61" s="461"/>
      <c r="H61" s="461"/>
      <c r="I61" s="460"/>
      <c r="J61" s="460"/>
      <c r="K61" s="461"/>
      <c r="L61" s="461"/>
      <c r="M61" s="461"/>
      <c r="N61" s="460"/>
      <c r="O61" s="460"/>
      <c r="P61" s="461"/>
      <c r="Q61" s="460"/>
      <c r="R61" s="460"/>
      <c r="S61" s="460"/>
      <c r="T61" s="358"/>
      <c r="U61" s="358"/>
      <c r="V61" s="358"/>
      <c r="W61" s="359"/>
      <c r="X61" s="358"/>
      <c r="Y61" s="358"/>
      <c r="Z61" s="358"/>
      <c r="AA61" s="359"/>
      <c r="AB61" s="514"/>
      <c r="AC61" s="515"/>
    </row>
    <row r="62" spans="1:29" s="1" customFormat="1">
      <c r="A62" s="467"/>
      <c r="B62" s="362"/>
      <c r="C62" s="366"/>
      <c r="D62" s="367"/>
      <c r="E62" s="367"/>
      <c r="F62" s="367"/>
      <c r="G62" s="367"/>
      <c r="H62" s="367"/>
      <c r="I62" s="366"/>
      <c r="J62" s="366"/>
      <c r="K62" s="367"/>
      <c r="L62" s="367"/>
      <c r="M62" s="367"/>
      <c r="N62" s="366"/>
      <c r="O62" s="366"/>
      <c r="P62" s="367"/>
      <c r="Q62" s="366"/>
      <c r="R62" s="366"/>
      <c r="S62" s="366"/>
      <c r="T62" s="350"/>
      <c r="U62" s="350"/>
      <c r="V62" s="350"/>
      <c r="W62" s="351"/>
      <c r="X62" s="350"/>
      <c r="Y62" s="350"/>
      <c r="Z62" s="350"/>
      <c r="AA62" s="351"/>
      <c r="AB62" s="512"/>
      <c r="AC62" s="513"/>
    </row>
    <row r="63" spans="1:29">
      <c r="A63" s="468"/>
      <c r="B63" s="447"/>
      <c r="C63" s="368"/>
      <c r="D63" s="106"/>
      <c r="E63" s="106"/>
      <c r="F63" s="106"/>
      <c r="G63" s="106"/>
      <c r="H63" s="106"/>
      <c r="I63" s="368"/>
      <c r="J63" s="368"/>
      <c r="K63" s="106"/>
      <c r="L63" s="106"/>
      <c r="M63" s="106"/>
      <c r="N63" s="368"/>
      <c r="O63" s="368"/>
      <c r="P63" s="106"/>
      <c r="Q63" s="368"/>
      <c r="R63" s="368"/>
      <c r="S63" s="368"/>
      <c r="T63" s="352"/>
      <c r="U63" s="352"/>
      <c r="V63" s="352"/>
      <c r="W63" s="353"/>
      <c r="X63" s="352"/>
      <c r="Y63" s="352"/>
      <c r="Z63" s="352"/>
      <c r="AA63" s="353"/>
      <c r="AB63" s="514"/>
      <c r="AC63" s="515"/>
    </row>
    <row r="64" spans="1:29" s="1" customFormat="1">
      <c r="A64" s="468"/>
      <c r="B64" s="446"/>
      <c r="C64" s="446"/>
      <c r="D64" s="459"/>
      <c r="E64" s="459"/>
      <c r="F64" s="459"/>
      <c r="G64" s="459"/>
      <c r="H64" s="459"/>
      <c r="I64" s="446"/>
      <c r="J64" s="446"/>
      <c r="K64" s="459"/>
      <c r="L64" s="459"/>
      <c r="M64" s="459"/>
      <c r="N64" s="446"/>
      <c r="O64" s="446"/>
      <c r="P64" s="459"/>
      <c r="Q64" s="446"/>
      <c r="R64" s="446"/>
      <c r="S64" s="446"/>
      <c r="T64" s="354"/>
      <c r="U64" s="354"/>
      <c r="V64" s="354"/>
      <c r="W64" s="355"/>
      <c r="X64" s="354"/>
      <c r="Y64" s="354"/>
      <c r="Z64" s="354"/>
      <c r="AA64" s="355"/>
      <c r="AB64" s="514"/>
      <c r="AC64" s="515"/>
    </row>
    <row r="65" spans="1:29">
      <c r="A65" s="468"/>
      <c r="B65" s="447"/>
      <c r="C65" s="368"/>
      <c r="D65" s="106"/>
      <c r="E65" s="106"/>
      <c r="F65" s="106"/>
      <c r="G65" s="106"/>
      <c r="H65" s="106"/>
      <c r="I65" s="368"/>
      <c r="J65" s="368"/>
      <c r="K65" s="106"/>
      <c r="L65" s="106"/>
      <c r="M65" s="106"/>
      <c r="N65" s="368"/>
      <c r="O65" s="368"/>
      <c r="P65" s="106"/>
      <c r="Q65" s="368"/>
      <c r="R65" s="368"/>
      <c r="S65" s="368"/>
      <c r="T65" s="352"/>
      <c r="U65" s="352"/>
      <c r="V65" s="352"/>
      <c r="W65" s="353"/>
      <c r="X65" s="352"/>
      <c r="Y65" s="352"/>
      <c r="Z65" s="352"/>
      <c r="AA65" s="353"/>
      <c r="AB65" s="514"/>
      <c r="AC65" s="515"/>
    </row>
    <row r="66" spans="1:29" s="1" customFormat="1">
      <c r="A66" s="468"/>
      <c r="B66" s="447"/>
      <c r="C66" s="368"/>
      <c r="D66" s="106"/>
      <c r="E66" s="106"/>
      <c r="F66" s="106"/>
      <c r="G66" s="106"/>
      <c r="H66" s="106"/>
      <c r="I66" s="368"/>
      <c r="J66" s="368"/>
      <c r="K66" s="106"/>
      <c r="L66" s="106"/>
      <c r="M66" s="106"/>
      <c r="N66" s="368"/>
      <c r="O66" s="368"/>
      <c r="P66" s="106"/>
      <c r="Q66" s="368"/>
      <c r="R66" s="368"/>
      <c r="S66" s="368"/>
      <c r="T66" s="352"/>
      <c r="U66" s="352"/>
      <c r="V66" s="352"/>
      <c r="W66" s="353"/>
      <c r="X66" s="352"/>
      <c r="Y66" s="352"/>
      <c r="Z66" s="352"/>
      <c r="AA66" s="353"/>
      <c r="AB66" s="514"/>
      <c r="AC66" s="515"/>
    </row>
    <row r="67" spans="1:29">
      <c r="A67" s="468"/>
      <c r="B67" s="445"/>
      <c r="C67" s="446"/>
      <c r="D67" s="459"/>
      <c r="E67" s="459"/>
      <c r="F67" s="459"/>
      <c r="G67" s="459"/>
      <c r="H67" s="459"/>
      <c r="I67" s="446"/>
      <c r="J67" s="446"/>
      <c r="K67" s="459"/>
      <c r="L67" s="459"/>
      <c r="M67" s="459"/>
      <c r="N67" s="446"/>
      <c r="O67" s="446"/>
      <c r="P67" s="459"/>
      <c r="Q67" s="446"/>
      <c r="R67" s="445"/>
      <c r="S67" s="445"/>
      <c r="T67" s="356"/>
      <c r="U67" s="356"/>
      <c r="V67" s="356"/>
      <c r="W67" s="357"/>
      <c r="X67" s="356"/>
      <c r="Y67" s="356"/>
      <c r="Z67" s="356"/>
      <c r="AA67" s="357"/>
      <c r="AB67" s="514"/>
      <c r="AC67" s="515"/>
    </row>
    <row r="68" spans="1:29" s="1" customFormat="1">
      <c r="A68" s="468"/>
      <c r="B68" s="444"/>
      <c r="C68" s="460"/>
      <c r="D68" s="461"/>
      <c r="E68" s="461"/>
      <c r="F68" s="461"/>
      <c r="G68" s="461"/>
      <c r="H68" s="461"/>
      <c r="I68" s="460"/>
      <c r="J68" s="460"/>
      <c r="K68" s="461"/>
      <c r="L68" s="461"/>
      <c r="M68" s="461"/>
      <c r="N68" s="460"/>
      <c r="O68" s="460"/>
      <c r="P68" s="461"/>
      <c r="Q68" s="460"/>
      <c r="R68" s="460"/>
      <c r="S68" s="460"/>
      <c r="T68" s="358"/>
      <c r="U68" s="358"/>
      <c r="V68" s="358"/>
      <c r="W68" s="359"/>
      <c r="X68" s="358"/>
      <c r="Y68" s="358"/>
      <c r="Z68" s="358"/>
      <c r="AA68" s="359"/>
      <c r="AB68" s="514"/>
      <c r="AC68" s="515"/>
    </row>
    <row r="69" spans="1:29">
      <c r="A69" s="467"/>
      <c r="B69" s="362"/>
      <c r="C69" s="366"/>
      <c r="D69" s="367"/>
      <c r="E69" s="367"/>
      <c r="F69" s="367"/>
      <c r="G69" s="367"/>
      <c r="H69" s="367"/>
      <c r="I69" s="366"/>
      <c r="J69" s="366"/>
      <c r="K69" s="367"/>
      <c r="L69" s="367"/>
      <c r="M69" s="367"/>
      <c r="N69" s="366"/>
      <c r="O69" s="366"/>
      <c r="P69" s="367"/>
      <c r="Q69" s="366"/>
      <c r="R69" s="366"/>
      <c r="S69" s="366"/>
      <c r="T69" s="350"/>
      <c r="U69" s="350"/>
      <c r="V69" s="350"/>
      <c r="W69" s="351"/>
      <c r="X69" s="350"/>
      <c r="Y69" s="350"/>
      <c r="Z69" s="350"/>
      <c r="AA69" s="351"/>
      <c r="AB69" s="512"/>
      <c r="AC69" s="513"/>
    </row>
    <row r="70" spans="1:29" s="1" customFormat="1">
      <c r="A70" s="468"/>
      <c r="B70" s="447"/>
      <c r="C70" s="368"/>
      <c r="D70" s="106"/>
      <c r="E70" s="106"/>
      <c r="F70" s="106"/>
      <c r="G70" s="106"/>
      <c r="H70" s="106"/>
      <c r="I70" s="368"/>
      <c r="J70" s="368"/>
      <c r="K70" s="106"/>
      <c r="L70" s="106"/>
      <c r="M70" s="106"/>
      <c r="N70" s="368"/>
      <c r="O70" s="368"/>
      <c r="P70" s="106"/>
      <c r="Q70" s="368"/>
      <c r="R70" s="368"/>
      <c r="S70" s="368"/>
      <c r="T70" s="352"/>
      <c r="U70" s="352"/>
      <c r="V70" s="352"/>
      <c r="W70" s="353"/>
      <c r="X70" s="352"/>
      <c r="Y70" s="352"/>
      <c r="Z70" s="352"/>
      <c r="AA70" s="353"/>
      <c r="AB70" s="514"/>
      <c r="AC70" s="515"/>
    </row>
    <row r="71" spans="1:29">
      <c r="A71" s="468"/>
      <c r="B71" s="446"/>
      <c r="C71" s="446"/>
      <c r="D71" s="459"/>
      <c r="E71" s="459"/>
      <c r="F71" s="459"/>
      <c r="G71" s="459"/>
      <c r="H71" s="459"/>
      <c r="I71" s="446"/>
      <c r="J71" s="446"/>
      <c r="K71" s="459"/>
      <c r="L71" s="469"/>
      <c r="M71" s="469"/>
      <c r="N71" s="446"/>
      <c r="O71" s="446"/>
      <c r="P71" s="459"/>
      <c r="Q71" s="446"/>
      <c r="R71" s="446"/>
      <c r="S71" s="446"/>
      <c r="T71" s="354"/>
      <c r="U71" s="354"/>
      <c r="V71" s="354"/>
      <c r="W71" s="355"/>
      <c r="X71" s="354"/>
      <c r="Y71" s="354"/>
      <c r="Z71" s="354"/>
      <c r="AA71" s="355"/>
      <c r="AB71" s="514"/>
      <c r="AC71" s="515"/>
    </row>
    <row r="72" spans="1:29" s="1" customFormat="1">
      <c r="A72" s="468"/>
      <c r="B72" s="447"/>
      <c r="C72" s="368"/>
      <c r="D72" s="106"/>
      <c r="E72" s="106"/>
      <c r="F72" s="106"/>
      <c r="G72" s="106"/>
      <c r="H72" s="106"/>
      <c r="I72" s="368"/>
      <c r="J72" s="368"/>
      <c r="K72" s="106"/>
      <c r="L72" s="106"/>
      <c r="M72" s="106"/>
      <c r="N72" s="368"/>
      <c r="O72" s="368"/>
      <c r="P72" s="106"/>
      <c r="Q72" s="368"/>
      <c r="R72" s="368"/>
      <c r="S72" s="368"/>
      <c r="T72" s="352"/>
      <c r="U72" s="352"/>
      <c r="V72" s="352"/>
      <c r="W72" s="353"/>
      <c r="X72" s="352"/>
      <c r="Y72" s="352"/>
      <c r="Z72" s="352"/>
      <c r="AA72" s="353"/>
      <c r="AB72" s="514"/>
      <c r="AC72" s="515"/>
    </row>
    <row r="73" spans="1:29">
      <c r="A73" s="468"/>
      <c r="B73" s="447"/>
      <c r="C73" s="368"/>
      <c r="D73" s="106"/>
      <c r="E73" s="106"/>
      <c r="F73" s="106"/>
      <c r="G73" s="106"/>
      <c r="H73" s="106"/>
      <c r="I73" s="368"/>
      <c r="J73" s="368"/>
      <c r="K73" s="106"/>
      <c r="L73" s="106"/>
      <c r="M73" s="106"/>
      <c r="N73" s="368"/>
      <c r="O73" s="368"/>
      <c r="P73" s="106"/>
      <c r="Q73" s="368"/>
      <c r="R73" s="368"/>
      <c r="S73" s="368"/>
      <c r="T73" s="352"/>
      <c r="U73" s="352"/>
      <c r="V73" s="352"/>
      <c r="W73" s="353"/>
      <c r="X73" s="352"/>
      <c r="Y73" s="352"/>
      <c r="Z73" s="352"/>
      <c r="AA73" s="353"/>
      <c r="AB73" s="514"/>
      <c r="AC73" s="515"/>
    </row>
    <row r="74" spans="1:29" s="1" customFormat="1">
      <c r="A74" s="468"/>
      <c r="B74" s="445"/>
      <c r="C74" s="446"/>
      <c r="D74" s="459"/>
      <c r="E74" s="459"/>
      <c r="F74" s="459"/>
      <c r="G74" s="459"/>
      <c r="H74" s="459"/>
      <c r="I74" s="446"/>
      <c r="J74" s="446"/>
      <c r="K74" s="459"/>
      <c r="L74" s="469"/>
      <c r="M74" s="469"/>
      <c r="N74" s="446"/>
      <c r="O74" s="446"/>
      <c r="P74" s="459"/>
      <c r="Q74" s="446"/>
      <c r="R74" s="445"/>
      <c r="S74" s="445"/>
      <c r="T74" s="356"/>
      <c r="U74" s="356"/>
      <c r="V74" s="356"/>
      <c r="W74" s="357"/>
      <c r="X74" s="356"/>
      <c r="Y74" s="356"/>
      <c r="Z74" s="356"/>
      <c r="AA74" s="357"/>
      <c r="AB74" s="514"/>
      <c r="AC74" s="515"/>
    </row>
    <row r="75" spans="1:29">
      <c r="A75" s="468"/>
      <c r="B75" s="444"/>
      <c r="C75" s="460"/>
      <c r="D75" s="461"/>
      <c r="E75" s="461"/>
      <c r="F75" s="463"/>
      <c r="G75" s="461"/>
      <c r="H75" s="461"/>
      <c r="I75" s="460"/>
      <c r="J75" s="460"/>
      <c r="K75" s="461"/>
      <c r="L75" s="463"/>
      <c r="M75" s="463"/>
      <c r="N75" s="460"/>
      <c r="O75" s="460"/>
      <c r="P75" s="461"/>
      <c r="Q75" s="460"/>
      <c r="R75" s="460"/>
      <c r="S75" s="460"/>
      <c r="T75" s="358"/>
      <c r="U75" s="358"/>
      <c r="V75" s="358"/>
      <c r="W75" s="359"/>
      <c r="X75" s="358"/>
      <c r="Y75" s="358"/>
      <c r="Z75" s="358"/>
      <c r="AA75" s="359"/>
      <c r="AB75" s="514"/>
      <c r="AC75" s="515"/>
    </row>
    <row r="76" spans="1:29" s="1" customFormat="1">
      <c r="A76" s="467"/>
      <c r="B76" s="362"/>
      <c r="C76" s="366"/>
      <c r="D76" s="367"/>
      <c r="E76" s="367"/>
      <c r="F76" s="367"/>
      <c r="G76" s="367"/>
      <c r="H76" s="367"/>
      <c r="I76" s="366"/>
      <c r="J76" s="366"/>
      <c r="K76" s="367"/>
      <c r="L76" s="367"/>
      <c r="M76" s="367"/>
      <c r="N76" s="366"/>
      <c r="O76" s="366"/>
      <c r="P76" s="367"/>
      <c r="Q76" s="366"/>
      <c r="R76" s="366"/>
      <c r="S76" s="366"/>
      <c r="T76" s="350"/>
      <c r="U76" s="350"/>
      <c r="V76" s="350"/>
      <c r="W76" s="351"/>
      <c r="X76" s="350"/>
      <c r="Y76" s="350"/>
      <c r="Z76" s="350"/>
      <c r="AA76" s="351"/>
      <c r="AB76" s="512"/>
      <c r="AC76" s="513"/>
    </row>
    <row r="77" spans="1:29">
      <c r="A77" s="468"/>
      <c r="B77" s="447"/>
      <c r="C77" s="368"/>
      <c r="D77" s="106"/>
      <c r="E77" s="106"/>
      <c r="F77" s="106"/>
      <c r="G77" s="106"/>
      <c r="H77" s="106"/>
      <c r="I77" s="368"/>
      <c r="J77" s="368"/>
      <c r="K77" s="106"/>
      <c r="L77" s="106"/>
      <c r="M77" s="106"/>
      <c r="N77" s="368"/>
      <c r="O77" s="368"/>
      <c r="P77" s="106"/>
      <c r="Q77" s="368"/>
      <c r="R77" s="368"/>
      <c r="S77" s="368"/>
      <c r="T77" s="352"/>
      <c r="U77" s="352"/>
      <c r="V77" s="352"/>
      <c r="W77" s="353"/>
      <c r="X77" s="352"/>
      <c r="Y77" s="352"/>
      <c r="Z77" s="352"/>
      <c r="AA77" s="353"/>
      <c r="AB77" s="514"/>
      <c r="AC77" s="515"/>
    </row>
    <row r="78" spans="1:29" s="1" customFormat="1">
      <c r="A78" s="468"/>
      <c r="B78" s="446"/>
      <c r="C78" s="446"/>
      <c r="D78" s="459"/>
      <c r="E78" s="459"/>
      <c r="F78" s="459"/>
      <c r="G78" s="459"/>
      <c r="H78" s="459"/>
      <c r="I78" s="446"/>
      <c r="J78" s="446"/>
      <c r="K78" s="459"/>
      <c r="L78" s="459"/>
      <c r="M78" s="459"/>
      <c r="N78" s="446"/>
      <c r="O78" s="446"/>
      <c r="P78" s="459"/>
      <c r="Q78" s="446"/>
      <c r="R78" s="446"/>
      <c r="S78" s="446"/>
      <c r="T78" s="354"/>
      <c r="U78" s="354"/>
      <c r="V78" s="354"/>
      <c r="W78" s="355"/>
      <c r="X78" s="354"/>
      <c r="Y78" s="354"/>
      <c r="Z78" s="354"/>
      <c r="AA78" s="355"/>
      <c r="AB78" s="514"/>
      <c r="AC78" s="515"/>
    </row>
    <row r="79" spans="1:29">
      <c r="A79" s="468"/>
      <c r="B79" s="447"/>
      <c r="C79" s="368"/>
      <c r="D79" s="106"/>
      <c r="E79" s="106"/>
      <c r="F79" s="106"/>
      <c r="G79" s="106"/>
      <c r="H79" s="106"/>
      <c r="I79" s="368"/>
      <c r="J79" s="368"/>
      <c r="K79" s="106"/>
      <c r="L79" s="106"/>
      <c r="M79" s="106"/>
      <c r="N79" s="368"/>
      <c r="O79" s="368"/>
      <c r="P79" s="106"/>
      <c r="Q79" s="368"/>
      <c r="R79" s="368"/>
      <c r="S79" s="368"/>
      <c r="T79" s="352"/>
      <c r="U79" s="352"/>
      <c r="V79" s="352"/>
      <c r="W79" s="353"/>
      <c r="X79" s="352"/>
      <c r="Y79" s="352"/>
      <c r="Z79" s="352"/>
      <c r="AA79" s="353"/>
      <c r="AB79" s="514"/>
      <c r="AC79" s="515"/>
    </row>
    <row r="80" spans="1:29" s="1" customFormat="1">
      <c r="A80" s="468"/>
      <c r="B80" s="447"/>
      <c r="C80" s="368"/>
      <c r="D80" s="106"/>
      <c r="E80" s="106"/>
      <c r="F80" s="106"/>
      <c r="G80" s="106"/>
      <c r="H80" s="106"/>
      <c r="I80" s="368"/>
      <c r="J80" s="368"/>
      <c r="K80" s="106"/>
      <c r="L80" s="106"/>
      <c r="M80" s="106"/>
      <c r="N80" s="368"/>
      <c r="O80" s="368"/>
      <c r="P80" s="106"/>
      <c r="Q80" s="368"/>
      <c r="R80" s="368"/>
      <c r="S80" s="368"/>
      <c r="T80" s="352"/>
      <c r="U80" s="352"/>
      <c r="V80" s="352"/>
      <c r="W80" s="353"/>
      <c r="X80" s="352"/>
      <c r="Y80" s="352"/>
      <c r="Z80" s="352"/>
      <c r="AA80" s="353"/>
      <c r="AB80" s="514"/>
      <c r="AC80" s="515"/>
    </row>
    <row r="81" spans="1:29">
      <c r="A81" s="468"/>
      <c r="B81" s="445"/>
      <c r="C81" s="446"/>
      <c r="D81" s="459"/>
      <c r="E81" s="459"/>
      <c r="F81" s="459"/>
      <c r="G81" s="459"/>
      <c r="H81" s="459"/>
      <c r="I81" s="446"/>
      <c r="J81" s="446"/>
      <c r="K81" s="459"/>
      <c r="L81" s="459"/>
      <c r="M81" s="459"/>
      <c r="N81" s="446"/>
      <c r="O81" s="446"/>
      <c r="P81" s="459"/>
      <c r="Q81" s="446"/>
      <c r="R81" s="445"/>
      <c r="S81" s="445"/>
      <c r="T81" s="356"/>
      <c r="U81" s="356"/>
      <c r="V81" s="356"/>
      <c r="W81" s="357"/>
      <c r="X81" s="356"/>
      <c r="Y81" s="356"/>
      <c r="Z81" s="356"/>
      <c r="AA81" s="357"/>
      <c r="AB81" s="514"/>
      <c r="AC81" s="515"/>
    </row>
    <row r="82" spans="1:29" s="1" customFormat="1">
      <c r="A82" s="468"/>
      <c r="B82" s="444"/>
      <c r="C82" s="460"/>
      <c r="D82" s="461"/>
      <c r="E82" s="461"/>
      <c r="F82" s="461"/>
      <c r="G82" s="461"/>
      <c r="H82" s="461"/>
      <c r="I82" s="460"/>
      <c r="J82" s="460"/>
      <c r="K82" s="461"/>
      <c r="L82" s="461"/>
      <c r="M82" s="461"/>
      <c r="N82" s="460"/>
      <c r="O82" s="460"/>
      <c r="P82" s="461"/>
      <c r="Q82" s="460"/>
      <c r="R82" s="460"/>
      <c r="S82" s="460"/>
      <c r="T82" s="358"/>
      <c r="U82" s="358"/>
      <c r="V82" s="358"/>
      <c r="W82" s="359"/>
      <c r="X82" s="358"/>
      <c r="Y82" s="358"/>
      <c r="Z82" s="358"/>
      <c r="AA82" s="359"/>
      <c r="AB82" s="514"/>
      <c r="AC82" s="515"/>
    </row>
    <row r="83" spans="1:29">
      <c r="A83" s="467"/>
      <c r="B83" s="362"/>
      <c r="C83" s="366"/>
      <c r="D83" s="367"/>
      <c r="E83" s="367"/>
      <c r="F83" s="367"/>
      <c r="G83" s="367"/>
      <c r="H83" s="367"/>
      <c r="I83" s="366"/>
      <c r="J83" s="366"/>
      <c r="K83" s="367"/>
      <c r="L83" s="367"/>
      <c r="M83" s="367"/>
      <c r="N83" s="366"/>
      <c r="O83" s="366"/>
      <c r="P83" s="367"/>
      <c r="Q83" s="366"/>
      <c r="R83" s="366"/>
      <c r="S83" s="366"/>
      <c r="T83" s="350"/>
      <c r="U83" s="350"/>
      <c r="V83" s="350"/>
      <c r="W83" s="351"/>
      <c r="X83" s="350"/>
      <c r="Y83" s="350"/>
      <c r="Z83" s="350"/>
      <c r="AA83" s="351"/>
      <c r="AB83" s="512"/>
      <c r="AC83" s="513"/>
    </row>
    <row r="84" spans="1:29" s="1" customFormat="1">
      <c r="A84" s="468"/>
      <c r="B84" s="447"/>
      <c r="C84" s="368"/>
      <c r="D84" s="106"/>
      <c r="E84" s="106"/>
      <c r="F84" s="106"/>
      <c r="G84" s="106"/>
      <c r="H84" s="106"/>
      <c r="I84" s="368"/>
      <c r="J84" s="368"/>
      <c r="K84" s="106"/>
      <c r="L84" s="106"/>
      <c r="M84" s="106"/>
      <c r="N84" s="368"/>
      <c r="O84" s="368"/>
      <c r="P84" s="106"/>
      <c r="Q84" s="368"/>
      <c r="R84" s="368"/>
      <c r="S84" s="368"/>
      <c r="T84" s="352"/>
      <c r="U84" s="352"/>
      <c r="V84" s="352"/>
      <c r="W84" s="353"/>
      <c r="X84" s="352"/>
      <c r="Y84" s="352"/>
      <c r="Z84" s="352"/>
      <c r="AA84" s="353"/>
      <c r="AB84" s="514"/>
      <c r="AC84" s="515"/>
    </row>
    <row r="85" spans="1:29">
      <c r="A85" s="468"/>
      <c r="B85" s="446"/>
      <c r="C85" s="446"/>
      <c r="D85" s="459"/>
      <c r="E85" s="459"/>
      <c r="F85" s="459"/>
      <c r="G85" s="469"/>
      <c r="H85" s="459"/>
      <c r="I85" s="446"/>
      <c r="J85" s="446"/>
      <c r="K85" s="459"/>
      <c r="L85" s="459"/>
      <c r="M85" s="459"/>
      <c r="N85" s="446"/>
      <c r="O85" s="446"/>
      <c r="P85" s="459"/>
      <c r="Q85" s="446"/>
      <c r="R85" s="446"/>
      <c r="S85" s="446"/>
      <c r="T85" s="354"/>
      <c r="U85" s="354"/>
      <c r="V85" s="354"/>
      <c r="W85" s="355"/>
      <c r="X85" s="354"/>
      <c r="Y85" s="354"/>
      <c r="Z85" s="354"/>
      <c r="AA85" s="355"/>
      <c r="AB85" s="514"/>
      <c r="AC85" s="515"/>
    </row>
    <row r="86" spans="1:29" s="1" customFormat="1">
      <c r="A86" s="468"/>
      <c r="B86" s="447"/>
      <c r="C86" s="368"/>
      <c r="D86" s="106"/>
      <c r="E86" s="106"/>
      <c r="F86" s="106"/>
      <c r="G86" s="106"/>
      <c r="H86" s="106"/>
      <c r="I86" s="368"/>
      <c r="J86" s="368"/>
      <c r="K86" s="106"/>
      <c r="L86" s="106"/>
      <c r="M86" s="106"/>
      <c r="N86" s="368"/>
      <c r="O86" s="368"/>
      <c r="P86" s="106"/>
      <c r="Q86" s="368"/>
      <c r="R86" s="368"/>
      <c r="S86" s="368"/>
      <c r="T86" s="352"/>
      <c r="U86" s="352"/>
      <c r="V86" s="352"/>
      <c r="W86" s="353"/>
      <c r="X86" s="352"/>
      <c r="Y86" s="352"/>
      <c r="Z86" s="352"/>
      <c r="AA86" s="353"/>
      <c r="AB86" s="514"/>
      <c r="AC86" s="515"/>
    </row>
    <row r="87" spans="1:29">
      <c r="A87" s="468"/>
      <c r="B87" s="447"/>
      <c r="C87" s="368"/>
      <c r="D87" s="106"/>
      <c r="E87" s="106"/>
      <c r="F87" s="106"/>
      <c r="G87" s="106"/>
      <c r="H87" s="106"/>
      <c r="I87" s="368"/>
      <c r="J87" s="368"/>
      <c r="K87" s="106"/>
      <c r="L87" s="106"/>
      <c r="M87" s="106"/>
      <c r="N87" s="368"/>
      <c r="O87" s="368"/>
      <c r="P87" s="106"/>
      <c r="Q87" s="368"/>
      <c r="R87" s="368"/>
      <c r="S87" s="368"/>
      <c r="T87" s="352"/>
      <c r="U87" s="352"/>
      <c r="V87" s="352"/>
      <c r="W87" s="353"/>
      <c r="X87" s="352"/>
      <c r="Y87" s="352"/>
      <c r="Z87" s="352"/>
      <c r="AA87" s="353"/>
      <c r="AB87" s="514"/>
      <c r="AC87" s="515"/>
    </row>
    <row r="88" spans="1:29" s="1" customFormat="1">
      <c r="A88" s="468"/>
      <c r="B88" s="445"/>
      <c r="C88" s="446"/>
      <c r="D88" s="459"/>
      <c r="E88" s="459"/>
      <c r="F88" s="459"/>
      <c r="G88" s="469"/>
      <c r="H88" s="459"/>
      <c r="I88" s="446"/>
      <c r="J88" s="446"/>
      <c r="K88" s="459"/>
      <c r="L88" s="459"/>
      <c r="M88" s="459"/>
      <c r="N88" s="446"/>
      <c r="O88" s="446"/>
      <c r="P88" s="459"/>
      <c r="Q88" s="446"/>
      <c r="R88" s="445"/>
      <c r="S88" s="445"/>
      <c r="T88" s="356"/>
      <c r="U88" s="356"/>
      <c r="V88" s="356"/>
      <c r="W88" s="357"/>
      <c r="X88" s="356"/>
      <c r="Y88" s="356"/>
      <c r="Z88" s="356"/>
      <c r="AA88" s="357"/>
      <c r="AB88" s="514"/>
      <c r="AC88" s="515"/>
    </row>
    <row r="89" spans="1:29">
      <c r="A89" s="468"/>
      <c r="B89" s="444"/>
      <c r="C89" s="460"/>
      <c r="D89" s="461"/>
      <c r="E89" s="461"/>
      <c r="F89" s="461"/>
      <c r="G89" s="461"/>
      <c r="H89" s="463"/>
      <c r="I89" s="460"/>
      <c r="J89" s="460"/>
      <c r="K89" s="461"/>
      <c r="L89" s="461"/>
      <c r="M89" s="463"/>
      <c r="N89" s="460"/>
      <c r="O89" s="460"/>
      <c r="P89" s="461"/>
      <c r="Q89" s="460"/>
      <c r="R89" s="460"/>
      <c r="S89" s="460"/>
      <c r="T89" s="358"/>
      <c r="U89" s="358"/>
      <c r="V89" s="358"/>
      <c r="W89" s="359"/>
      <c r="X89" s="358"/>
      <c r="Y89" s="358"/>
      <c r="Z89" s="358"/>
      <c r="AA89" s="359"/>
      <c r="AB89" s="514"/>
      <c r="AC89" s="515"/>
    </row>
    <row r="90" spans="1:29" s="1" customFormat="1">
      <c r="A90" s="467"/>
      <c r="B90" s="362"/>
      <c r="C90" s="366"/>
      <c r="D90" s="367"/>
      <c r="E90" s="367"/>
      <c r="F90" s="367"/>
      <c r="G90" s="367"/>
      <c r="H90" s="367"/>
      <c r="I90" s="366"/>
      <c r="J90" s="366"/>
      <c r="K90" s="367"/>
      <c r="L90" s="367"/>
      <c r="M90" s="367"/>
      <c r="N90" s="366"/>
      <c r="O90" s="366"/>
      <c r="P90" s="367"/>
      <c r="Q90" s="366"/>
      <c r="R90" s="366"/>
      <c r="S90" s="366"/>
      <c r="T90" s="350"/>
      <c r="U90" s="350"/>
      <c r="V90" s="350"/>
      <c r="W90" s="351"/>
      <c r="X90" s="350"/>
      <c r="Y90" s="350"/>
      <c r="Z90" s="350"/>
      <c r="AA90" s="351"/>
      <c r="AB90" s="512"/>
      <c r="AC90" s="513"/>
    </row>
    <row r="91" spans="1:29">
      <c r="A91" s="468"/>
      <c r="B91" s="447"/>
      <c r="C91" s="368"/>
      <c r="D91" s="106"/>
      <c r="E91" s="106"/>
      <c r="F91" s="106"/>
      <c r="G91" s="106"/>
      <c r="H91" s="106"/>
      <c r="I91" s="368"/>
      <c r="J91" s="368"/>
      <c r="K91" s="106"/>
      <c r="L91" s="106"/>
      <c r="M91" s="106"/>
      <c r="N91" s="368"/>
      <c r="O91" s="368"/>
      <c r="P91" s="106"/>
      <c r="Q91" s="368"/>
      <c r="R91" s="368"/>
      <c r="S91" s="368"/>
      <c r="T91" s="352"/>
      <c r="U91" s="352"/>
      <c r="V91" s="352"/>
      <c r="W91" s="353"/>
      <c r="X91" s="352"/>
      <c r="Y91" s="352"/>
      <c r="Z91" s="352"/>
      <c r="AA91" s="353"/>
      <c r="AB91" s="514"/>
      <c r="AC91" s="515"/>
    </row>
    <row r="92" spans="1:29" s="1" customFormat="1">
      <c r="A92" s="468"/>
      <c r="B92" s="446"/>
      <c r="C92" s="446"/>
      <c r="D92" s="459"/>
      <c r="E92" s="459"/>
      <c r="F92" s="459"/>
      <c r="G92" s="459"/>
      <c r="H92" s="459"/>
      <c r="I92" s="446"/>
      <c r="J92" s="446"/>
      <c r="K92" s="459"/>
      <c r="L92" s="459"/>
      <c r="M92" s="459"/>
      <c r="N92" s="446"/>
      <c r="O92" s="446"/>
      <c r="P92" s="459"/>
      <c r="Q92" s="446"/>
      <c r="R92" s="446"/>
      <c r="S92" s="446"/>
      <c r="T92" s="354"/>
      <c r="U92" s="354"/>
      <c r="V92" s="354"/>
      <c r="W92" s="355"/>
      <c r="X92" s="354"/>
      <c r="Y92" s="354"/>
      <c r="Z92" s="354"/>
      <c r="AA92" s="355"/>
      <c r="AB92" s="514"/>
      <c r="AC92" s="515"/>
    </row>
    <row r="93" spans="1:29">
      <c r="A93" s="468"/>
      <c r="B93" s="447"/>
      <c r="C93" s="368"/>
      <c r="D93" s="106"/>
      <c r="E93" s="106"/>
      <c r="F93" s="106"/>
      <c r="G93" s="106"/>
      <c r="H93" s="106"/>
      <c r="I93" s="368"/>
      <c r="J93" s="368"/>
      <c r="K93" s="106"/>
      <c r="L93" s="106"/>
      <c r="M93" s="106"/>
      <c r="N93" s="368"/>
      <c r="O93" s="368"/>
      <c r="P93" s="106"/>
      <c r="Q93" s="368"/>
      <c r="R93" s="368"/>
      <c r="S93" s="368"/>
      <c r="T93" s="352"/>
      <c r="U93" s="352"/>
      <c r="V93" s="352"/>
      <c r="W93" s="353"/>
      <c r="X93" s="352"/>
      <c r="Y93" s="352"/>
      <c r="Z93" s="352"/>
      <c r="AA93" s="353"/>
      <c r="AB93" s="514"/>
      <c r="AC93" s="515"/>
    </row>
    <row r="94" spans="1:29" s="1" customFormat="1">
      <c r="A94" s="468"/>
      <c r="B94" s="447"/>
      <c r="C94" s="368"/>
      <c r="D94" s="106"/>
      <c r="E94" s="106"/>
      <c r="F94" s="106"/>
      <c r="G94" s="106"/>
      <c r="H94" s="106"/>
      <c r="I94" s="368"/>
      <c r="J94" s="368"/>
      <c r="K94" s="106"/>
      <c r="L94" s="106"/>
      <c r="M94" s="106"/>
      <c r="N94" s="368"/>
      <c r="O94" s="368"/>
      <c r="P94" s="106"/>
      <c r="Q94" s="368"/>
      <c r="R94" s="368"/>
      <c r="S94" s="368"/>
      <c r="T94" s="352"/>
      <c r="U94" s="352"/>
      <c r="V94" s="352"/>
      <c r="W94" s="353"/>
      <c r="X94" s="352"/>
      <c r="Y94" s="352"/>
      <c r="Z94" s="352"/>
      <c r="AA94" s="353"/>
      <c r="AB94" s="514"/>
      <c r="AC94" s="515"/>
    </row>
    <row r="95" spans="1:29">
      <c r="A95" s="468"/>
      <c r="B95" s="445"/>
      <c r="C95" s="369"/>
      <c r="D95" s="459"/>
      <c r="E95" s="459"/>
      <c r="F95" s="459"/>
      <c r="G95" s="459"/>
      <c r="H95" s="459"/>
      <c r="I95" s="446"/>
      <c r="J95" s="446"/>
      <c r="K95" s="459"/>
      <c r="L95" s="459"/>
      <c r="M95" s="459"/>
      <c r="N95" s="446"/>
      <c r="O95" s="446"/>
      <c r="P95" s="459"/>
      <c r="Q95" s="446"/>
      <c r="R95" s="445"/>
      <c r="S95" s="445"/>
      <c r="T95" s="356"/>
      <c r="U95" s="356"/>
      <c r="V95" s="356"/>
      <c r="W95" s="357"/>
      <c r="X95" s="356"/>
      <c r="Y95" s="356"/>
      <c r="Z95" s="356"/>
      <c r="AA95" s="357"/>
      <c r="AB95" s="514"/>
      <c r="AC95" s="515"/>
    </row>
    <row r="96" spans="1:29" s="1" customFormat="1">
      <c r="A96" s="468"/>
      <c r="B96" s="444"/>
      <c r="C96" s="462"/>
      <c r="D96" s="461"/>
      <c r="E96" s="461"/>
      <c r="F96" s="461"/>
      <c r="G96" s="461"/>
      <c r="H96" s="461"/>
      <c r="I96" s="460"/>
      <c r="J96" s="460"/>
      <c r="K96" s="461"/>
      <c r="L96" s="461"/>
      <c r="M96" s="461"/>
      <c r="N96" s="460"/>
      <c r="O96" s="460"/>
      <c r="P96" s="461"/>
      <c r="Q96" s="460"/>
      <c r="R96" s="460"/>
      <c r="S96" s="460"/>
      <c r="T96" s="358"/>
      <c r="U96" s="358"/>
      <c r="V96" s="358"/>
      <c r="W96" s="359"/>
      <c r="X96" s="358"/>
      <c r="Y96" s="358"/>
      <c r="Z96" s="358"/>
      <c r="AA96" s="359"/>
      <c r="AB96" s="514"/>
      <c r="AC96" s="515"/>
    </row>
    <row r="97" spans="1:29">
      <c r="A97" s="467"/>
      <c r="B97" s="362"/>
      <c r="C97" s="366"/>
      <c r="D97" s="367"/>
      <c r="E97" s="367"/>
      <c r="F97" s="367"/>
      <c r="G97" s="367"/>
      <c r="H97" s="367"/>
      <c r="I97" s="366"/>
      <c r="J97" s="366"/>
      <c r="K97" s="367"/>
      <c r="L97" s="367"/>
      <c r="M97" s="367"/>
      <c r="N97" s="366"/>
      <c r="O97" s="366"/>
      <c r="P97" s="367"/>
      <c r="Q97" s="366"/>
      <c r="R97" s="366"/>
      <c r="S97" s="366"/>
      <c r="T97" s="350"/>
      <c r="U97" s="350"/>
      <c r="V97" s="350"/>
      <c r="W97" s="351"/>
      <c r="X97" s="350"/>
      <c r="Y97" s="350"/>
      <c r="Z97" s="350"/>
      <c r="AA97" s="351"/>
      <c r="AB97" s="512"/>
      <c r="AC97" s="513"/>
    </row>
    <row r="98" spans="1:29" s="1" customFormat="1">
      <c r="A98" s="468"/>
      <c r="B98" s="447"/>
      <c r="C98" s="368"/>
      <c r="D98" s="106"/>
      <c r="E98" s="106"/>
      <c r="F98" s="106"/>
      <c r="G98" s="106"/>
      <c r="H98" s="106"/>
      <c r="I98" s="368"/>
      <c r="J98" s="368"/>
      <c r="K98" s="106"/>
      <c r="L98" s="106"/>
      <c r="M98" s="106"/>
      <c r="N98" s="368"/>
      <c r="O98" s="368"/>
      <c r="P98" s="106"/>
      <c r="Q98" s="368"/>
      <c r="R98" s="368"/>
      <c r="S98" s="368"/>
      <c r="T98" s="352"/>
      <c r="U98" s="352"/>
      <c r="V98" s="352"/>
      <c r="W98" s="353"/>
      <c r="X98" s="352"/>
      <c r="Y98" s="352"/>
      <c r="Z98" s="352"/>
      <c r="AA98" s="353"/>
      <c r="AB98" s="514"/>
      <c r="AC98" s="515"/>
    </row>
    <row r="99" spans="1:29">
      <c r="A99" s="468"/>
      <c r="B99" s="446"/>
      <c r="C99" s="446"/>
      <c r="D99" s="459"/>
      <c r="E99" s="469"/>
      <c r="F99" s="459"/>
      <c r="G99" s="459"/>
      <c r="H99" s="459"/>
      <c r="I99" s="446"/>
      <c r="J99" s="369"/>
      <c r="K99" s="459"/>
      <c r="L99" s="459"/>
      <c r="M99" s="459"/>
      <c r="N99" s="446"/>
      <c r="O99" s="446"/>
      <c r="P99" s="459"/>
      <c r="Q99" s="446"/>
      <c r="R99" s="446"/>
      <c r="S99" s="446"/>
      <c r="T99" s="354"/>
      <c r="U99" s="354"/>
      <c r="V99" s="354"/>
      <c r="W99" s="355"/>
      <c r="X99" s="354"/>
      <c r="Y99" s="354"/>
      <c r="Z99" s="354"/>
      <c r="AA99" s="355"/>
      <c r="AB99" s="514"/>
      <c r="AC99" s="515"/>
    </row>
    <row r="100" spans="1:29" s="1" customFormat="1">
      <c r="A100" s="468"/>
      <c r="B100" s="447"/>
      <c r="C100" s="368"/>
      <c r="D100" s="106"/>
      <c r="E100" s="106"/>
      <c r="F100" s="106"/>
      <c r="G100" s="106"/>
      <c r="H100" s="106"/>
      <c r="I100" s="368"/>
      <c r="J100" s="368"/>
      <c r="K100" s="106"/>
      <c r="L100" s="106"/>
      <c r="M100" s="106"/>
      <c r="N100" s="368"/>
      <c r="O100" s="368"/>
      <c r="P100" s="106"/>
      <c r="Q100" s="368"/>
      <c r="R100" s="368"/>
      <c r="S100" s="368"/>
      <c r="T100" s="352"/>
      <c r="U100" s="352"/>
      <c r="V100" s="352"/>
      <c r="W100" s="353"/>
      <c r="X100" s="352"/>
      <c r="Y100" s="352"/>
      <c r="Z100" s="352"/>
      <c r="AA100" s="353"/>
      <c r="AB100" s="514"/>
      <c r="AC100" s="515"/>
    </row>
    <row r="101" spans="1:29">
      <c r="A101" s="468"/>
      <c r="B101" s="447"/>
      <c r="C101" s="368"/>
      <c r="D101" s="106"/>
      <c r="E101" s="106"/>
      <c r="F101" s="106"/>
      <c r="G101" s="106"/>
      <c r="H101" s="106"/>
      <c r="I101" s="368"/>
      <c r="J101" s="368"/>
      <c r="K101" s="106"/>
      <c r="L101" s="106"/>
      <c r="M101" s="106"/>
      <c r="N101" s="368"/>
      <c r="O101" s="368"/>
      <c r="P101" s="106"/>
      <c r="Q101" s="368"/>
      <c r="R101" s="368"/>
      <c r="S101" s="368"/>
      <c r="T101" s="352"/>
      <c r="U101" s="352"/>
      <c r="V101" s="352"/>
      <c r="W101" s="353"/>
      <c r="X101" s="352"/>
      <c r="Y101" s="352"/>
      <c r="Z101" s="352"/>
      <c r="AA101" s="353"/>
      <c r="AB101" s="514"/>
      <c r="AC101" s="515"/>
    </row>
    <row r="102" spans="1:29">
      <c r="A102" s="468"/>
      <c r="B102" s="445"/>
      <c r="C102" s="446"/>
      <c r="D102" s="459"/>
      <c r="E102" s="469"/>
      <c r="F102" s="459"/>
      <c r="G102" s="459"/>
      <c r="H102" s="459"/>
      <c r="I102" s="446"/>
      <c r="J102" s="369"/>
      <c r="K102" s="459"/>
      <c r="L102" s="459"/>
      <c r="M102" s="459"/>
      <c r="N102" s="446"/>
      <c r="O102" s="446"/>
      <c r="P102" s="459"/>
      <c r="Q102" s="446"/>
      <c r="R102" s="445"/>
      <c r="S102" s="445"/>
      <c r="T102" s="356"/>
      <c r="U102" s="356"/>
      <c r="V102" s="356"/>
      <c r="W102" s="357"/>
      <c r="X102" s="356"/>
      <c r="Y102" s="356"/>
      <c r="Z102" s="356"/>
      <c r="AA102" s="357"/>
      <c r="AB102" s="514"/>
      <c r="AC102" s="515"/>
    </row>
    <row r="103" spans="1:29">
      <c r="A103" s="468"/>
      <c r="B103" s="444"/>
      <c r="C103" s="460"/>
      <c r="D103" s="461"/>
      <c r="E103" s="461"/>
      <c r="F103" s="461"/>
      <c r="G103" s="461"/>
      <c r="H103" s="461"/>
      <c r="I103" s="460"/>
      <c r="J103" s="462"/>
      <c r="K103" s="461"/>
      <c r="L103" s="461"/>
      <c r="M103" s="461"/>
      <c r="N103" s="460"/>
      <c r="O103" s="460"/>
      <c r="P103" s="461"/>
      <c r="Q103" s="460"/>
      <c r="R103" s="460"/>
      <c r="S103" s="460"/>
      <c r="T103" s="358"/>
      <c r="U103" s="358"/>
      <c r="V103" s="358"/>
      <c r="W103" s="359"/>
      <c r="X103" s="358"/>
      <c r="Y103" s="358"/>
      <c r="Z103" s="358"/>
      <c r="AA103" s="359"/>
      <c r="AB103" s="514"/>
      <c r="AC103" s="515"/>
    </row>
    <row r="104" spans="1:29">
      <c r="A104" s="467"/>
      <c r="B104" s="362"/>
      <c r="C104" s="366"/>
      <c r="D104" s="367"/>
      <c r="E104" s="367"/>
      <c r="F104" s="367"/>
      <c r="G104" s="367"/>
      <c r="H104" s="367"/>
      <c r="I104" s="366"/>
      <c r="J104" s="366"/>
      <c r="K104" s="367"/>
      <c r="L104" s="367"/>
      <c r="M104" s="367"/>
      <c r="N104" s="366"/>
      <c r="O104" s="366"/>
      <c r="P104" s="367"/>
      <c r="Q104" s="366"/>
      <c r="R104" s="366"/>
      <c r="S104" s="366"/>
      <c r="T104" s="350"/>
      <c r="U104" s="350"/>
      <c r="V104" s="350"/>
      <c r="W104" s="351"/>
      <c r="X104" s="350"/>
      <c r="Y104" s="350"/>
      <c r="Z104" s="350"/>
      <c r="AA104" s="351"/>
      <c r="AB104" s="512"/>
      <c r="AC104" s="513"/>
    </row>
    <row r="105" spans="1:29">
      <c r="A105" s="468"/>
      <c r="B105" s="447"/>
      <c r="C105" s="368"/>
      <c r="D105" s="106"/>
      <c r="E105" s="106"/>
      <c r="F105" s="106"/>
      <c r="G105" s="106"/>
      <c r="H105" s="106"/>
      <c r="I105" s="368"/>
      <c r="J105" s="368"/>
      <c r="K105" s="106"/>
      <c r="L105" s="106"/>
      <c r="M105" s="106"/>
      <c r="N105" s="368"/>
      <c r="O105" s="368"/>
      <c r="P105" s="106"/>
      <c r="Q105" s="368"/>
      <c r="R105" s="368"/>
      <c r="S105" s="368"/>
      <c r="T105" s="352"/>
      <c r="U105" s="352"/>
      <c r="V105" s="352"/>
      <c r="W105" s="353"/>
      <c r="X105" s="352"/>
      <c r="Y105" s="352"/>
      <c r="Z105" s="352"/>
      <c r="AA105" s="353"/>
      <c r="AB105" s="514"/>
      <c r="AC105" s="515"/>
    </row>
    <row r="106" spans="1:29">
      <c r="A106" s="468"/>
      <c r="B106" s="446"/>
      <c r="C106" s="446"/>
      <c r="D106" s="459"/>
      <c r="E106" s="459"/>
      <c r="F106" s="459"/>
      <c r="G106" s="459"/>
      <c r="H106" s="459"/>
      <c r="I106" s="446"/>
      <c r="J106" s="446"/>
      <c r="K106" s="459"/>
      <c r="L106" s="469"/>
      <c r="M106" s="469"/>
      <c r="N106" s="446"/>
      <c r="O106" s="446"/>
      <c r="P106" s="459"/>
      <c r="Q106" s="446"/>
      <c r="R106" s="446"/>
      <c r="S106" s="446"/>
      <c r="T106" s="354"/>
      <c r="U106" s="354"/>
      <c r="V106" s="354"/>
      <c r="W106" s="355"/>
      <c r="X106" s="354"/>
      <c r="Y106" s="354"/>
      <c r="Z106" s="354"/>
      <c r="AA106" s="355"/>
      <c r="AB106" s="514"/>
      <c r="AC106" s="515"/>
    </row>
    <row r="107" spans="1:29">
      <c r="A107" s="468"/>
      <c r="B107" s="447"/>
      <c r="C107" s="368"/>
      <c r="D107" s="106"/>
      <c r="E107" s="106"/>
      <c r="F107" s="106"/>
      <c r="G107" s="106"/>
      <c r="H107" s="106"/>
      <c r="I107" s="368"/>
      <c r="J107" s="368"/>
      <c r="K107" s="106"/>
      <c r="L107" s="106"/>
      <c r="M107" s="106"/>
      <c r="N107" s="368"/>
      <c r="O107" s="368"/>
      <c r="P107" s="106"/>
      <c r="Q107" s="368"/>
      <c r="R107" s="368"/>
      <c r="S107" s="368"/>
      <c r="T107" s="352"/>
      <c r="U107" s="352"/>
      <c r="V107" s="352"/>
      <c r="W107" s="353"/>
      <c r="X107" s="352"/>
      <c r="Y107" s="352"/>
      <c r="Z107" s="352"/>
      <c r="AA107" s="353"/>
      <c r="AB107" s="514"/>
      <c r="AC107" s="515"/>
    </row>
    <row r="108" spans="1:29">
      <c r="A108" s="468"/>
      <c r="B108" s="447"/>
      <c r="C108" s="368"/>
      <c r="D108" s="106"/>
      <c r="E108" s="106"/>
      <c r="F108" s="106"/>
      <c r="G108" s="106"/>
      <c r="H108" s="106"/>
      <c r="I108" s="368"/>
      <c r="J108" s="368"/>
      <c r="K108" s="106"/>
      <c r="L108" s="106"/>
      <c r="M108" s="106"/>
      <c r="N108" s="368"/>
      <c r="O108" s="368"/>
      <c r="P108" s="106"/>
      <c r="Q108" s="368"/>
      <c r="R108" s="368"/>
      <c r="S108" s="368"/>
      <c r="T108" s="352"/>
      <c r="U108" s="352"/>
      <c r="V108" s="352"/>
      <c r="W108" s="353"/>
      <c r="X108" s="352"/>
      <c r="Y108" s="352"/>
      <c r="Z108" s="352"/>
      <c r="AA108" s="353"/>
      <c r="AB108" s="514"/>
      <c r="AC108" s="515"/>
    </row>
    <row r="109" spans="1:29">
      <c r="A109" s="468"/>
      <c r="B109" s="445"/>
      <c r="C109" s="446"/>
      <c r="D109" s="459"/>
      <c r="E109" s="459"/>
      <c r="F109" s="459"/>
      <c r="G109" s="459"/>
      <c r="H109" s="459"/>
      <c r="I109" s="446"/>
      <c r="J109" s="446"/>
      <c r="K109" s="459"/>
      <c r="L109" s="469"/>
      <c r="M109" s="469"/>
      <c r="N109" s="446"/>
      <c r="O109" s="446"/>
      <c r="P109" s="459"/>
      <c r="Q109" s="446"/>
      <c r="R109" s="445"/>
      <c r="S109" s="445"/>
      <c r="T109" s="356"/>
      <c r="U109" s="356"/>
      <c r="V109" s="356"/>
      <c r="W109" s="357"/>
      <c r="X109" s="356"/>
      <c r="Y109" s="356"/>
      <c r="Z109" s="356"/>
      <c r="AA109" s="357"/>
      <c r="AB109" s="514"/>
      <c r="AC109" s="515"/>
    </row>
    <row r="110" spans="1:29">
      <c r="A110" s="468"/>
      <c r="B110" s="444"/>
      <c r="C110" s="460"/>
      <c r="D110" s="461"/>
      <c r="E110" s="461"/>
      <c r="F110" s="461"/>
      <c r="G110" s="461"/>
      <c r="H110" s="461"/>
      <c r="I110" s="460"/>
      <c r="J110" s="460"/>
      <c r="K110" s="461"/>
      <c r="L110" s="463"/>
      <c r="M110" s="463"/>
      <c r="N110" s="460"/>
      <c r="O110" s="460"/>
      <c r="P110" s="461"/>
      <c r="Q110" s="460"/>
      <c r="R110" s="460"/>
      <c r="S110" s="460"/>
      <c r="T110" s="358"/>
      <c r="U110" s="358"/>
      <c r="V110" s="358"/>
      <c r="W110" s="359"/>
      <c r="X110" s="358"/>
      <c r="Y110" s="358"/>
      <c r="Z110" s="358"/>
      <c r="AA110" s="359"/>
      <c r="AB110" s="514"/>
      <c r="AC110" s="515"/>
    </row>
    <row r="111" spans="1:29">
      <c r="A111" s="467"/>
      <c r="B111" s="362"/>
      <c r="C111" s="366"/>
      <c r="D111" s="367"/>
      <c r="E111" s="367"/>
      <c r="F111" s="367"/>
      <c r="G111" s="367"/>
      <c r="H111" s="367"/>
      <c r="I111" s="366"/>
      <c r="J111" s="366"/>
      <c r="K111" s="367"/>
      <c r="L111" s="367"/>
      <c r="M111" s="367"/>
      <c r="N111" s="366"/>
      <c r="O111" s="366"/>
      <c r="P111" s="367"/>
      <c r="Q111" s="366"/>
      <c r="R111" s="366"/>
      <c r="S111" s="366"/>
      <c r="T111" s="350"/>
      <c r="U111" s="350"/>
      <c r="V111" s="350"/>
      <c r="W111" s="351"/>
      <c r="X111" s="350"/>
      <c r="Y111" s="350"/>
      <c r="Z111" s="350"/>
      <c r="AA111" s="351"/>
      <c r="AB111" s="512"/>
      <c r="AC111" s="513"/>
    </row>
    <row r="112" spans="1:29">
      <c r="A112" s="468"/>
      <c r="B112" s="447"/>
      <c r="C112" s="368"/>
      <c r="D112" s="106"/>
      <c r="E112" s="106"/>
      <c r="F112" s="106"/>
      <c r="G112" s="106"/>
      <c r="H112" s="106"/>
      <c r="I112" s="368"/>
      <c r="J112" s="368"/>
      <c r="K112" s="106"/>
      <c r="L112" s="106"/>
      <c r="M112" s="106"/>
      <c r="N112" s="368"/>
      <c r="O112" s="368"/>
      <c r="P112" s="106"/>
      <c r="Q112" s="368"/>
      <c r="R112" s="368"/>
      <c r="S112" s="368"/>
      <c r="T112" s="352"/>
      <c r="U112" s="352"/>
      <c r="V112" s="352"/>
      <c r="W112" s="353"/>
      <c r="X112" s="352"/>
      <c r="Y112" s="352"/>
      <c r="Z112" s="352"/>
      <c r="AA112" s="353"/>
      <c r="AB112" s="514"/>
      <c r="AC112" s="515"/>
    </row>
    <row r="113" spans="1:29">
      <c r="A113" s="468"/>
      <c r="B113" s="446"/>
      <c r="C113" s="446"/>
      <c r="D113" s="459"/>
      <c r="E113" s="459"/>
      <c r="F113" s="459"/>
      <c r="G113" s="459"/>
      <c r="H113" s="459"/>
      <c r="I113" s="446"/>
      <c r="J113" s="446"/>
      <c r="K113" s="459"/>
      <c r="L113" s="459"/>
      <c r="M113" s="459"/>
      <c r="N113" s="446"/>
      <c r="O113" s="446"/>
      <c r="P113" s="459"/>
      <c r="Q113" s="446"/>
      <c r="R113" s="446"/>
      <c r="S113" s="446"/>
      <c r="T113" s="354"/>
      <c r="U113" s="354"/>
      <c r="V113" s="354"/>
      <c r="W113" s="355"/>
      <c r="X113" s="354"/>
      <c r="Y113" s="354"/>
      <c r="Z113" s="354"/>
      <c r="AA113" s="355"/>
      <c r="AB113" s="514"/>
      <c r="AC113" s="515"/>
    </row>
    <row r="114" spans="1:29">
      <c r="A114" s="468"/>
      <c r="B114" s="447"/>
      <c r="C114" s="368"/>
      <c r="D114" s="106"/>
      <c r="E114" s="106"/>
      <c r="F114" s="106"/>
      <c r="G114" s="106"/>
      <c r="H114" s="106"/>
      <c r="I114" s="368"/>
      <c r="J114" s="368"/>
      <c r="K114" s="106"/>
      <c r="L114" s="106"/>
      <c r="M114" s="106"/>
      <c r="N114" s="368"/>
      <c r="O114" s="368"/>
      <c r="P114" s="106"/>
      <c r="Q114" s="368"/>
      <c r="R114" s="368"/>
      <c r="S114" s="368"/>
      <c r="T114" s="352"/>
      <c r="U114" s="352"/>
      <c r="V114" s="352"/>
      <c r="W114" s="353"/>
      <c r="X114" s="352"/>
      <c r="Y114" s="352"/>
      <c r="Z114" s="352"/>
      <c r="AA114" s="353"/>
      <c r="AB114" s="514"/>
      <c r="AC114" s="515"/>
    </row>
    <row r="115" spans="1:29">
      <c r="A115" s="468"/>
      <c r="B115" s="447"/>
      <c r="C115" s="368"/>
      <c r="D115" s="106"/>
      <c r="E115" s="106"/>
      <c r="F115" s="106"/>
      <c r="G115" s="106"/>
      <c r="H115" s="106"/>
      <c r="I115" s="368"/>
      <c r="J115" s="368"/>
      <c r="K115" s="106"/>
      <c r="L115" s="106"/>
      <c r="M115" s="106"/>
      <c r="N115" s="368"/>
      <c r="O115" s="368"/>
      <c r="P115" s="106"/>
      <c r="Q115" s="368"/>
      <c r="R115" s="368"/>
      <c r="S115" s="368"/>
      <c r="T115" s="352"/>
      <c r="U115" s="352"/>
      <c r="V115" s="352"/>
      <c r="W115" s="353"/>
      <c r="X115" s="352"/>
      <c r="Y115" s="352"/>
      <c r="Z115" s="352"/>
      <c r="AA115" s="353"/>
      <c r="AB115" s="514"/>
      <c r="AC115" s="515"/>
    </row>
    <row r="116" spans="1:29">
      <c r="A116" s="468"/>
      <c r="B116" s="445"/>
      <c r="C116" s="446"/>
      <c r="D116" s="459"/>
      <c r="E116" s="459"/>
      <c r="F116" s="459"/>
      <c r="G116" s="459"/>
      <c r="H116" s="459"/>
      <c r="I116" s="446"/>
      <c r="J116" s="446"/>
      <c r="K116" s="459"/>
      <c r="L116" s="459"/>
      <c r="M116" s="459"/>
      <c r="N116" s="446"/>
      <c r="O116" s="446"/>
      <c r="P116" s="459"/>
      <c r="Q116" s="446"/>
      <c r="R116" s="445"/>
      <c r="S116" s="445"/>
      <c r="T116" s="356"/>
      <c r="U116" s="356"/>
      <c r="V116" s="356"/>
      <c r="W116" s="357"/>
      <c r="X116" s="356"/>
      <c r="Y116" s="356"/>
      <c r="Z116" s="356"/>
      <c r="AA116" s="357"/>
      <c r="AB116" s="514"/>
      <c r="AC116" s="515"/>
    </row>
    <row r="117" spans="1:29">
      <c r="A117" s="468"/>
      <c r="B117" s="444"/>
      <c r="C117" s="460"/>
      <c r="D117" s="461"/>
      <c r="E117" s="461"/>
      <c r="F117" s="461"/>
      <c r="G117" s="461"/>
      <c r="H117" s="461"/>
      <c r="I117" s="460"/>
      <c r="J117" s="460"/>
      <c r="K117" s="461"/>
      <c r="L117" s="461"/>
      <c r="M117" s="461"/>
      <c r="N117" s="460"/>
      <c r="O117" s="460"/>
      <c r="P117" s="461"/>
      <c r="Q117" s="460"/>
      <c r="R117" s="460"/>
      <c r="S117" s="460"/>
      <c r="T117" s="358"/>
      <c r="U117" s="358"/>
      <c r="V117" s="358"/>
      <c r="W117" s="359"/>
      <c r="X117" s="358"/>
      <c r="Y117" s="358"/>
      <c r="Z117" s="358"/>
      <c r="AA117" s="359"/>
      <c r="AB117" s="514"/>
      <c r="AC117" s="515"/>
    </row>
    <row r="118" spans="1:29">
      <c r="A118" s="467"/>
      <c r="B118" s="362"/>
      <c r="C118" s="366"/>
      <c r="D118" s="367"/>
      <c r="E118" s="367"/>
      <c r="F118" s="367"/>
      <c r="G118" s="367"/>
      <c r="H118" s="367"/>
      <c r="I118" s="366"/>
      <c r="J118" s="366"/>
      <c r="K118" s="367"/>
      <c r="L118" s="367"/>
      <c r="M118" s="367"/>
      <c r="N118" s="366"/>
      <c r="O118" s="366"/>
      <c r="P118" s="367"/>
      <c r="Q118" s="366"/>
      <c r="R118" s="366"/>
      <c r="S118" s="366"/>
      <c r="T118" s="350"/>
      <c r="U118" s="350"/>
      <c r="V118" s="350"/>
      <c r="W118" s="351"/>
      <c r="X118" s="350"/>
      <c r="Y118" s="350"/>
      <c r="Z118" s="350"/>
      <c r="AA118" s="351"/>
      <c r="AB118" s="512"/>
      <c r="AC118" s="513"/>
    </row>
    <row r="119" spans="1:29">
      <c r="A119" s="468"/>
      <c r="B119" s="447"/>
      <c r="C119" s="368"/>
      <c r="D119" s="106"/>
      <c r="E119" s="106"/>
      <c r="F119" s="106"/>
      <c r="G119" s="106"/>
      <c r="H119" s="106"/>
      <c r="I119" s="368"/>
      <c r="J119" s="368"/>
      <c r="K119" s="106"/>
      <c r="L119" s="106"/>
      <c r="M119" s="106"/>
      <c r="N119" s="368"/>
      <c r="O119" s="368"/>
      <c r="P119" s="106"/>
      <c r="Q119" s="368"/>
      <c r="R119" s="368"/>
      <c r="S119" s="368"/>
      <c r="T119" s="352"/>
      <c r="U119" s="352"/>
      <c r="V119" s="352"/>
      <c r="W119" s="353"/>
      <c r="X119" s="352"/>
      <c r="Y119" s="352"/>
      <c r="Z119" s="352"/>
      <c r="AA119" s="353"/>
      <c r="AB119" s="512"/>
      <c r="AC119" s="513"/>
    </row>
    <row r="120" spans="1:29">
      <c r="A120" s="468"/>
      <c r="B120" s="446"/>
      <c r="C120" s="446"/>
      <c r="D120" s="459"/>
      <c r="E120" s="459"/>
      <c r="F120" s="459"/>
      <c r="G120" s="459"/>
      <c r="H120" s="459"/>
      <c r="I120" s="446"/>
      <c r="J120" s="446"/>
      <c r="K120" s="459"/>
      <c r="L120" s="459"/>
      <c r="M120" s="459"/>
      <c r="N120" s="446"/>
      <c r="O120" s="446"/>
      <c r="P120" s="459"/>
      <c r="Q120" s="446"/>
      <c r="R120" s="446"/>
      <c r="S120" s="446"/>
      <c r="T120" s="354"/>
      <c r="U120" s="354"/>
      <c r="V120" s="354"/>
      <c r="W120" s="355"/>
      <c r="X120" s="354"/>
      <c r="Y120" s="354"/>
      <c r="Z120" s="354"/>
      <c r="AA120" s="355"/>
      <c r="AB120" s="516"/>
      <c r="AC120" s="517"/>
    </row>
    <row r="121" spans="1:29">
      <c r="A121" s="468"/>
      <c r="B121" s="447"/>
      <c r="C121" s="368"/>
      <c r="D121" s="106"/>
      <c r="E121" s="106"/>
      <c r="F121" s="106"/>
      <c r="G121" s="106"/>
      <c r="H121" s="106"/>
      <c r="I121" s="368"/>
      <c r="J121" s="368"/>
      <c r="K121" s="106"/>
      <c r="L121" s="106"/>
      <c r="M121" s="106"/>
      <c r="N121" s="368"/>
      <c r="O121" s="368"/>
      <c r="P121" s="106"/>
      <c r="Q121" s="368"/>
      <c r="R121" s="368"/>
      <c r="S121" s="368"/>
      <c r="T121" s="352"/>
      <c r="U121" s="352"/>
      <c r="V121" s="352"/>
      <c r="W121" s="353"/>
      <c r="X121" s="352"/>
      <c r="Y121" s="352"/>
      <c r="Z121" s="352"/>
      <c r="AA121" s="353"/>
      <c r="AB121" s="512"/>
      <c r="AC121" s="513"/>
    </row>
    <row r="122" spans="1:29">
      <c r="A122" s="468"/>
      <c r="B122" s="447"/>
      <c r="C122" s="368"/>
      <c r="D122" s="106"/>
      <c r="E122" s="106"/>
      <c r="F122" s="106"/>
      <c r="G122" s="106"/>
      <c r="H122" s="106"/>
      <c r="I122" s="368"/>
      <c r="J122" s="368"/>
      <c r="K122" s="106"/>
      <c r="L122" s="106"/>
      <c r="M122" s="106"/>
      <c r="N122" s="368"/>
      <c r="O122" s="368"/>
      <c r="P122" s="106"/>
      <c r="Q122" s="368"/>
      <c r="R122" s="368"/>
      <c r="S122" s="368"/>
      <c r="T122" s="352"/>
      <c r="U122" s="352"/>
      <c r="V122" s="352"/>
      <c r="W122" s="353"/>
      <c r="X122" s="352"/>
      <c r="Y122" s="352"/>
      <c r="Z122" s="352"/>
      <c r="AA122" s="353"/>
      <c r="AB122" s="512"/>
      <c r="AC122" s="513"/>
    </row>
    <row r="123" spans="1:29">
      <c r="A123" s="468"/>
      <c r="B123" s="445"/>
      <c r="C123" s="446"/>
      <c r="D123" s="459"/>
      <c r="E123" s="459"/>
      <c r="F123" s="459"/>
      <c r="G123" s="459"/>
      <c r="H123" s="459"/>
      <c r="I123" s="446"/>
      <c r="J123" s="446"/>
      <c r="K123" s="459"/>
      <c r="L123" s="459"/>
      <c r="M123" s="459"/>
      <c r="N123" s="446"/>
      <c r="O123" s="446"/>
      <c r="P123" s="459"/>
      <c r="Q123" s="446"/>
      <c r="R123" s="445"/>
      <c r="S123" s="445"/>
      <c r="T123" s="356"/>
      <c r="U123" s="356"/>
      <c r="V123" s="356"/>
      <c r="W123" s="357"/>
      <c r="X123" s="356"/>
      <c r="Y123" s="356"/>
      <c r="Z123" s="356"/>
      <c r="AA123" s="357"/>
      <c r="AB123" s="512"/>
      <c r="AC123" s="513"/>
    </row>
    <row r="124" spans="1:29">
      <c r="A124" s="468"/>
      <c r="B124" s="444"/>
      <c r="C124" s="460"/>
      <c r="D124" s="461"/>
      <c r="E124" s="461"/>
      <c r="F124" s="461"/>
      <c r="G124" s="461"/>
      <c r="H124" s="461"/>
      <c r="I124" s="460"/>
      <c r="J124" s="460"/>
      <c r="K124" s="461"/>
      <c r="L124" s="461"/>
      <c r="M124" s="461"/>
      <c r="N124" s="460"/>
      <c r="O124" s="460"/>
      <c r="P124" s="461"/>
      <c r="Q124" s="460"/>
      <c r="R124" s="460"/>
      <c r="S124" s="460"/>
      <c r="T124" s="358"/>
      <c r="U124" s="358"/>
      <c r="V124" s="358"/>
      <c r="W124" s="359"/>
      <c r="X124" s="358"/>
      <c r="Y124" s="358"/>
      <c r="Z124" s="358"/>
      <c r="AA124" s="359"/>
      <c r="AB124" s="518"/>
      <c r="AC124" s="519"/>
    </row>
    <row r="125" spans="1:29">
      <c r="A125" s="370"/>
      <c r="B125"/>
      <c r="C125" s="316"/>
      <c r="D125" s="316"/>
      <c r="E125" s="316"/>
      <c r="F125" s="316"/>
      <c r="G125" s="316"/>
      <c r="H125" s="316"/>
      <c r="I125" s="316"/>
      <c r="J125" s="316"/>
      <c r="K125" s="316"/>
      <c r="L125" s="316"/>
      <c r="M125" s="316"/>
      <c r="N125" s="316"/>
      <c r="O125" s="316"/>
      <c r="P125" s="316"/>
      <c r="Q125" s="316"/>
      <c r="R125" s="316"/>
      <c r="S125" s="316"/>
      <c r="T125"/>
      <c r="U125"/>
      <c r="V125"/>
      <c r="W125"/>
      <c r="X125"/>
      <c r="Y125"/>
      <c r="Z125"/>
      <c r="AA125"/>
    </row>
    <row r="126" spans="1:29">
      <c r="A126"/>
      <c r="B126"/>
      <c r="C126" s="316"/>
      <c r="D126" s="316"/>
      <c r="E126" s="316"/>
      <c r="F126" s="316"/>
      <c r="G126" s="316"/>
      <c r="H126" s="316"/>
      <c r="I126" s="316"/>
      <c r="J126" s="316"/>
      <c r="K126" s="316"/>
      <c r="L126" s="316"/>
      <c r="M126" s="316"/>
      <c r="N126" s="316"/>
      <c r="O126" s="316"/>
      <c r="P126" s="316"/>
      <c r="Q126" s="316"/>
      <c r="R126" s="316"/>
      <c r="S126" s="316"/>
      <c r="T126"/>
      <c r="U126"/>
      <c r="V126"/>
      <c r="W126"/>
      <c r="X126"/>
      <c r="Y126"/>
      <c r="Z126"/>
      <c r="AA126"/>
    </row>
    <row r="127" spans="1:29">
      <c r="A127"/>
      <c r="B127"/>
      <c r="C127" s="316"/>
      <c r="D127" s="316"/>
      <c r="E127" s="316"/>
      <c r="F127" s="316"/>
      <c r="G127" s="316"/>
      <c r="H127" s="316"/>
      <c r="I127" s="316"/>
      <c r="J127" s="316"/>
      <c r="K127" s="316"/>
      <c r="L127" s="316"/>
      <c r="M127" s="316"/>
      <c r="N127" s="316"/>
      <c r="O127" s="316"/>
      <c r="P127" s="316"/>
      <c r="Q127" s="316"/>
      <c r="R127" s="316"/>
      <c r="S127" s="316"/>
      <c r="T127"/>
      <c r="U127"/>
      <c r="V127"/>
      <c r="W127"/>
      <c r="X127"/>
      <c r="Y127"/>
      <c r="Z127"/>
      <c r="AA127"/>
    </row>
    <row r="128" spans="1:29">
      <c r="A128"/>
      <c r="B128"/>
      <c r="C128" s="316"/>
      <c r="D128" s="316"/>
      <c r="E128" s="316"/>
      <c r="F128" s="316"/>
      <c r="G128" s="316"/>
      <c r="H128" s="316"/>
      <c r="I128" s="316"/>
      <c r="J128" s="316"/>
      <c r="K128" s="316"/>
      <c r="L128" s="316"/>
      <c r="M128" s="316"/>
      <c r="N128" s="316"/>
      <c r="O128" s="316"/>
      <c r="P128" s="316"/>
      <c r="Q128" s="316"/>
      <c r="R128" s="316"/>
      <c r="S128" s="316"/>
      <c r="T128"/>
      <c r="U128"/>
      <c r="V128"/>
      <c r="W128"/>
      <c r="X128"/>
      <c r="Y128"/>
      <c r="Z128"/>
      <c r="AA128"/>
    </row>
    <row r="129" spans="1:27">
      <c r="A129"/>
      <c r="B129"/>
      <c r="C129" s="316"/>
      <c r="D129" s="316"/>
      <c r="E129" s="316"/>
      <c r="F129" s="316"/>
      <c r="G129" s="316"/>
      <c r="H129" s="316"/>
      <c r="I129" s="316"/>
      <c r="J129" s="316"/>
      <c r="K129" s="316"/>
      <c r="L129" s="316"/>
      <c r="M129" s="316"/>
      <c r="N129" s="316"/>
      <c r="O129" s="316"/>
      <c r="P129" s="316"/>
      <c r="Q129" s="316"/>
      <c r="R129" s="316"/>
      <c r="S129" s="316"/>
      <c r="T129"/>
      <c r="U129"/>
      <c r="V129"/>
      <c r="W129"/>
      <c r="X129"/>
      <c r="Y129"/>
      <c r="Z129"/>
      <c r="AA129"/>
    </row>
    <row r="130" spans="1:27">
      <c r="A130"/>
      <c r="B130"/>
      <c r="C130" s="316"/>
      <c r="D130" s="316"/>
      <c r="E130" s="316"/>
      <c r="F130" s="316"/>
      <c r="G130" s="316"/>
      <c r="H130" s="316"/>
      <c r="I130" s="316"/>
      <c r="J130" s="316"/>
      <c r="K130" s="316"/>
      <c r="L130" s="316"/>
      <c r="M130" s="316"/>
      <c r="N130" s="316"/>
      <c r="O130" s="316"/>
      <c r="P130" s="316"/>
      <c r="Q130" s="316"/>
      <c r="R130" s="316"/>
      <c r="S130" s="316"/>
      <c r="T130"/>
      <c r="U130"/>
      <c r="V130"/>
      <c r="W130"/>
      <c r="X130"/>
      <c r="Y130"/>
      <c r="Z130"/>
      <c r="AA130"/>
    </row>
    <row r="131" spans="1:27">
      <c r="A131"/>
      <c r="B131"/>
      <c r="C131" s="316"/>
      <c r="D131" s="316"/>
      <c r="E131" s="316"/>
      <c r="F131" s="316"/>
      <c r="G131" s="316"/>
      <c r="H131" s="316"/>
      <c r="I131" s="316"/>
      <c r="J131" s="316"/>
      <c r="K131" s="316"/>
      <c r="L131" s="316"/>
      <c r="M131" s="316"/>
      <c r="N131" s="316"/>
      <c r="O131" s="316"/>
      <c r="P131" s="316"/>
      <c r="Q131" s="316"/>
      <c r="R131" s="316"/>
      <c r="S131" s="316"/>
      <c r="T131"/>
      <c r="U131"/>
      <c r="V131"/>
      <c r="W131"/>
      <c r="X131"/>
      <c r="Y131"/>
      <c r="Z131"/>
      <c r="AA131"/>
    </row>
    <row r="132" spans="1:27">
      <c r="A132"/>
      <c r="B132"/>
      <c r="C132" s="316"/>
      <c r="D132" s="316"/>
      <c r="E132" s="316"/>
      <c r="F132" s="316"/>
      <c r="G132" s="316"/>
      <c r="H132" s="316"/>
      <c r="I132" s="316"/>
      <c r="J132" s="316"/>
      <c r="K132" s="316"/>
      <c r="L132" s="316"/>
      <c r="M132" s="316"/>
      <c r="N132" s="316"/>
      <c r="O132" s="316"/>
      <c r="P132" s="316"/>
      <c r="Q132" s="316"/>
      <c r="R132" s="316"/>
      <c r="S132" s="316"/>
      <c r="T132"/>
      <c r="X132"/>
    </row>
    <row r="133" spans="1:27">
      <c r="A133"/>
      <c r="B133"/>
      <c r="C133" s="316"/>
      <c r="D133" s="316"/>
      <c r="E133" s="316"/>
      <c r="F133" s="316"/>
      <c r="G133" s="316"/>
      <c r="H133" s="316"/>
      <c r="I133" s="316"/>
      <c r="J133" s="316"/>
      <c r="K133" s="316"/>
      <c r="L133" s="316"/>
      <c r="M133" s="316"/>
      <c r="N133" s="316"/>
      <c r="O133" s="316"/>
      <c r="P133" s="316"/>
      <c r="Q133" s="316"/>
      <c r="R133" s="316"/>
      <c r="S133" s="316"/>
      <c r="T133"/>
      <c r="X133"/>
    </row>
    <row r="134" spans="1:27">
      <c r="A134"/>
      <c r="B134"/>
      <c r="C134" s="316"/>
      <c r="D134" s="316"/>
      <c r="E134" s="316"/>
      <c r="F134" s="316"/>
      <c r="G134" s="316"/>
      <c r="H134" s="316"/>
      <c r="I134" s="316"/>
      <c r="J134" s="316"/>
      <c r="K134" s="316"/>
      <c r="L134" s="316"/>
      <c r="M134" s="316"/>
      <c r="N134" s="316"/>
      <c r="O134" s="316"/>
      <c r="P134" s="316"/>
      <c r="Q134" s="316"/>
      <c r="R134" s="316"/>
      <c r="S134" s="316"/>
      <c r="T134"/>
      <c r="X134"/>
    </row>
    <row r="135" spans="1:27">
      <c r="A135"/>
      <c r="B135"/>
      <c r="C135" s="316"/>
      <c r="D135" s="316"/>
      <c r="E135" s="316"/>
      <c r="F135" s="316"/>
      <c r="G135" s="316"/>
      <c r="H135" s="316"/>
      <c r="I135" s="316"/>
      <c r="J135" s="316"/>
      <c r="K135" s="316"/>
      <c r="L135" s="316"/>
      <c r="M135" s="316"/>
      <c r="N135" s="316"/>
      <c r="O135" s="316"/>
      <c r="P135" s="316"/>
      <c r="Q135" s="316"/>
      <c r="R135" s="316"/>
      <c r="S135" s="316"/>
      <c r="T135"/>
      <c r="X135"/>
    </row>
    <row r="136" spans="1:27">
      <c r="A136"/>
      <c r="B136"/>
      <c r="C136" s="316"/>
      <c r="D136" s="316"/>
      <c r="E136" s="316"/>
      <c r="F136" s="316"/>
      <c r="G136" s="316"/>
      <c r="H136" s="316"/>
      <c r="I136" s="316"/>
      <c r="J136" s="316"/>
      <c r="K136" s="316"/>
      <c r="L136" s="316"/>
      <c r="M136" s="316"/>
      <c r="N136" s="316"/>
      <c r="O136" s="316"/>
      <c r="P136" s="316"/>
      <c r="Q136" s="316"/>
      <c r="R136" s="316"/>
      <c r="S136" s="316"/>
      <c r="T136"/>
      <c r="X136"/>
    </row>
    <row r="137" spans="1:27">
      <c r="A137"/>
      <c r="B137"/>
      <c r="C137" s="316"/>
      <c r="D137" s="316"/>
      <c r="E137" s="316"/>
      <c r="F137" s="316"/>
      <c r="G137" s="316"/>
      <c r="H137" s="316"/>
      <c r="I137" s="316"/>
      <c r="J137" s="316"/>
      <c r="K137" s="316"/>
      <c r="L137" s="316"/>
      <c r="M137" s="316"/>
      <c r="N137" s="316"/>
      <c r="O137" s="316"/>
      <c r="P137" s="316"/>
      <c r="Q137" s="316"/>
      <c r="R137" s="316"/>
      <c r="S137" s="316"/>
      <c r="T137"/>
      <c r="X137"/>
    </row>
    <row r="138" spans="1:27">
      <c r="A138"/>
      <c r="B138"/>
      <c r="C138" s="316"/>
      <c r="D138" s="316"/>
      <c r="E138" s="316"/>
      <c r="F138" s="316"/>
      <c r="G138" s="316"/>
      <c r="H138" s="316"/>
      <c r="I138" s="316"/>
      <c r="J138" s="316"/>
      <c r="K138" s="316"/>
      <c r="L138" s="316"/>
      <c r="M138" s="316"/>
      <c r="N138" s="316"/>
      <c r="O138" s="316"/>
      <c r="P138" s="316"/>
      <c r="Q138" s="316"/>
      <c r="R138" s="316"/>
      <c r="S138" s="316"/>
      <c r="T138"/>
      <c r="X138"/>
    </row>
    <row r="139" spans="1:27">
      <c r="A139"/>
      <c r="B139"/>
      <c r="C139" s="316"/>
      <c r="D139" s="316"/>
      <c r="E139" s="316"/>
      <c r="F139" s="316"/>
      <c r="G139" s="316"/>
      <c r="H139" s="316"/>
      <c r="I139" s="316"/>
      <c r="J139" s="316"/>
      <c r="K139" s="316"/>
      <c r="L139" s="316"/>
      <c r="M139" s="316"/>
      <c r="N139" s="316"/>
      <c r="O139" s="316"/>
      <c r="P139" s="316"/>
      <c r="Q139" s="316"/>
      <c r="R139" s="316"/>
      <c r="S139" s="316"/>
      <c r="T139"/>
      <c r="X139"/>
    </row>
    <row r="140" spans="1:27">
      <c r="A140"/>
      <c r="B140"/>
      <c r="C140" s="316"/>
      <c r="D140" s="316"/>
      <c r="E140" s="316"/>
      <c r="F140" s="316"/>
      <c r="G140" s="316"/>
      <c r="H140" s="316"/>
      <c r="I140" s="316"/>
      <c r="J140" s="316"/>
      <c r="K140" s="316"/>
      <c r="L140" s="316"/>
      <c r="M140" s="316"/>
      <c r="N140" s="316"/>
      <c r="O140" s="316"/>
      <c r="P140" s="316"/>
      <c r="Q140" s="316"/>
      <c r="R140" s="316"/>
      <c r="S140" s="316"/>
      <c r="T140"/>
      <c r="X140"/>
    </row>
    <row r="141" spans="1:27">
      <c r="A141"/>
      <c r="B141"/>
      <c r="C141" s="316"/>
      <c r="D141" s="316"/>
      <c r="E141" s="316"/>
      <c r="F141" s="316"/>
      <c r="G141" s="316"/>
      <c r="H141" s="316"/>
      <c r="I141" s="316"/>
      <c r="J141" s="316"/>
      <c r="K141" s="316"/>
      <c r="L141" s="316"/>
      <c r="M141" s="316"/>
      <c r="N141" s="316"/>
      <c r="O141" s="316"/>
      <c r="P141" s="316"/>
      <c r="Q141" s="316"/>
      <c r="R141" s="316"/>
      <c r="S141" s="316"/>
      <c r="T141"/>
      <c r="X141"/>
    </row>
    <row r="145" spans="3:19">
      <c r="C145" s="180"/>
      <c r="D145" s="180"/>
      <c r="E145" s="180"/>
      <c r="F145" s="180"/>
      <c r="G145" s="180"/>
      <c r="H145" s="180"/>
      <c r="I145" s="180"/>
      <c r="J145" s="180"/>
      <c r="K145" s="180"/>
      <c r="L145" s="180"/>
      <c r="M145" s="180"/>
      <c r="N145" s="180"/>
      <c r="O145" s="180"/>
      <c r="P145" s="180"/>
      <c r="Q145" s="180"/>
      <c r="R145" s="180"/>
      <c r="S145" s="180"/>
    </row>
    <row r="146" spans="3:19">
      <c r="C146" s="180"/>
      <c r="D146" s="180"/>
      <c r="E146" s="180"/>
      <c r="F146" s="180"/>
      <c r="G146" s="180"/>
      <c r="H146" s="180"/>
      <c r="I146" s="180"/>
      <c r="J146" s="180"/>
      <c r="K146" s="180"/>
      <c r="L146" s="180"/>
      <c r="M146" s="180"/>
      <c r="N146" s="180"/>
      <c r="O146" s="180"/>
      <c r="P146" s="180"/>
      <c r="Q146" s="180"/>
      <c r="R146" s="180"/>
      <c r="S146" s="180"/>
    </row>
    <row r="147" spans="3:19">
      <c r="C147" s="180"/>
      <c r="D147" s="180"/>
      <c r="E147" s="180"/>
      <c r="F147" s="180"/>
      <c r="G147" s="180"/>
      <c r="H147" s="180"/>
      <c r="I147" s="180"/>
      <c r="J147" s="180"/>
      <c r="K147" s="180"/>
      <c r="L147" s="180"/>
      <c r="M147" s="180"/>
      <c r="N147" s="180"/>
      <c r="O147" s="180"/>
      <c r="P147" s="180"/>
      <c r="Q147" s="180"/>
      <c r="R147" s="180"/>
      <c r="S147" s="180"/>
    </row>
    <row r="148" spans="3:19">
      <c r="C148" s="180"/>
      <c r="D148" s="180"/>
      <c r="E148" s="180"/>
      <c r="F148" s="180"/>
      <c r="G148" s="180"/>
      <c r="H148" s="180"/>
      <c r="I148" s="180"/>
      <c r="J148" s="180"/>
      <c r="K148" s="180"/>
      <c r="L148" s="180"/>
      <c r="M148" s="180"/>
      <c r="N148" s="180"/>
      <c r="O148" s="180"/>
      <c r="P148" s="180"/>
      <c r="Q148" s="180"/>
      <c r="R148" s="180"/>
      <c r="S148" s="18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NEW-Tables 80-86</vt:lpstr>
      <vt:lpstr>OLD Tables</vt:lpstr>
      <vt:lpstr>FTE Pivot for regular counts</vt:lpstr>
      <vt:lpstr>Pivot-HS Student % of Undergrad</vt:lpstr>
      <vt:lpstr>SCH Data</vt:lpstr>
      <vt:lpstr>Format for FTE</vt:lpstr>
      <vt:lpstr>Format for HS%</vt:lpstr>
      <vt:lpstr>'SCH Data'!Dual07_1</vt:lpstr>
      <vt:lpstr>'SCH Data'!Dual07_3</vt:lpstr>
      <vt:lpstr>'FTE Pivot for regular counts'!Print_Area</vt:lpstr>
      <vt:lpstr>'NEW-Tables 80-86'!Print_Area</vt:lpstr>
      <vt:lpstr>'OLD Tables'!Print_Area</vt:lpstr>
      <vt:lpstr>'Pivot-HS Student % of Undergrad'!Print_Area</vt:lpstr>
      <vt:lpstr>'SCH Data'!Print_Area</vt:lpstr>
      <vt:lpstr>'FTE Pivot for regular counts'!Print_Titles</vt:lpstr>
      <vt:lpstr>'Pivot-HS Student % of Undergrad'!Print_Titles</vt:lpstr>
      <vt:lpstr>'SCH Data'!Print_Titles</vt:lpstr>
      <vt:lpstr>'SCH Data'!SCH15ug1</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Cowan</dc:creator>
  <cp:lastModifiedBy>Christiana Datubo-Brown</cp:lastModifiedBy>
  <cp:lastPrinted>2016-03-17T19:39:44Z</cp:lastPrinted>
  <dcterms:created xsi:type="dcterms:W3CDTF">1999-02-24T13:58:47Z</dcterms:created>
  <dcterms:modified xsi:type="dcterms:W3CDTF">2017-03-31T20:00:45Z</dcterms:modified>
</cp:coreProperties>
</file>